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comments3.xml" ContentType="application/vnd.openxmlformats-officedocument.spreadsheetml.comments+xml"/>
  <Override PartName="/xl/styles.xml" ContentType="application/vnd.openxmlformats-officedocument.spreadsheetml.styles+xml"/>
  <Override PartName="/xl/worksheets/_rels/sheet2.xml.rels" ContentType="application/vnd.openxmlformats-package.relationships+xml"/>
  <Override PartName="/xl/worksheets/_rels/sheet3.xml.rels" ContentType="application/vnd.openxmlformats-package.relationships+xml"/>
  <Override PartName="/xl/worksheets/_rels/sheet4.xml.rels" ContentType="application/vnd.openxmlformats-package.relationships+xml"/>
  <Override PartName="/xl/worksheets/_rels/sheet10.xml.rels" ContentType="application/vnd.openxmlformats-package.relationships+xml"/>
  <Override PartName="/xl/worksheets/_rels/sheet12.xml.rels" ContentType="application/vnd.openxmlformats-package.relationships+xml"/>
  <Override PartName="/xl/worksheets/_rels/sheet13.xml.rels" ContentType="application/vnd.openxmlformats-package.relationships+xml"/>
  <Override PartName="/xl/worksheets/_rels/sheet8.xml.rels" ContentType="application/vnd.openxmlformats-package.relationships+xml"/>
  <Override PartName="/xl/worksheets/_rels/sheet9.xml.rels" ContentType="application/vnd.openxmlformats-package.relationships+xml"/>
  <Override PartName="/xl/worksheets/_rels/sheet5.xml.rels" ContentType="application/vnd.openxmlformats-package.relationships+xml"/>
  <Override PartName="/xl/worksheets/_rels/sheet1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12.xml" ContentType="application/vnd.openxmlformats-officedocument.spreadsheetml.worksheet+xml"/>
  <Override PartName="/xl/worksheets/sheet7.xml" ContentType="application/vnd.openxmlformats-officedocument.spreadsheetml.worksheet+xml"/>
  <Override PartName="/xl/worksheets/sheet13.xml" ContentType="application/vnd.openxmlformats-officedocument.spreadsheetml.worksheet+xml"/>
  <Override PartName="/xl/worksheets/sheet8.xml" ContentType="application/vnd.openxmlformats-officedocument.spreadsheetml.worksheet+xml"/>
  <Override PartName="/xl/worksheets/sheet14.xml" ContentType="application/vnd.openxmlformats-officedocument.spreadsheetml.worksheet+xml"/>
  <Override PartName="/xl/worksheets/sheet9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6.xml" ContentType="application/vnd.openxmlformats-officedocument.spreadsheetml.worksheet+xml"/>
  <Override PartName="/xl/sharedStrings.xml" ContentType="application/vnd.openxmlformats-officedocument.spreadsheetml.sharedStrings+xml"/>
  <Override PartName="/xl/ctrlProps/ctrlProps66.xml" ContentType="application/vnd.ms-excel.controlproperties+xml"/>
  <Override PartName="/xl/ctrlProps/ctrlProps65.xml" ContentType="application/vnd.ms-excel.controlproperties+xml"/>
  <Override PartName="/xl/ctrlProps/ctrlProps64.xml" ContentType="application/vnd.ms-excel.controlproperties+xml"/>
  <Override PartName="/xl/ctrlProps/ctrlProps63.xml" ContentType="application/vnd.ms-excel.controlproperties+xml"/>
  <Override PartName="/xl/ctrlProps/ctrlProps62.xml" ContentType="application/vnd.ms-excel.controlproperties+xml"/>
  <Override PartName="/xl/ctrlProps/ctrlProps55.xml" ContentType="application/vnd.ms-excel.controlproperties+xml"/>
  <Override PartName="/xl/ctrlProps/ctrlProps54.xml" ContentType="application/vnd.ms-excel.controlproperties+xml"/>
  <Override PartName="/xl/ctrlProps/ctrlProps13.xml" ContentType="application/vnd.ms-excel.controlproperties+xml"/>
  <Override PartName="/xl/ctrlProps/ctrlProps58.xml" ContentType="application/vnd.ms-excel.controlproperties+xml"/>
  <Override PartName="/xl/ctrlProps/ctrlProps21.xml" ContentType="application/vnd.ms-excel.controlproperties+xml"/>
  <Override PartName="/xl/ctrlProps/ctrlProps9.xml" ContentType="application/vnd.ms-excel.controlproperties+xml"/>
  <Override PartName="/xl/ctrlProps/ctrlProps22.xml" ContentType="application/vnd.ms-excel.controlproperties+xml"/>
  <Override PartName="/xl/ctrlProps/ctrlProps59.xml" ContentType="application/vnd.ms-excel.controlproperties+xml"/>
  <Override PartName="/xl/ctrlProps/ctrlProps24.xml" ContentType="application/vnd.ms-excel.controlproperties+xml"/>
  <Override PartName="/xl/ctrlProps/ctrlProps25.xml" ContentType="application/vnd.ms-excel.controlproperties+xml"/>
  <Override PartName="/xl/ctrlProps/ctrlProps27.xml" ContentType="application/vnd.ms-excel.controlproperties+xml"/>
  <Override PartName="/xl/ctrlProps/ctrlProps5.xml" ContentType="application/vnd.ms-excel.controlproperties+xml"/>
  <Override PartName="/xl/ctrlProps/ctrlProps37.xml" ContentType="application/vnd.ms-excel.controlproperties+xml"/>
  <Override PartName="/xl/ctrlProps/ctrlProps74.xml" ContentType="application/vnd.ms-excel.controlproperties+xml"/>
  <Override PartName="/xl/ctrlProps/ctrlProps4.xml" ContentType="application/vnd.ms-excel.controlproperties+xml"/>
  <Override PartName="/xl/ctrlProps/ctrlProps36.xml" ContentType="application/vnd.ms-excel.controlproperties+xml"/>
  <Override PartName="/xl/ctrlProps/ctrlProps73.xml" ContentType="application/vnd.ms-excel.controlproperties+xml"/>
  <Override PartName="/xl/ctrlProps/ctrlProps35.xml" ContentType="application/vnd.ms-excel.controlproperties+xml"/>
  <Override PartName="/xl/ctrlProps/ctrlProps71.xml" ContentType="application/vnd.ms-excel.controlproperties+xml"/>
  <Override PartName="/xl/ctrlProps/ctrlProps69.xml" ContentType="application/vnd.ms-excel.controlproperties+xml"/>
  <Override PartName="/xl/ctrlProps/ctrlProps32.xml" ContentType="application/vnd.ms-excel.controlproperties+xml"/>
  <Override PartName="/xl/ctrlProps/ctrlProps34.xml" ContentType="application/vnd.ms-excel.controlproperties+xml"/>
  <Override PartName="/xl/ctrlProps/ctrlProps70.xml" ContentType="application/vnd.ms-excel.controlproperties+xml"/>
  <Override PartName="/xl/ctrlProps/ctrlProps28.xml" ContentType="application/vnd.ms-excel.controlproperties+xml"/>
  <Override PartName="/xl/ctrlProps/ctrlProps33.xml" ContentType="application/vnd.ms-excel.controlproperties+xml"/>
  <Override PartName="/xl/ctrlProps/ctrlProps68.xml" ContentType="application/vnd.ms-excel.controlproperties+xml"/>
  <Override PartName="/xl/ctrlProps/ctrlProps31.xml" ContentType="application/vnd.ms-excel.controlproperties+xml"/>
  <Override PartName="/xl/ctrlProps/ctrlProps67.xml" ContentType="application/vnd.ms-excel.controlproperties+xml"/>
  <Override PartName="/xl/ctrlProps/ctrlProps30.xml" ContentType="application/vnd.ms-excel.controlproperties+xml"/>
  <Override PartName="/xl/ctrlProps/ctrlProps14.xml" ContentType="application/vnd.ms-excel.controlproperties+xml"/>
  <Override PartName="/xl/ctrlProps/ctrlProps15.xml" ContentType="application/vnd.ms-excel.controlproperties+xml"/>
  <Override PartName="/xl/ctrlProps/ctrlProps20.xml" ContentType="application/vnd.ms-excel.controlproperties+xml"/>
  <Override PartName="/xl/ctrlProps/ctrlProps57.xml" ContentType="application/vnd.ms-excel.controlproperties+xml"/>
  <Override PartName="/xl/ctrlProps/ctrlProps16.xml" ContentType="application/vnd.ms-excel.controlproperties+xml"/>
  <Override PartName="/xl/ctrlProps/ctrlProps18.xml" ContentType="application/vnd.ms-excel.controlproperties+xml"/>
  <Override PartName="/xl/ctrlProps/ctrlProps60.xml" ContentType="application/vnd.ms-excel.controlproperties+xml"/>
  <Override PartName="/xl/ctrlProps/ctrlProps10.xml" ContentType="application/vnd.ms-excel.controlproperties+xml"/>
  <Override PartName="/xl/ctrlProps/ctrlProps47.xml" ContentType="application/vnd.ms-excel.controlproperties+xml"/>
  <Override PartName="/xl/ctrlProps/ctrlProps11.xml" ContentType="application/vnd.ms-excel.controlproperties+xml"/>
  <Override PartName="/xl/ctrlProps/ctrlProps48.xml" ContentType="application/vnd.ms-excel.controlproperties+xml"/>
  <Override PartName="/xl/ctrlProps/ctrlProps12.xml" ContentType="application/vnd.ms-excel.controlproperties+xml"/>
  <Override PartName="/xl/ctrlProps/ctrlProps49.xml" ContentType="application/vnd.ms-excel.controlproperties+xml"/>
  <Override PartName="/xl/ctrlProps/ctrlProps17.xml" ContentType="application/vnd.ms-excel.controlproperties+xml"/>
  <Override PartName="/xl/ctrlProps/ctrlProps6.xml" ContentType="application/vnd.ms-excel.controlproperties+xml"/>
  <Override PartName="/xl/ctrlProps/ctrlProps38.xml" ContentType="application/vnd.ms-excel.controlproperties+xml"/>
  <Override PartName="/xl/ctrlProps/ctrlProps7.xml" ContentType="application/vnd.ms-excel.controlproperties+xml"/>
  <Override PartName="/xl/ctrlProps/ctrlProps39.xml" ContentType="application/vnd.ms-excel.controlproperties+xml"/>
  <Override PartName="/xl/ctrlProps/ctrlProps40.xml" ContentType="application/vnd.ms-excel.controlproperties+xml"/>
  <Override PartName="/xl/ctrlProps/ctrlProps41.xml" ContentType="application/vnd.ms-excel.controlproperties+xml"/>
  <Override PartName="/xl/ctrlProps/ctrlProps42.xml" ContentType="application/vnd.ms-excel.controlproperties+xml"/>
  <Override PartName="/xl/ctrlProps/ctrlProps43.xml" ContentType="application/vnd.ms-excel.controlproperties+xml"/>
  <Override PartName="/xl/ctrlProps/ctrlProps44.xml" ContentType="application/vnd.ms-excel.controlproperties+xml"/>
  <Override PartName="/xl/ctrlProps/ctrlProps45.xml" ContentType="application/vnd.ms-excel.controlproperties+xml"/>
  <Override PartName="/xl/ctrlProps/ctrlProps46.xml" ContentType="application/vnd.ms-excel.controlproperties+xml"/>
  <Override PartName="/xl/ctrlProps/ctrlProps50.xml" ContentType="application/vnd.ms-excel.controlproperties+xml"/>
  <Override PartName="/xl/ctrlProps/ctrlProps51.xml" ContentType="application/vnd.ms-excel.controlproperties+xml"/>
  <Override PartName="/xl/ctrlProps/ctrlProps52.xml" ContentType="application/vnd.ms-excel.controlproperties+xml"/>
  <Override PartName="/xl/ctrlProps/ctrlProps53.xml" ContentType="application/vnd.ms-excel.controlproperties+xml"/>
  <Override PartName="/xl/ctrlProps/ctrlProps61.xml" ContentType="application/vnd.ms-excel.controlproperties+xml"/>
  <Override PartName="/xl/comments2.xml" ContentType="application/vnd.openxmlformats-officedocument.spreadsheetml.comments+xml"/>
  <Override PartName="/xl/drawings/drawing26.xml" ContentType="application/vnd.openxmlformats-officedocument.drawing+xml"/>
  <Override PartName="/xl/drawings/vmlDrawing6.vml" ContentType="application/vnd.openxmlformats-officedocument.vmlDrawing"/>
  <Override PartName="/xl/drawings/drawing23.xml" ContentType="application/vnd.openxmlformats-officedocument.drawing+xml"/>
  <Override PartName="/xl/drawings/drawing8.xml" ContentType="application/vnd.openxmlformats-officedocument.drawing+xml"/>
  <Override PartName="/xl/drawings/vmlDrawing7.vml" ContentType="application/vnd.openxmlformats-officedocument.vmlDrawing"/>
  <Override PartName="/xl/drawings/vmlDrawing5.vml" ContentType="application/vnd.openxmlformats-officedocument.vmlDrawing"/>
  <Override PartName="/xl/drawings/drawing72.xml" ContentType="application/vnd.openxmlformats-officedocument.drawing+xml"/>
  <Override PartName="/xl/drawings/vmlDrawing8.vml" ContentType="application/vnd.openxmlformats-officedocument.vmlDrawing"/>
  <Override PartName="/xl/drawings/drawing29.xml" ContentType="application/vnd.openxmlformats-officedocument.drawing+xml"/>
  <Override PartName="/xl/drawings/_rels/drawing1.xml.rels" ContentType="application/vnd.openxmlformats-package.relationships+xml"/>
  <Override PartName="/xl/drawings/drawing3.xml" ContentType="application/vnd.openxmlformats-officedocument.drawing+xml"/>
  <Override PartName="/xl/drawings/vmlDrawing2.vml" ContentType="application/vnd.openxmlformats-officedocument.vmlDrawing"/>
  <Override PartName="/xl/drawings/drawing1.xml" ContentType="application/vnd.openxmlformats-officedocument.drawing+xml"/>
  <Override PartName="/xl/drawings/vmlDrawing3.vml" ContentType="application/vnd.openxmlformats-officedocument.vmlDrawing"/>
  <Override PartName="/xl/drawings/vmlDrawing4.vml" ContentType="application/vnd.openxmlformats-officedocument.vmlDrawing"/>
  <Override PartName="/xl/drawings/drawing19.xml" ContentType="application/vnd.openxmlformats-officedocument.drawing+xml"/>
  <Override PartName="/xl/drawings/vmlDrawing10.vml" ContentType="application/vnd.openxmlformats-officedocument.vmlDrawing"/>
  <Override PartName="/xl/drawings/vmlDrawing9.vml" ContentType="application/vnd.openxmlformats-officedocument.vmlDrawing"/>
  <Override PartName="/xl/drawings/drawing56.xml" ContentType="application/vnd.openxmlformats-officedocument.drawing+xml"/>
  <Override PartName="/xl/drawings/drawing2.xml" ContentType="application/vnd.openxmlformats-officedocument.drawingml.chartshapes+xml"/>
  <Override PartName="/xl/drawings/vmlDrawing1.vml" ContentType="application/vnd.openxmlformats-officedocument.vmlDrawing"/>
  <Override PartName="/xl/charts/_rels/chart1.xml.rels" ContentType="application/vnd.openxmlformats-package.relationships+xml"/>
  <Override PartName="/xl/charts/chart1.xml" ContentType="application/vnd.openxmlformats-officedocument.drawingml.chart+xml"/>
  <Override PartName="/xl/_rels/workbook.xml.rels" ContentType="application/vnd.openxmlformats-package.relationship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PRICCURV" sheetId="1" state="visible" r:id="rId3"/>
    <sheet name="PROFILE" sheetId="2" state="visible" r:id="rId4"/>
    <sheet name="GC" sheetId="3" state="visible" r:id="rId5"/>
    <sheet name="EP" sheetId="4" state="visible" r:id="rId6"/>
    <sheet name="CFMODEL" sheetId="5" state="visible" r:id="rId7"/>
    <sheet name="CFMACROS" sheetId="6" state="hidden" r:id="rId8"/>
    <sheet name="Module1" sheetId="7" state="hidden" r:id="rId9"/>
    <sheet name="Iterbox" sheetId="8" state="hidden" r:id="rId10"/>
    <sheet name="InpBox" sheetId="9" state="hidden" r:id="rId11"/>
    <sheet name="GoToBox" sheetId="10" state="hidden" r:id="rId12"/>
    <sheet name="PrintBox" sheetId="11" state="hidden" r:id="rId13"/>
    <sheet name="EPrint" sheetId="12" state="hidden" r:id="rId14"/>
    <sheet name="EGo" sheetId="13" state="hidden" r:id="rId15"/>
    <sheet name="Emacros" sheetId="14" state="hidden" r:id="rId16"/>
  </sheets>
  <definedNames>
    <definedName function="false" hidden="false" localSheetId="4" name="_xlnm.Print_Area" vbProcedure="false">CFMODEL!$A$888:$S$932</definedName>
    <definedName function="false" hidden="false" localSheetId="4" name="_xlnm.Print_Titles" vbProcedure="false">CFMODEL!$4:$5</definedName>
    <definedName function="false" hidden="false" localSheetId="3" name="_xlnm.Print_Titles" vbProcedure="false">EP!$4:$5</definedName>
    <definedName function="false" hidden="false" localSheetId="2" name="_xlnm.Print_Titles" vbProcedure="false">GC!$1:$6</definedName>
    <definedName function="false" hidden="false" localSheetId="1" name="_xlnm.Print_Area" vbProcedure="false">PROFILE!$A$10:$G$28</definedName>
    <definedName function="false" hidden="false" name="Analyses_Input" vbProcedure="false">CFMACROS!$A$296</definedName>
    <definedName function="false" hidden="false" name="AS" vbProcedure="false">CFMODEL!$A$600:$S$617</definedName>
    <definedName function="false" hidden="false" name="ASSET_SALES" vbProcedure="false">CFMODEL!$A$600:$S$617</definedName>
    <definedName function="false" hidden="false" name="Bal_Sheet" vbProcedure="false">CFMACROS!$A$146</definedName>
    <definedName function="false" hidden="false" name="BB" vbProcedure="false">CFMODEL!$A$468:$S$474</definedName>
    <definedName function="false" hidden="false" name="Bbase" vbProcedure="false">CFMODEL!$A$468:$S$475</definedName>
    <definedName function="false" hidden="false" name="BS" vbProcedure="false">CFMODEL!$A$170:$S$219</definedName>
    <definedName function="false" hidden="false" name="CAP1" vbProcedure="false">CFMODEL!$A$222:$S$272</definedName>
    <definedName function="false" hidden="false" name="CAP2" vbProcedure="false">CFMODEL!$A$274:$S$318</definedName>
    <definedName function="false" hidden="false" name="CASH" vbProcedure="false">CFMODEL!$I$163:$AC$166</definedName>
    <definedName function="false" hidden="false" name="CASH1" vbProcedure="false">CFMODEL!$I$163:$I$166</definedName>
    <definedName function="false" hidden="false" name="CASH2" vbProcedure="false">CFMODEL!$G$163:$G$166</definedName>
    <definedName function="false" hidden="false" name="CASHA" vbProcedure="false">CFMODEL!$I$163</definedName>
    <definedName function="false" hidden="false" name="CASHB" vbProcedure="false">CFMODEL!$I$164</definedName>
    <definedName function="false" hidden="false" name="CASHC" vbProcedure="false">CFMODEL!$I$165</definedName>
    <definedName function="false" hidden="false" name="CASHD" vbProcedure="false">CFMODEL!$I$166</definedName>
    <definedName function="false" hidden="false" name="Cash_Flow" vbProcedure="false">CFMACROS!$A$126</definedName>
    <definedName function="false" hidden="false" name="COM3" vbProcedure="false">CFMODEL!$E$792</definedName>
    <definedName function="false" hidden="false" name="COM5" vbProcedure="false">CFMODEL!$G$792</definedName>
    <definedName function="false" hidden="false" name="COMMON" vbProcedure="false">CFMODEL!$C$792</definedName>
    <definedName function="false" hidden="false" name="Common3" vbProcedure="false">CFMACROS!$G$332</definedName>
    <definedName function="false" hidden="false" name="Common5" vbProcedure="false">CFMACROS!$G$368</definedName>
    <definedName function="false" hidden="false" name="COMNAME" vbProcedure="false">CFMODEL!$A$792</definedName>
    <definedName function="false" hidden="false" name="CS" vbProcedure="false">CFMODEL!$A$975:$S$1021</definedName>
    <definedName function="false" hidden="false" name="Debt" vbProcedure="false">CFMACROS!$A$165</definedName>
    <definedName function="false" hidden="false" name="Debt_Sched" vbProcedure="false">CFMODEL!$A$478:$S$547</definedName>
    <definedName function="false" hidden="false" name="DEFREV" vbProcedure="false">CFMODEL!$I$225:$AC$226</definedName>
    <definedName function="false" hidden="false" name="DEFREV1" vbProcedure="false">CFMODEL!$I$225:$I$226</definedName>
    <definedName function="false" hidden="false" name="DEFREV2" vbProcedure="false">CFMODEL!$G$225:$G$226</definedName>
    <definedName function="false" hidden="false" name="DEFREVA" vbProcedure="false">CFMODEL!$I$225</definedName>
    <definedName function="false" hidden="false" name="DEFREVB" vbProcedure="false">CFMODEL!$I$226</definedName>
    <definedName function="false" hidden="false" name="delarea" vbProcedure="false">CFMODEL!$A$975:$AC$1059</definedName>
    <definedName function="false" hidden="false" name="DILUTION" vbProcedure="false">CFMODEL!$A$933:$S$961</definedName>
    <definedName function="false" hidden="false" name="EOP" vbProcedure="false">CFMODEL!$E$170:$AC$170</definedName>
    <definedName function="false" hidden="false" name="EPCAP" vbProcedure="false">EP!$A$8:$AC$37</definedName>
    <definedName function="false" hidden="false" name="EPCAPSIM" vbProcedure="false">EP!$A$40:$AC$71</definedName>
    <definedName function="false" hidden="false" name="epcos" vbProcedure="false">EP!$A$725:$AC$768</definedName>
    <definedName function="false" hidden="false" name="epcount" vbProcedure="false">EP!$G$826</definedName>
    <definedName function="false" hidden="false" name="epdep" vbProcedure="false">EP!$A$96:$AC$128</definedName>
    <definedName function="false" hidden="false" name="epdepl" vbProcedure="false">EP!$A$131:$AC$141</definedName>
    <definedName function="false" hidden="false" name="epesc" vbProcedure="false">EP!$A$178:$AC$192</definedName>
    <definedName function="false" hidden="false" name="epfa" vbProcedure="false">EP!$A$74:$AC$92</definedName>
    <definedName function="false" hidden="false" name="epfasum" vbProcedure="false">EP!$A$144:$AC$175</definedName>
    <definedName function="false" hidden="false" name="epfuel" vbProcedure="false">EP!$A$195:$AC$237</definedName>
    <definedName function="false" hidden="false" name="EPHED" vbProcedure="false">EP!$A$660</definedName>
    <definedName function="false" hidden="false" name="EPNAV" vbProcedure="false">EP!$A$778:$AC$820</definedName>
    <definedName function="false" hidden="false" name="epog1" vbProcedure="false">EP!$A$240:$AC$307</definedName>
    <definedName function="false" hidden="false" name="epog2" vbProcedure="false">EP!$A$309:$AC$380</definedName>
    <definedName function="false" hidden="false" name="epog3" vbProcedure="false">EP!$A$382:$AC$450</definedName>
    <definedName function="false" hidden="false" name="epog4" vbProcedure="false">EP!$A$452:$AC$520</definedName>
    <definedName function="false" hidden="false" name="epog5" vbProcedure="false">EP!$A$522:$AC$590</definedName>
    <definedName function="false" hidden="false" name="epog6" vbProcedure="false">EP!$A$592:$AC$656</definedName>
    <definedName function="false" hidden="false" name="epogsum" vbProcedure="false">EP!$A$659:$AC$722</definedName>
    <definedName function="false" hidden="false" name="epp" vbProcedure="false">EP!$A$195:$AC$237</definedName>
    <definedName function="false" hidden="false" name="epteras" vbProcedure="false">EP!$A$824:$AC$829</definedName>
    <definedName function="false" hidden="false" name="eptrials" vbProcedure="false">EP!$G$824</definedName>
    <definedName function="false" hidden="false" name="ESOP" vbProcedure="false">CFMODEL!$A$621:$S$632</definedName>
    <definedName function="false" hidden="false" name="Everything" vbProcedure="false">CFMACROS!$I$187</definedName>
    <definedName function="false" hidden="false" name="FASB" vbProcedure="false">CFMODEL!$A$1023:$S$1059</definedName>
    <definedName function="false" hidden="false" name="FEES" vbProcedure="false">CFMODEL!$A$368:$S$649</definedName>
    <definedName function="false" hidden="false" name="FEES1" vbProcedure="false">CFMODEL!$E$370</definedName>
    <definedName function="false" hidden="false" name="FINANCIALS" vbProcedure="false">CFMODEL!$A$67:$S$435</definedName>
    <definedName function="false" hidden="false" name="FINFEE" vbProcedure="false">CFMODEL!$J$88:$AC$88</definedName>
    <definedName function="false" hidden="false" name="FINFEE1" vbProcedure="false">CFMODEL!$I$88</definedName>
    <definedName function="false" hidden="false" name="FINFEE1A" vbProcedure="false">CFMODEL!$I$90</definedName>
    <definedName function="false" hidden="false" name="FINFEE2" vbProcedure="false">CFMODEL!$J$88</definedName>
    <definedName function="false" hidden="false" name="FINFEE2A" vbProcedure="false">CFMODEL!$J$90</definedName>
    <definedName function="false" hidden="false" name="FS" vbProcedure="false">CFMODEL!$A$67:$S$435</definedName>
    <definedName function="false" hidden="false" name="FundsFlow" vbProcedure="false">CFMODEL!$A$334:$T$365</definedName>
    <definedName function="false" hidden="false" name="FYE" vbProcedure="false">CFMODEL!$E$331</definedName>
    <definedName function="false" hidden="false" name="FYE1" vbProcedure="false">CFMODEL!$E$331</definedName>
    <definedName function="false" hidden="false" name="General" vbProcedure="false">CFMACROS!$A$68</definedName>
    <definedName function="false" hidden="false" name="HIST_PROJ" vbProcedure="false">CFMODEL!$I$24:$I$61</definedName>
    <definedName function="false" hidden="false" name="INCTAX" vbProcedure="false">CFMODEL!$A$652:$S$760</definedName>
    <definedName function="false" hidden="false" name="INPUT" vbProcedure="false">CFMODEL!$A$320:$S$651</definedName>
    <definedName function="false" hidden="false" name="Input_Menu" vbProcedure="false">CFMACROS!$A$52:$E$59</definedName>
    <definedName function="false" hidden="false" name="Input_Statements_Box" vbProcedure="false">CFMACROS!$A$239:$G$249</definedName>
    <definedName function="false" hidden="false" name="INT" vbProcedure="false">CFMODEL!$A$550:$S$576</definedName>
    <definedName function="false" hidden="false" name="INTEXP" vbProcedure="false">CFMODEL!$J$93:$AC$93</definedName>
    <definedName function="false" hidden="false" name="INTEXP1" vbProcedure="false">CFMODEL!$I$93</definedName>
    <definedName function="false" hidden="false" name="INTEXP1A" vbProcedure="false">CFMODEL!$I$91</definedName>
    <definedName function="false" hidden="false" name="INTEXP2" vbProcedure="false">CFMODEL!$J$93</definedName>
    <definedName function="false" hidden="false" name="INTEXP2A" vbProcedure="false">CFMODEL!$J$91</definedName>
    <definedName function="false" hidden="false" name="INTINC" vbProcedure="false">CFMODEL!$J$86:$AC$86</definedName>
    <definedName function="false" hidden="false" name="INTINC1" vbProcedure="false">CFMODEL!$I$86</definedName>
    <definedName function="false" hidden="false" name="INTINC1A" vbProcedure="false">CFMODEL!$I$85</definedName>
    <definedName function="false" hidden="false" name="INTINC2" vbProcedure="false">CFMODEL!$J$86</definedName>
    <definedName function="false" hidden="false" name="INTINC2A" vbProcedure="false">CFMODEL!$J$85</definedName>
    <definedName function="false" hidden="false" name="IS" vbProcedure="false">CFMODEL!$A$67:$S$112</definedName>
    <definedName function="false" hidden="false" name="iterprec" vbProcedure="false">CFMODEL!$B$2</definedName>
    <definedName function="false" hidden="false" name="iterx" vbProcedure="false">CFMODEL!$A$2</definedName>
    <definedName function="false" hidden="false" name="JRSUB" vbProcedure="false">CFMODEL!$C$790</definedName>
    <definedName function="false" hidden="false" name="JRSUB3" vbProcedure="false">CFMODEL!$E$790</definedName>
    <definedName function="false" hidden="false" name="JRSUB5" vbProcedure="false">CFMODEL!$G$790</definedName>
    <definedName function="false" hidden="false" name="JRSUBNAME" vbProcedure="false">CFMODEL!$A$790</definedName>
    <definedName function="false" hidden="false" name="Jr_Sub3" vbProcedure="false">CFMACROS!$E$332</definedName>
    <definedName function="false" hidden="false" name="Jr_Sub5" vbProcedure="false">CFMACROS!$E$368</definedName>
    <definedName function="false" hidden="false" name="K" vbProcedure="false">CFMODEL!$I$224:$AC$270</definedName>
    <definedName function="false" hidden="false" name="KA" vbProcedure="false">CFMODEL!$I$224:$I$270</definedName>
    <definedName function="false" hidden="false" name="KB" vbProcedure="false">CFMODEL!$F$224:$F$270</definedName>
    <definedName function="false" hidden="false" name="MULTIPLE3" vbProcedure="false">CFMODEL!$K$788</definedName>
    <definedName function="false" hidden="false" name="MULTIPLE5" vbProcedure="false">CFMODEL!$N$788</definedName>
    <definedName function="false" hidden="false" name="Oil_Gas" vbProcedure="false">CFMACROS!$A$255</definedName>
    <definedName function="false" hidden="false" name="OPENBS" vbProcedure="false">CFMODEL!$A$387:$S$435</definedName>
    <definedName function="false" hidden="false" name="Optimize" vbProcedure="false">CFMACROS!$B$1</definedName>
    <definedName function="false" hidden="false" name="opto" vbProcedure="false">CFMACROS!$E$8</definedName>
    <definedName function="false" hidden="false" name="Other_Inc" vbProcedure="false">CFMODEL!$A$579:$S$596</definedName>
    <definedName function="false" hidden="false" name="output" vbProcedure="false">EP!$E$832:$Y$850</definedName>
    <definedName function="false" hidden="false" name="OVERVIEW" vbProcedure="false">CFMODEL!$A$6:$S$66</definedName>
    <definedName function="false" hidden="false" name="PP" vbProcedure="false">CFMODEL!$A$493:$X$499</definedName>
    <definedName function="false" hidden="false" name="PPIRR" vbProcedure="false">CFMODEL!$G$689</definedName>
    <definedName function="false" hidden="false" name="PPTEST" vbProcedure="false">CFMODEL!$X$694</definedName>
    <definedName function="false" hidden="false" name="PP_Yield" vbProcedure="false">CFMACROS!$C$1</definedName>
    <definedName function="false" hidden="false" name="PREF3" vbProcedure="false">CFMODEL!$E$791</definedName>
    <definedName function="false" hidden="false" name="PREF5" vbProcedure="false">CFMODEL!$G$791</definedName>
    <definedName function="false" hidden="false" name="PREFERRED" vbProcedure="false">CFMODEL!$C$791</definedName>
    <definedName function="false" hidden="false" name="Preferred3" vbProcedure="false">CFMACROS!$F$332</definedName>
    <definedName function="false" hidden="false" name="Preferred5" vbProcedure="false">CFMACROS!$F$368</definedName>
    <definedName function="false" hidden="false" name="PREFNAME" vbProcedure="false">CFMODEL!$A$791</definedName>
    <definedName function="false" hidden="false" name="price" vbProcedure="false">PRICCURV!$A$1:$F$5</definedName>
    <definedName function="false" hidden="false" name="Print_Box" vbProcedure="false">CFMACROS!$A$205:$G$213</definedName>
    <definedName function="false" hidden="false" name="Quick_Move" vbProcedure="false">CFMACROS!$A$10</definedName>
    <definedName function="false" hidden="false" name="Quick_Move_Box" vbProcedure="false">CFMACROS!$A$24:$G$34</definedName>
    <definedName function="false" hidden="false" name="REPAY" vbProcedure="false">CFMODEL!$A$478:$S$547</definedName>
    <definedName function="false" hidden="false" name="RETURNS" vbProcedure="false">CFMODEL!$A$783:$S$884</definedName>
    <definedName function="false" hidden="false" name="REV" vbProcedure="false">CFMODEL!$I$231:$AC$235</definedName>
    <definedName function="false" hidden="false" name="REV1" vbProcedure="false">CFMODEL!$I$231:$I$235</definedName>
    <definedName function="false" hidden="false" name="REV2" vbProcedure="false">CFMODEL!$G$231:$G$235</definedName>
    <definedName function="false" hidden="false" name="REVA" vbProcedure="false">CFMODEL!$I$231</definedName>
    <definedName function="false" hidden="false" name="REVB" vbProcedure="false">CFMODEL!$I$232</definedName>
    <definedName function="false" hidden="false" name="REVC" vbProcedure="false">CFMODEL!$I$233</definedName>
    <definedName function="false" hidden="false" name="REVD" vbProcedure="false">CFMODEL!$I$234</definedName>
    <definedName function="false" hidden="false" name="REVE" vbProcedure="false">CFMODEL!$I$235</definedName>
    <definedName function="false" hidden="false" name="Sensitivity3_Select" vbProcedure="false">CFMACROS!$A$332</definedName>
    <definedName function="false" hidden="false" name="Sensitivity3_Select_Box" vbProcedure="false">CFMACROS!$A$356:$G$363</definedName>
    <definedName function="false" hidden="false" name="Sensitivity5_Select_Box" vbProcedure="false">CFMACROS!$A$392:$G$399</definedName>
    <definedName function="false" hidden="false" name="Set_Calc__s" vbProcedure="false">CFMACROS!$A$1</definedName>
    <definedName function="false" hidden="false" name="SRSUB" vbProcedure="false">CFMODEL!$C$789</definedName>
    <definedName function="false" hidden="false" name="SRSUB3" vbProcedure="false">CFMODEL!$E$789</definedName>
    <definedName function="false" hidden="false" name="SRSUB5" vbProcedure="false">CFMODEL!$G$789</definedName>
    <definedName function="false" hidden="false" name="SRSUBNAME" vbProcedure="false">CFMODEL!$A$789</definedName>
    <definedName function="false" hidden="false" name="Sr_Sub3" vbProcedure="false">CFMACROS!$D$332</definedName>
    <definedName function="false" hidden="false" name="Sr_Sub5" vbProcedure="false">CFMACROS!$D$368</definedName>
    <definedName function="false" hidden="false" name="stub" vbProcedure="false">EP!$H$860</definedName>
    <definedName function="false" hidden="false" name="S_U" vbProcedure="false">CFMODEL!$A$115:$S$168</definedName>
    <definedName function="false" hidden="false" name="TABLE1" vbProcedure="false">CFMODEL!$E$878:$J$883</definedName>
    <definedName function="false" hidden="false" name="TABLE1A" vbProcedure="false">CFMODEL!$F$879:$J$883</definedName>
    <definedName function="false" hidden="false" name="TABLE5" vbProcedure="false">CFMODEL!$M$878:$R$883</definedName>
    <definedName function="false" hidden="false" name="TABLE5A" vbProcedure="false">CFMODEL!$N$879:$R$883</definedName>
    <definedName function="false" hidden="false" name="TAX" vbProcedure="false">CFMODEL!$A$636:$S$649</definedName>
    <definedName function="false" hidden="false" name="TDATE" vbProcedure="false">CFMODEL!$C$323</definedName>
    <definedName function="false" hidden="false" name="teras" vbProcedure="false">CFMACROS!$E$12</definedName>
    <definedName function="false" hidden="false" name="Term_Loan3" vbProcedure="false">CFMACROS!$C$332</definedName>
    <definedName function="false" hidden="false" name="Term_Loan5" vbProcedure="false">CFMACROS!$C$368</definedName>
    <definedName function="false" hidden="false" name="TL" vbProcedure="false">CFMODEL!$C$788</definedName>
    <definedName function="false" hidden="false" name="TL3" vbProcedure="false">CFMODEL!$E$788</definedName>
    <definedName function="false" hidden="false" name="TL5" vbProcedure="false">CFMODEL!$G$788</definedName>
    <definedName function="false" hidden="false" name="TLNAME" vbProcedure="false">CFMODEL!$A$788</definedName>
    <definedName function="false" hidden="false" name="Transaction" vbProcedure="false">CFMACROS!$A$97</definedName>
    <definedName function="false" hidden="false" name="TRANSACTION_FEES" vbProcedure="false">CFMODEL!$A$368:$T$384</definedName>
    <definedName function="false" hidden="false" name="TRANSFF" vbProcedure="false">CFMODEL!$A$321:$S$349</definedName>
    <definedName function="false" hidden="false" name="unit" vbProcedure="false">EP!$H$861</definedName>
    <definedName function="false" hidden="false" name="units" vbProcedure="false">CFMACROS!$G$92</definedName>
    <definedName function="false" hidden="false" name="VAL" vbProcedure="false">CFMODEL!$A$888:$S$932</definedName>
    <definedName function="false" hidden="false" name="waitime" vbProcedure="false">CFMODEL!$A$3</definedName>
    <definedName function="false" hidden="false" name="WC" vbProcedure="false">CFMODEL!$A$439:$S$475</definedName>
    <definedName function="false" hidden="false" name="WCA" vbProcedure="false">CFMODEL!$A$449:$S$932</definedName>
    <definedName function="false" hidden="false" name="YearHeadings" vbProcedure="false">CFMODEL!$E$2:$AC$3</definedName>
    <definedName function="false" hidden="false" localSheetId="1" name="ZA0" vbProcedure="false">"Crystal Ball Data : Ver. 4.0"</definedName>
    <definedName function="false" hidden="false" localSheetId="1" name="ZA0A" vbProcedure="false">2+101</definedName>
    <definedName function="false" hidden="false" localSheetId="1" name="ZA0T" vbProcedure="false">12865569+0</definedName>
    <definedName function="false" hidden="false" localSheetId="1" name="ZA100" vbProcedure="false">PROFILE!$E$18+"adecline"+5+0.349999999999999+0.035</definedName>
    <definedName function="false" hidden="false" localSheetId="1" name="ZA101" vbProcedure="false">PROFILE!$E$10+"eAML"+289+7.7+0.77</definedName>
    <definedName function="false" hidden="false" localSheetId="3" name="Excel_BuiltIn_Print_Area" vbProcedure="false">#REF!</definedName>
    <definedName function="false" hidden="false" localSheetId="3" name="ZA0" vbProcedure="false">"Crystal Ball Data : Ver. 4.0.3"</definedName>
    <definedName function="false" hidden="false" localSheetId="3" name="ZA0A" vbProcedure="false">22+142</definedName>
    <definedName function="false" hidden="false" localSheetId="3" name="ZA0C" vbProcedure="false">6+146</definedName>
    <definedName function="false" hidden="false" localSheetId="3" name="ZA0D" vbProcedure="false">0+0</definedName>
    <definedName function="false" hidden="false" localSheetId="3" name="ZA0F" vbProcedure="false">0+160</definedName>
    <definedName function="false" hidden="false" localSheetId="3" name="ZA0T" vbProcedure="false">340507253+0</definedName>
    <definedName function="false" hidden="false" localSheetId="3" name="ZA108" vbProcedure="false">EP!$F$311+"bPDNP Oil"+513+EP!$E$311+0+0.8+EP!$F$311+0+1+EP!$G$311+0+1.1</definedName>
    <definedName function="false" hidden="false" localSheetId="3" name="ZA109" vbProcedure="false">EP!$F$324+"bPDNP Gas"+513+EP!$E$324+0+0.8+EP!$F$324+0+1+EP!$G$324+0+1.1</definedName>
    <definedName function="false" hidden="false" localSheetId="3" name="ZA110" vbProcedure="false">EP!$F$384+"bPUD Oil"+513+EP!$E$384+0+0.7+EP!$F$384+0+1+EP!$G$384+0+1.15</definedName>
    <definedName function="false" hidden="false" localSheetId="3" name="ZA111" vbProcedure="false">EP!$F$397+"bPUD Gas"+513+EP!$E$397+0+0.7+EP!$F$397+0+1+EP!$G$397+0+1.15</definedName>
    <definedName function="false" hidden="false" localSheetId="3" name="ZA112" vbProcedure="false">EP!$F$454+"bProbs Oil"+513+EP!$E$454+0+0.6+EP!$F$454+0+1+EP!$G$454+0+1.4</definedName>
    <definedName function="false" hidden="false" localSheetId="3" name="ZA113" vbProcedure="false">EP!$F$467+"bProbs Gas"+513+EP!$E$467+0+0.6+EP!$F$467+0+1+EP!$G$467+0+1.4</definedName>
    <definedName function="false" hidden="false" localSheetId="3" name="ZA114" vbProcedure="false">EP!$F$524+"bAcerage Oil"+513+EP!$E$524+0+0.7+EP!$F$524+0+1+EP!$G$524+0+1.15</definedName>
    <definedName function="false" hidden="false" localSheetId="3" name="ZA115" vbProcedure="false">EP!$F$537+"bAcerage Gas"+513+EP!$E$537+0+0.7+EP!$F$537+0+1+EP!$G$537+0+1.15</definedName>
    <definedName function="false" hidden="false" localSheetId="3" name="ZA116" vbProcedure="false">EP!$J$288+"bML"+545+EP!$I$288+0+0.9+EP!$J$288+0+1+EP!$K$288+0+1.05</definedName>
    <definedName function="false" hidden="false" localSheetId="3" name="ZA117" vbProcedure="false">EP!$J$358+"bMl"+545+EP!$I$358+0+0.8+EP!$J$358+0+1+EP!$K$358+0+1.1</definedName>
    <definedName function="false" hidden="false" localSheetId="3" name="ZA118" vbProcedure="false">EP!$J$431+"bMl"+545+EP!$I$431+0+0.7+EP!$J$431+0+1+EP!$K$431+0+1.15</definedName>
    <definedName function="false" hidden="false" localSheetId="3" name="ZA121" vbProcedure="false">EP!$F$243+"aQi"+33+400+40</definedName>
    <definedName function="false" hidden="false" localSheetId="3" name="ZA122" vbProcedure="false">EP!$F$242+"aDecline"+513+0.239999999999999+0.0239999999999999</definedName>
    <definedName function="false" hidden="false" localSheetId="3" name="ZA125" vbProcedure="false">EP!$F$256+"aQi"+33+5500+550</definedName>
    <definedName function="false" hidden="false" localSheetId="3" name="ZA126" vbProcedure="false">EP!$F$255+"aDecline"+513+0.149999999999999+0.015</definedName>
    <definedName function="false" hidden="false" localSheetId="3" name="ZA128" vbProcedure="false">EP!$D$44+"bLikeliest"+5+0.9+1+1.1</definedName>
    <definedName function="false" hidden="false" localSheetId="3" name="ZA129" vbProcedure="false">EP!$D$44+"bD44"+16389+0.9+1+1.1</definedName>
    <definedName function="false" hidden="false" localSheetId="3" name="ZA130" vbProcedure="false">EP!$D$44+"bLikeliest"+5+0.9+1+1.1</definedName>
    <definedName function="false" hidden="false" localSheetId="3" name="ZA132" vbProcedure="false">EP!$K$571+"BBOE:  "+513+EP!$J$571+0+0.7+EP!$K$571+0+1+EP!$L$571+0+1.15+0.700000000000001+1.15000000000001</definedName>
    <definedName function="false" hidden="false" localSheetId="3" name="ZA137" vbProcedure="false">EP!$K$571+"bML"+545+EP!$J$571+0+0.699999999999999+EP!$K$571+0+1+EP!$L$571+0+1.14999999999999</definedName>
    <definedName function="false" hidden="false" localSheetId="3" name="ZA138" vbProcedure="false">EP!$K$571+"bML"+545+EP!$J$571+0+0.699999999999999+EP!$K$571+0+1+EP!$L$571+0+1.14999999999999</definedName>
    <definedName function="false" hidden="false" localSheetId="3" name="ZA139" vbProcedure="false">EP!$K$571+"bML"+545+EP!$J$571+0+0.699999999999999+EP!$K$571+0+1+EP!$L$571+0+1.14999999999999</definedName>
    <definedName function="false" hidden="false" localSheetId="3" name="ZA140" vbProcedure="false">EP!$G$18+"BG18"+16897+EP!$F$18+0+0.699999999999999+EP!$G$18+0+1+EP!$H$18+0+1.14999999999999+0.9+1.1</definedName>
    <definedName function="false" hidden="false" localSheetId="3" name="ZA141" vbProcedure="false">EP!$G$18+"bG18"+16897+EP!$F$18+0+0.699999999999999+EP!$G$18+0+1+EP!$H$18+0+1.14999999999999</definedName>
    <definedName function="false" hidden="false" localSheetId="3" name="ZA142" vbProcedure="false">EP!$G$18+"BG18"+16897+EP!$F$18+0+0.699999999999999+EP!$G$18+0+1+EP!$H$18+0+1.14999999999999+0.7+1.15</definedName>
    <definedName function="false" hidden="false" localSheetId="3" name="ZC138" vbProcedure="false">EP!$J$358+EP!$F$324+0+0.7</definedName>
    <definedName function="false" hidden="false" localSheetId="3" name="ZC139" vbProcedure="false">EP!$J$358+EP!$F$311+0+0.7</definedName>
    <definedName function="false" hidden="false" localSheetId="3" name="ZC140" vbProcedure="false">EP!$J$431+EP!$F$397+0+0.7</definedName>
    <definedName function="false" hidden="false" localSheetId="3" name="ZC141" vbProcedure="false">EP!$J$431+EP!$F$384+0+0.7</definedName>
    <definedName function="false" hidden="false" localSheetId="3" name="ZC145" vbProcedure="false">EP!$K$571+EP!$F$524+0+0.7</definedName>
    <definedName function="false" hidden="false" localSheetId="3" name="ZC146" vbProcedure="false">EP!$G$18+EP!$F$524+0+1</definedName>
    <definedName function="false" hidden="false" localSheetId="4" name="scen_result" vbProcedure="false"/>
    <definedName function="false" hidden="false" localSheetId="4" name="Set_Calc__S" vbProcedure="false">CFMACROS!$A$1</definedName>
    <definedName function="false" hidden="false" localSheetId="4" name="solver_lin" vbProcedure="false">0</definedName>
    <definedName function="false" hidden="false" localSheetId="4" name="solver_num" vbProcedure="false">0</definedName>
    <definedName function="false" hidden="false" localSheetId="4" name="solver_opt" vbProcedure="false">CFMODEL!$B$3</definedName>
    <definedName function="false" hidden="false" localSheetId="4" name="solver_typ" vbProcedure="false">3</definedName>
    <definedName function="false" hidden="false" localSheetId="4" name="solver_val" vbProcedure="false">0</definedName>
    <definedName function="false" hidden="false" localSheetId="4" name="ZA0" vbProcedure="false">"Crystal Ball Data : Ver. 4.0.3"</definedName>
    <definedName function="false" hidden="false" localSheetId="4" name="ZA0A" vbProcedure="false">0+100</definedName>
    <definedName function="false" hidden="false" localSheetId="4" name="ZA0C" vbProcedure="false">0+0</definedName>
    <definedName function="false" hidden="false" localSheetId="4" name="ZA0D" vbProcedure="false">0+0</definedName>
    <definedName function="false" hidden="false" localSheetId="4" name="ZA0F" vbProcedure="false">57+180</definedName>
    <definedName function="false" hidden="false" localSheetId="4" name="ZA0T" vbProcedure="false">340571005+0</definedName>
    <definedName function="false" hidden="false" localSheetId="4" name="ZF100" vbProcedure="false">CFMODEL!$I$227+"Def Rev '96"+""+33+33+504+0+0+0+0+4+3+"-"+"+"+2.6+50+2</definedName>
    <definedName function="false" hidden="false" localSheetId="4" name="ZF101" vbProcedure="false">CFMODEL!$J$227+"Def Rev '97"+""+33+33+440+0+0+0+0+4+3+"-"+"+"+2.6+50+2</definedName>
    <definedName function="false" hidden="false" localSheetId="4" name="ZF102" vbProcedure="false">CFMODEL!$K$227+"Def Rev '98"+""+33+33+440+0+0+0+0+4+3+"-"+"+"+2.6+50+2</definedName>
    <definedName function="false" hidden="false" localSheetId="4" name="ZF103" vbProcedure="false">CFMODEL!$L$227+"Def Rev '99"+""+33+33+440+0+0+0+0+4+3+"-"+"+"+2.6+50+2</definedName>
    <definedName function="false" hidden="false" localSheetId="4" name="ZF104" vbProcedure="false">CFMODEL!$M$227+"Def Rev '00"+""+33+33+440+0+0+0+0+4+3+"-"+"+"+2.6+50+2</definedName>
    <definedName function="false" hidden="false" localSheetId="4" name="ZF105" vbProcedure="false">CFMODEL!$N$227+"Def Rev '01"+""+33+33+440+0+0+0+0+4+3+"-"+"+"+2.6+50+2</definedName>
    <definedName function="false" hidden="false" localSheetId="4" name="ZF106" vbProcedure="false">CFMODEL!$H$851+"Common Stock 3-0"+""+33+33+504+0+0+0+0+4+3+"-"+"+"+2.6+50+2</definedName>
    <definedName function="false" hidden="false" localSheetId="4" name="ZF110" vbProcedure="false">CFMODEL!$L$851+"common stock 3-3"+""+33+33+504+0+0+0+0+4+3+"-"+"+"+2.6+50+2</definedName>
    <definedName function="false" hidden="false" localSheetId="4" name="ZF111" vbProcedure="false">CFMODEL!$H$859+"Common Stock 4-0"+""+33+33+504+0+0+0+0+4+3+"-"+"+"+2.6+50+2</definedName>
    <definedName function="false" hidden="false" localSheetId="4" name="ZF116" vbProcedure="false">CFMODEL!$M$859+"common stock 4-4"+""+33+33+504+0+0+0+0+4+3+"-"+"+"+2.6+50+2</definedName>
    <definedName function="false" hidden="false" localSheetId="4" name="ZF117" vbProcedure="false">CFMODEL!$H$867+"Common Stock 5-0"+""+33+33+504+0+0+0+0+4+3+"-"+"+"+2.6+50+2</definedName>
    <definedName function="false" hidden="false" localSheetId="4" name="ZF123" vbProcedure="false">CFMODEL!$N$867+"common stock 5-5"+""+33+33+504+0+0+0+0+4+3+"-"+"+"+2.6+50+2</definedName>
    <definedName function="false" hidden="false" localSheetId="4" name="ZF124" vbProcedure="false">CFMODEL!$I$851+"Common stock 3-.5"+""+33+33+440+0+0+0+0+4+3+"-"+"+"+2.6+50+2</definedName>
    <definedName function="false" hidden="false" localSheetId="4" name="ZF125" vbProcedure="false">CFMODEL!$J$851+"Common stock 3-1"+""+33+33+440+0+0+0+0+4+3+"-"+"+"+2.6+50+2</definedName>
    <definedName function="false" hidden="false" localSheetId="4" name="ZF126" vbProcedure="false">CFMODEL!$K$851+"Common stock 3-2"+""+33+33+440+0+0+0+0+4+3+"-"+"+"+2.6+50+2</definedName>
    <definedName function="false" hidden="false" localSheetId="4" name="ZF127" vbProcedure="false">CFMODEL!$I$859+"Common 4"+""+33+33+440+0+0+0+0+4+3+"-"+"+"+2.6+50+2</definedName>
    <definedName function="false" hidden="false" localSheetId="4" name="ZF128" vbProcedure="false">CFMODEL!$J$859+"Common 4-2"+""+33+33+440+0+0+0+0+4+3+"-"+"+"+2.6+50+2</definedName>
    <definedName function="false" hidden="false" localSheetId="4" name="ZF129" vbProcedure="false">CFMODEL!$K$859+"Common 4-3"+""+33+33+440+0+0+0+0+4+3+"-"+"+"+2.6+50+2</definedName>
    <definedName function="false" hidden="false" localSheetId="4" name="ZF130" vbProcedure="false">CFMODEL!$L$859+"Common 4-4"+""+33+33+440+0+0+0+0+4+3+"-"+"+"+2.6+50+2</definedName>
    <definedName function="false" hidden="false" localSheetId="4" name="ZF131" vbProcedure="false">CFMODEL!$I$867+"Common 5"+""+33+33+440+0+0+0+0+4+3+"-"+"+"+2.6+50+2</definedName>
    <definedName function="false" hidden="false" localSheetId="4" name="ZF132" vbProcedure="false">CFMODEL!$J$867+"Common 5-1"+""+33+33+440+0+0+0+0+4+3+"-"+"+"+2.6+50+2</definedName>
    <definedName function="false" hidden="false" localSheetId="4" name="ZF133" vbProcedure="false">CFMODEL!$K$867+"Common 5-2"+""+33+33+440+0+0+0+0+4+3+"-"+"+"+2.6+50+2</definedName>
    <definedName function="false" hidden="false" localSheetId="4" name="ZF134" vbProcedure="false">CFMODEL!$L$867+"Common 5-3"+""+33+33+440+0+0+0+0+4+3+"-"+"+"+2.6+50+2</definedName>
    <definedName function="false" hidden="false" localSheetId="4" name="ZF135" vbProcedure="false">CFMODEL!$M$867+"Common 5-4"+""+33+33+440+0+0+0+0+4+3+"-"+"+"+2.6+50+2</definedName>
    <definedName function="false" hidden="false" localSheetId="4" name="ZF136" vbProcedure="false">CFMODEL!$O$227+"DEF REV 02"+""+33+33+440+57+18+336+472+4+3+"-"+"+"+2.6+50+2</definedName>
    <definedName function="false" hidden="false" localSheetId="4" name="ZF137" vbProcedure="false">CFMODEL!$P$227+"DEF REV03"+""+33+33+440+72+40+351+494+4+3+"-"+"+"+2.6+50+2</definedName>
    <definedName function="false" hidden="false" localSheetId="4" name="ZF138" vbProcedure="false">CFMODEL!$Q$227+"DEF REV 04"+""+33+33+440+87+62+366+516+4+3+"-"+"+"+2.6+50+2</definedName>
    <definedName function="false" hidden="false" localSheetId="4" name="ZF139" vbProcedure="false">CFMODEL!$R$227+"DEF REV 05 "+""+33+33+440+102+84+381+538+4+3+"-"+"+"+2.6+50+2</definedName>
    <definedName function="false" hidden="false" localSheetId="4" name="ZF140" vbProcedure="false">CFMODEL!$S$227+"DEF REV 06"+""+33+33+440+117+106+396+560+4+3+"-"+"+"+2.6+50+2</definedName>
    <definedName function="false" hidden="false" localSheetId="4" name="ZF141" vbProcedure="false">CFMODEL!$T$227+"DEF REV 07"+""+33+33+440+132+128+411+582+4+3+"-"+"+"+2.6+50+2</definedName>
    <definedName function="false" hidden="false" localSheetId="4" name="ZF142" vbProcedure="false">CFMODEL!$U$227+"DEF REV 08"+""+33+33+440+147+150+426+604+4+3+"-"+"+"+2.6+50+2</definedName>
    <definedName function="false" hidden="false" localSheetId="4" name="ZF143" vbProcedure="false">CFMODEL!$V$227+"DEF REV 09"+""+33+33+440+162+172+441+626+4+3+"-"+"+"+2.6+50+2</definedName>
    <definedName function="false" hidden="false" localSheetId="4" name="ZF144" vbProcedure="false">CFMODEL!$W$227+"DEF REV 10"+""+33+33+440+177+194+456+648+4+3+"-"+"+"+2.6+50+2</definedName>
    <definedName function="false" hidden="false" localSheetId="4" name="ZF145" vbProcedure="false">CFMODEL!$I$236+"RL 96"+""+33+33+440+192+216+471+670+4+3+"-"+"+"+2.6+50+2</definedName>
    <definedName function="false" hidden="false" localSheetId="4" name="ZF146" vbProcedure="false">CFMODEL!$J$236+"RL 97"+""+33+33+440+0+0+0+0+4+3+"-"+"+"+2.6+50+2</definedName>
    <definedName function="false" hidden="false" localSheetId="4" name="ZF147" vbProcedure="false">CFMODEL!$K$236+"RL 98"+""+33+33+440+0+0+0+0+4+3+"-"+"+"+2.6+50+2</definedName>
    <definedName function="false" hidden="false" localSheetId="4" name="ZF148" vbProcedure="false">CFMODEL!$L$236+"RL 99"+""+33+33+440+0+0+0+0+4+3+"-"+"+"+2.6+50+2</definedName>
    <definedName function="false" hidden="false" localSheetId="4" name="ZF149" vbProcedure="false">CFMODEL!$M$236+"RL 00"+""+33+33+440+0+0+0+0+4+3+"-"+"+"+2.6+50+2</definedName>
    <definedName function="false" hidden="false" localSheetId="4" name="ZF150" vbProcedure="false">CFMODEL!$N$236+"RL01"+""+33+33+440+0+0+0+0+4+3+"-"+"+"+2.6+50+2</definedName>
    <definedName function="false" hidden="false" localSheetId="4" name="ZF151" vbProcedure="false">CFMODEL!$O$236+"RL02"+""+33+33+440+0+0+0+0+4+3+"-"+"+"+2.6+50+2</definedName>
    <definedName function="false" hidden="false" localSheetId="4" name="ZF152" vbProcedure="false">CFMODEL!$P$236+"RL03"+""+33+33+440+0+0+0+0+4+3+"-"+"+"+2.6+50+2</definedName>
    <definedName function="false" hidden="false" localSheetId="4" name="ZF153" vbProcedure="false">CFMODEL!$Q$236+"RL 04"+""+33+33+440+0+0+0+0+4+3+"-"+"+"+2.6+50+2</definedName>
    <definedName function="false" hidden="false" localSheetId="4" name="ZF154" vbProcedure="false">CFMODEL!$R$236+"RL 05"+""+33+33+440+0+0+0+0+4+3+"-"+"+"+2.6+50+2</definedName>
    <definedName function="false" hidden="false" localSheetId="4" name="ZF155" vbProcedure="false">CFMODEL!$S$236+"RL 06"+""+33+33+440+0+0+0+0+4+3+"-"+"+"+2.6+50+2</definedName>
    <definedName function="false" hidden="false" localSheetId="4" name="ZF156" vbProcedure="false">CFMODEL!$T$236+"RL 07"+""+33+33+440+0+0+0+0+4+3+"-"+"+"+2.6+50+2</definedName>
    <definedName function="false" hidden="false" localSheetId="4" name="ZF157" vbProcedure="false">CFMODEL!$U$236+"RL 08"+""+33+33+440+0+0+0+0+4+3+"-"+"+"+2.6+50+2</definedName>
    <definedName function="false" hidden="false" localSheetId="4" name="ZF158" vbProcedure="false">CFMODEL!$V$236+"RL 09"+""+33+33+440+0+0+0+0+4+3+"-"+"+"+2.6+50+2</definedName>
    <definedName function="false" hidden="false" localSheetId="4" name="ZF159" vbProcedure="false">CFMODEL!$W$236+"RL10"+""+33+33+440+0+0+0+0+4+3+"-"+"+"+2.6+50+2</definedName>
    <definedName function="false" hidden="false" localSheetId="4" name="ZF160" vbProcedure="false">CFMODEL!$X$227+"X227"+""+16417+33+440+0+0+0+0+4+3+"-"+"+"+2.6+50+2</definedName>
    <definedName function="false" hidden="false" localSheetId="4" name="ZF161" vbProcedure="false">CFMODEL!$Y$227+"Y227"+""+16417+33+440+0+0+0+0+4+3+"-"+"+"+2.6+50+2</definedName>
    <definedName function="false" hidden="false" localSheetId="4" name="ZF162" vbProcedure="false">CFMODEL!$Z$227+"Z227"+""+16417+33+440+0+0+0+0+4+3+"-"+"+"+2.6+50+2</definedName>
    <definedName function="false" hidden="false" localSheetId="4" name="ZF163" vbProcedure="false">CFMODEL!$AA$227+"AA227"+""+16417+33+440+0+0+0+0+4+3+"-"+"+"+2.6+50+2</definedName>
    <definedName function="false" hidden="false" localSheetId="4" name="ZF164" vbProcedure="false">CFMODEL!$AB$227+"AB227"+""+16417+33+440+0+0+0+0+4+3+"-"+"+"+2.6+50+2</definedName>
    <definedName function="false" hidden="false" localSheetId="4" name="ZF165" vbProcedure="false">CFMODEL!$AC$227+"AC227"+""+16417+33+440+0+0+0+0+4+3+"-"+"+"+2.6+50+2</definedName>
    <definedName function="false" hidden="false" localSheetId="4" name="ZF178" vbProcedure="false">#REF!+"Mult Yr. 3"+""+545+545+440+0+0+0+0+4+3+"-"+"+"+2.6+50+2</definedName>
    <definedName function="false" hidden="false" localSheetId="4" name="ZF179" vbProcedure="false">#REF!+"Mult Yr. 4"+""+545+545+440+0+0+0+0+4+3+"-"+"+"+2.6+50+2</definedName>
    <definedName function="false" hidden="false" localSheetId="4" name="ZF180" vbProcedure="false">#REF!+"Mult Yr. 5"+""+545+545+440+0+0+0+0+4+3+"-"+"+"+2.6+50+2</definedName>
    <definedName function="false" hidden="false" localSheetId="4" name="_Table1_In1" vbProcedure="false">CFMODEL!$C$789</definedName>
    <definedName function="false" hidden="false" localSheetId="4" name="_Table1_Out" vbProcedure="false">CFMODEL!$E$878:$J$883</definedName>
    <definedName function="false" hidden="false" localSheetId="4" name="_Table2_In1" vbProcedure="false">CFMODEL!$C$789</definedName>
    <definedName function="false" hidden="false" localSheetId="4" name="_Table2_In2" vbProcedure="false">CFMODEL!$M$788</definedName>
    <definedName function="false" hidden="false" localSheetId="4" name="_Table2_Out" vbProcedure="false">CFMODEL!$E$878:$J$883</definedName>
    <definedName function="false" hidden="false" localSheetId="5" name="Input_Statements_Box" vbProcedure="false">CFMACROS!$A$239:$G$249</definedName>
    <definedName function="false" hidden="false" name="Term.Loan5" vbProcedure="false"/>
    <definedName function="false" hidden="false" name="Sr.Sub5" vbProcedure="false"/>
    <definedName function="false" hidden="false" name="Jr.Sub5" vbProcedure="false"/>
  </definedNames>
  <calcPr iterateCount="3" refMode="A1" iterate="true" iterateDelta="0.001"/>
  <extLst>
    <ext xmlns:loext="http://schemas.libreoffice.org/" uri="{7626C862-2A13-11E5-B345-FEFF819CDC9F}">
      <loext:extCalcPr stringRefSyntax="CalcA1"/>
    </ext>
  </extLst>
</workbook>
</file>

<file path=xl/comments2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D5" authorId="0">
      <text>
        <r>
          <rPr>
            <sz val="8"/>
            <color rgb="FF000000"/>
            <rFont val="Tahoma"/>
            <family val="0"/>
          </rPr>
          <t xml:space="preserve">No distribution required if F&amp;D costs vary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4</xdr:col>
                <xdr:colOff>15</xdr:colOff>
                <xdr:row>3</xdr:row>
                <xdr:rowOff>6</xdr:rowOff>
              </xdr:from>
              <xdr:to>
                <xdr:col>6</xdr:col>
                <xdr:colOff>23</xdr:colOff>
                <xdr:row>8</xdr:row>
                <xdr:rowOff>4</xdr:rowOff>
              </xdr:to>
            </anchor>
          </commentPr>
        </mc:Choice>
        <mc:Fallback/>
      </mc:AlternateContent>
    </comment>
  </commentList>
</comments>
</file>

<file path=xl/comments3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B51" authorId="0">
      <text>
        <r>
          <rPr>
            <sz val="8"/>
            <color rgb="FF000000"/>
            <rFont val="Tahoma"/>
            <family val="0"/>
          </rPr>
          <t xml:space="preserve">Defaults to forward price curve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15</xdr:colOff>
                <xdr:row>49</xdr:row>
                <xdr:rowOff>5</xdr:rowOff>
              </xdr:from>
              <xdr:to>
                <xdr:col>3</xdr:col>
                <xdr:colOff>48</xdr:colOff>
                <xdr:row>54</xdr:row>
                <xdr:rowOff>4</xdr:rowOff>
              </xdr:to>
            </anchor>
          </commentPr>
        </mc:Choice>
        <mc:Fallback/>
      </mc:AlternateContent>
    </comment>
    <comment ref="B62" authorId="0">
      <text>
        <r>
          <rPr>
            <sz val="8"/>
            <color rgb="FF000000"/>
            <rFont val="Tahoma"/>
            <family val="0"/>
          </rPr>
          <t xml:space="preserve">Defaults to forward price curve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15</xdr:colOff>
                <xdr:row>60</xdr:row>
                <xdr:rowOff>5</xdr:rowOff>
              </xdr:from>
              <xdr:to>
                <xdr:col>3</xdr:col>
                <xdr:colOff>48</xdr:colOff>
                <xdr:row>65</xdr:row>
                <xdr:rowOff>4</xdr:rowOff>
              </xdr:to>
            </anchor>
          </commentPr>
        </mc:Choice>
        <mc:Fallback/>
      </mc:AlternateContent>
    </comment>
  </commentList>
</comments>
</file>

<file path=xl/comments4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B133" authorId="0">
      <text>
        <r>
          <rPr>
            <sz val="8"/>
            <color rgb="FF000000"/>
            <rFont val="Tahoma"/>
            <family val="0"/>
          </rPr>
          <t xml:space="preserve">First period defaults to total PP&amp;E on balance sheet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15</xdr:colOff>
                <xdr:row>131</xdr:row>
                <xdr:rowOff>6</xdr:rowOff>
              </xdr:from>
              <xdr:to>
                <xdr:col>3</xdr:col>
                <xdr:colOff>48</xdr:colOff>
                <xdr:row>136</xdr:row>
                <xdr:rowOff>4</xdr:rowOff>
              </xdr:to>
            </anchor>
          </commentPr>
        </mc:Choice>
        <mc:Fallback/>
      </mc:AlternateContent>
    </comment>
    <comment ref="B249" authorId="0">
      <text>
        <r>
          <rPr>
            <sz val="8"/>
            <color rgb="FF000000"/>
            <rFont val="Tahoma"/>
            <family val="0"/>
          </rPr>
          <t xml:space="preserve">Defaults to forward price curve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15</xdr:colOff>
                <xdr:row>247</xdr:row>
                <xdr:rowOff>5</xdr:rowOff>
              </xdr:from>
              <xdr:to>
                <xdr:col>3</xdr:col>
                <xdr:colOff>48</xdr:colOff>
                <xdr:row>252</xdr:row>
                <xdr:rowOff>4</xdr:rowOff>
              </xdr:to>
            </anchor>
          </commentPr>
        </mc:Choice>
        <mc:Fallback/>
      </mc:AlternateContent>
    </comment>
    <comment ref="B265" authorId="0">
      <text>
        <r>
          <rPr>
            <sz val="8"/>
            <color rgb="FF000000"/>
            <rFont val="Tahoma"/>
            <family val="0"/>
          </rPr>
          <t xml:space="preserve">Defaults to forward price curve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15</xdr:colOff>
                <xdr:row>263</xdr:row>
                <xdr:rowOff>5</xdr:rowOff>
              </xdr:from>
              <xdr:to>
                <xdr:col>3</xdr:col>
                <xdr:colOff>48</xdr:colOff>
                <xdr:row>268</xdr:row>
                <xdr:rowOff>4</xdr:rowOff>
              </xdr:to>
            </anchor>
          </commentPr>
        </mc:Choice>
        <mc:Fallback/>
      </mc:AlternateContent>
    </comment>
    <comment ref="B276" authorId="0">
      <text>
        <r>
          <rPr>
            <sz val="8"/>
            <color rgb="FF000000"/>
            <rFont val="Tahoma"/>
            <family val="0"/>
          </rPr>
          <t xml:space="preserve">Defaults to forward price curve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15</xdr:colOff>
                <xdr:row>274</xdr:row>
                <xdr:rowOff>5</xdr:rowOff>
              </xdr:from>
              <xdr:to>
                <xdr:col>3</xdr:col>
                <xdr:colOff>48</xdr:colOff>
                <xdr:row>279</xdr:row>
                <xdr:rowOff>4</xdr:rowOff>
              </xdr:to>
            </anchor>
          </commentPr>
        </mc:Choice>
        <mc:Fallback/>
      </mc:AlternateContent>
    </comment>
    <comment ref="B319" authorId="0">
      <text>
        <r>
          <rPr>
            <sz val="8"/>
            <color rgb="FF000000"/>
            <rFont val="Tahoma"/>
            <family val="0"/>
          </rPr>
          <t xml:space="preserve">Defaults to forward price curve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15</xdr:colOff>
                <xdr:row>317</xdr:row>
                <xdr:rowOff>5</xdr:rowOff>
              </xdr:from>
              <xdr:to>
                <xdr:col>3</xdr:col>
                <xdr:colOff>48</xdr:colOff>
                <xdr:row>322</xdr:row>
                <xdr:rowOff>4</xdr:rowOff>
              </xdr:to>
            </anchor>
          </commentPr>
        </mc:Choice>
        <mc:Fallback/>
      </mc:AlternateContent>
    </comment>
    <comment ref="B335" authorId="0">
      <text>
        <r>
          <rPr>
            <sz val="8"/>
            <color rgb="FF000000"/>
            <rFont val="Tahoma"/>
            <family val="0"/>
          </rPr>
          <t xml:space="preserve">Defaults to forward price curve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15</xdr:colOff>
                <xdr:row>333</xdr:row>
                <xdr:rowOff>5</xdr:rowOff>
              </xdr:from>
              <xdr:to>
                <xdr:col>3</xdr:col>
                <xdr:colOff>48</xdr:colOff>
                <xdr:row>338</xdr:row>
                <xdr:rowOff>4</xdr:rowOff>
              </xdr:to>
            </anchor>
          </commentPr>
        </mc:Choice>
        <mc:Fallback/>
      </mc:AlternateContent>
    </comment>
    <comment ref="B346" authorId="0">
      <text>
        <r>
          <rPr>
            <sz val="8"/>
            <color rgb="FF000000"/>
            <rFont val="Tahoma"/>
            <family val="0"/>
          </rPr>
          <t xml:space="preserve">Defaults to forward price curve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15</xdr:colOff>
                <xdr:row>344</xdr:row>
                <xdr:rowOff>5</xdr:rowOff>
              </xdr:from>
              <xdr:to>
                <xdr:col>3</xdr:col>
                <xdr:colOff>48</xdr:colOff>
                <xdr:row>349</xdr:row>
                <xdr:rowOff>4</xdr:rowOff>
              </xdr:to>
            </anchor>
          </commentPr>
        </mc:Choice>
        <mc:Fallback/>
      </mc:AlternateContent>
    </comment>
    <comment ref="B392" authorId="0">
      <text>
        <r>
          <rPr>
            <sz val="8"/>
            <color rgb="FF000000"/>
            <rFont val="Tahoma"/>
            <family val="0"/>
          </rPr>
          <t xml:space="preserve">Defaults to forward price curve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15</xdr:colOff>
                <xdr:row>390</xdr:row>
                <xdr:rowOff>5</xdr:rowOff>
              </xdr:from>
              <xdr:to>
                <xdr:col>3</xdr:col>
                <xdr:colOff>48</xdr:colOff>
                <xdr:row>395</xdr:row>
                <xdr:rowOff>4</xdr:rowOff>
              </xdr:to>
            </anchor>
          </commentPr>
        </mc:Choice>
        <mc:Fallback/>
      </mc:AlternateContent>
    </comment>
    <comment ref="B408" authorId="0">
      <text>
        <r>
          <rPr>
            <sz val="8"/>
            <color rgb="FF000000"/>
            <rFont val="Tahoma"/>
            <family val="0"/>
          </rPr>
          <t xml:space="preserve">Defaults to forward price curve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15</xdr:colOff>
                <xdr:row>406</xdr:row>
                <xdr:rowOff>5</xdr:rowOff>
              </xdr:from>
              <xdr:to>
                <xdr:col>3</xdr:col>
                <xdr:colOff>48</xdr:colOff>
                <xdr:row>411</xdr:row>
                <xdr:rowOff>4</xdr:rowOff>
              </xdr:to>
            </anchor>
          </commentPr>
        </mc:Choice>
        <mc:Fallback/>
      </mc:AlternateContent>
    </comment>
    <comment ref="B419" authorId="0">
      <text>
        <r>
          <rPr>
            <sz val="8"/>
            <color rgb="FF000000"/>
            <rFont val="Tahoma"/>
            <family val="0"/>
          </rPr>
          <t xml:space="preserve">Defaults to forward price curve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15</xdr:colOff>
                <xdr:row>417</xdr:row>
                <xdr:rowOff>5</xdr:rowOff>
              </xdr:from>
              <xdr:to>
                <xdr:col>3</xdr:col>
                <xdr:colOff>48</xdr:colOff>
                <xdr:row>422</xdr:row>
                <xdr:rowOff>4</xdr:rowOff>
              </xdr:to>
            </anchor>
          </commentPr>
        </mc:Choice>
        <mc:Fallback/>
      </mc:AlternateContent>
    </comment>
    <comment ref="B462" authorId="0">
      <text>
        <r>
          <rPr>
            <sz val="8"/>
            <color rgb="FF000000"/>
            <rFont val="Tahoma"/>
            <family val="0"/>
          </rPr>
          <t xml:space="preserve">Defaults to forward price curve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15</xdr:colOff>
                <xdr:row>460</xdr:row>
                <xdr:rowOff>5</xdr:rowOff>
              </xdr:from>
              <xdr:to>
                <xdr:col>3</xdr:col>
                <xdr:colOff>48</xdr:colOff>
                <xdr:row>465</xdr:row>
                <xdr:rowOff>4</xdr:rowOff>
              </xdr:to>
            </anchor>
          </commentPr>
        </mc:Choice>
        <mc:Fallback/>
      </mc:AlternateContent>
    </comment>
    <comment ref="B478" authorId="0">
      <text>
        <r>
          <rPr>
            <sz val="8"/>
            <color rgb="FF000000"/>
            <rFont val="Tahoma"/>
            <family val="0"/>
          </rPr>
          <t xml:space="preserve">Defaults to forward price curve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15</xdr:colOff>
                <xdr:row>476</xdr:row>
                <xdr:rowOff>5</xdr:rowOff>
              </xdr:from>
              <xdr:to>
                <xdr:col>3</xdr:col>
                <xdr:colOff>48</xdr:colOff>
                <xdr:row>481</xdr:row>
                <xdr:rowOff>4</xdr:rowOff>
              </xdr:to>
            </anchor>
          </commentPr>
        </mc:Choice>
        <mc:Fallback/>
      </mc:AlternateContent>
    </comment>
    <comment ref="B489" authorId="0">
      <text>
        <r>
          <rPr>
            <sz val="8"/>
            <color rgb="FF000000"/>
            <rFont val="Tahoma"/>
            <family val="0"/>
          </rPr>
          <t xml:space="preserve">Defaults to forward price curve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15</xdr:colOff>
                <xdr:row>487</xdr:row>
                <xdr:rowOff>5</xdr:rowOff>
              </xdr:from>
              <xdr:to>
                <xdr:col>3</xdr:col>
                <xdr:colOff>48</xdr:colOff>
                <xdr:row>492</xdr:row>
                <xdr:rowOff>4</xdr:rowOff>
              </xdr:to>
            </anchor>
          </commentPr>
        </mc:Choice>
        <mc:Fallback/>
      </mc:AlternateContent>
    </comment>
    <comment ref="B532" authorId="0">
      <text>
        <r>
          <rPr>
            <sz val="8"/>
            <color rgb="FF000000"/>
            <rFont val="Tahoma"/>
            <family val="0"/>
          </rPr>
          <t xml:space="preserve">Defaults to forward price curve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15</xdr:colOff>
                <xdr:row>530</xdr:row>
                <xdr:rowOff>5</xdr:rowOff>
              </xdr:from>
              <xdr:to>
                <xdr:col>3</xdr:col>
                <xdr:colOff>48</xdr:colOff>
                <xdr:row>535</xdr:row>
                <xdr:rowOff>4</xdr:rowOff>
              </xdr:to>
            </anchor>
          </commentPr>
        </mc:Choice>
        <mc:Fallback/>
      </mc:AlternateContent>
    </comment>
    <comment ref="B548" authorId="0">
      <text>
        <r>
          <rPr>
            <sz val="8"/>
            <color rgb="FF000000"/>
            <rFont val="Tahoma"/>
            <family val="0"/>
          </rPr>
          <t xml:space="preserve">Defaults to forward price curve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15</xdr:colOff>
                <xdr:row>546</xdr:row>
                <xdr:rowOff>5</xdr:rowOff>
              </xdr:from>
              <xdr:to>
                <xdr:col>3</xdr:col>
                <xdr:colOff>48</xdr:colOff>
                <xdr:row>551</xdr:row>
                <xdr:rowOff>4</xdr:rowOff>
              </xdr:to>
            </anchor>
          </commentPr>
        </mc:Choice>
        <mc:Fallback/>
      </mc:AlternateContent>
    </comment>
    <comment ref="B559" authorId="0">
      <text>
        <r>
          <rPr>
            <sz val="8"/>
            <color rgb="FF000000"/>
            <rFont val="Tahoma"/>
            <family val="0"/>
          </rPr>
          <t xml:space="preserve">Defaults to forward price curve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15</xdr:colOff>
                <xdr:row>557</xdr:row>
                <xdr:rowOff>5</xdr:rowOff>
              </xdr:from>
              <xdr:to>
                <xdr:col>3</xdr:col>
                <xdr:colOff>48</xdr:colOff>
                <xdr:row>562</xdr:row>
                <xdr:rowOff>4</xdr:rowOff>
              </xdr:to>
            </anchor>
          </commentPr>
        </mc:Choice>
        <mc:Fallback/>
      </mc:AlternateContent>
    </comment>
    <comment ref="B600" authorId="0">
      <text>
        <r>
          <rPr>
            <sz val="8"/>
            <color rgb="FF000000"/>
            <rFont val="Tahoma"/>
            <family val="0"/>
          </rPr>
          <t xml:space="preserve">Defaults to forward price curve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15</xdr:colOff>
                <xdr:row>598</xdr:row>
                <xdr:rowOff>5</xdr:rowOff>
              </xdr:from>
              <xdr:to>
                <xdr:col>3</xdr:col>
                <xdr:colOff>48</xdr:colOff>
                <xdr:row>603</xdr:row>
                <xdr:rowOff>4</xdr:rowOff>
              </xdr:to>
            </anchor>
          </commentPr>
        </mc:Choice>
        <mc:Fallback/>
      </mc:AlternateContent>
    </comment>
    <comment ref="B614" authorId="0">
      <text>
        <r>
          <rPr>
            <sz val="8"/>
            <color rgb="FF000000"/>
            <rFont val="Tahoma"/>
            <family val="0"/>
          </rPr>
          <t xml:space="preserve">Defaults to forward price curve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15</xdr:colOff>
                <xdr:row>612</xdr:row>
                <xdr:rowOff>5</xdr:rowOff>
              </xdr:from>
              <xdr:to>
                <xdr:col>3</xdr:col>
                <xdr:colOff>48</xdr:colOff>
                <xdr:row>617</xdr:row>
                <xdr:rowOff>4</xdr:rowOff>
              </xdr:to>
            </anchor>
          </commentPr>
        </mc:Choice>
        <mc:Fallback/>
      </mc:AlternateContent>
    </comment>
    <comment ref="B625" authorId="0">
      <text>
        <r>
          <rPr>
            <sz val="8"/>
            <color rgb="FF000000"/>
            <rFont val="Tahoma"/>
            <family val="0"/>
          </rPr>
          <t xml:space="preserve">Defaults to forward price curve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15</xdr:colOff>
                <xdr:row>623</xdr:row>
                <xdr:rowOff>5</xdr:rowOff>
              </xdr:from>
              <xdr:to>
                <xdr:col>3</xdr:col>
                <xdr:colOff>48</xdr:colOff>
                <xdr:row>628</xdr:row>
                <xdr:rowOff>4</xdr:rowOff>
              </xdr:to>
            </anchor>
          </commentPr>
        </mc:Choice>
        <mc:Fallback/>
      </mc:AlternateContent>
    </comment>
    <comment ref="H80" authorId="0">
      <text>
        <r>
          <rPr>
            <sz val="8"/>
            <color rgb="FF000000"/>
            <rFont val="Tahoma"/>
            <family val="0"/>
          </rPr>
          <t xml:space="preserve">If life is 2 years or less, do not assume declining balance method.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8</xdr:col>
                <xdr:colOff>15</xdr:colOff>
                <xdr:row>78</xdr:row>
                <xdr:rowOff>5</xdr:rowOff>
              </xdr:from>
              <xdr:to>
                <xdr:col>10</xdr:col>
                <xdr:colOff>25</xdr:colOff>
                <xdr:row>83</xdr:row>
                <xdr:rowOff>4</xdr:rowOff>
              </xdr:to>
            </anchor>
          </commentPr>
        </mc:Choice>
        <mc:Fallback/>
      </mc:AlternateContent>
    </comment>
    <comment ref="I826" authorId="0">
      <text>
        <r>
          <rPr>
            <sz val="8"/>
            <color rgb="FF000000"/>
            <rFont val="Tahoma"/>
            <family val="0"/>
          </rPr>
          <t xml:space="preserve">Lookup formula must be customized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9</xdr:col>
                <xdr:colOff>15</xdr:colOff>
                <xdr:row>824</xdr:row>
                <xdr:rowOff>5</xdr:rowOff>
              </xdr:from>
              <xdr:to>
                <xdr:col>11</xdr:col>
                <xdr:colOff>25</xdr:colOff>
                <xdr:row>829</xdr:row>
                <xdr:rowOff>3</xdr:rowOff>
              </xdr:to>
            </anchor>
          </commentPr>
        </mc:Choice>
        <mc:Fallback/>
      </mc:AlternateContent>
    </comment>
  </commentList>
</comments>
</file>

<file path=xl/comments5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F766" authorId="0">
      <text>
        <r>
          <rPr>
            <sz val="8"/>
            <color rgb="FF000000"/>
            <rFont val="Tahoma"/>
            <family val="0"/>
          </rPr>
          <t xml:space="preserve">See note Taxon.xls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6</xdr:col>
                <xdr:colOff>15</xdr:colOff>
                <xdr:row>764</xdr:row>
                <xdr:rowOff>5</xdr:rowOff>
              </xdr:from>
              <xdr:to>
                <xdr:col>8</xdr:col>
                <xdr:colOff>17</xdr:colOff>
                <xdr:row>769</xdr:row>
                <xdr:rowOff>4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<sst xmlns="http://schemas.openxmlformats.org/spreadsheetml/2006/main" count="2487" uniqueCount="1317">
  <si>
    <t xml:space="preserve">PRICE CURVES</t>
  </si>
  <si>
    <t xml:space="preserve">Calculate Averages from Mid or Bid??</t>
  </si>
  <si>
    <t xml:space="preserve">mid</t>
  </si>
  <si>
    <t xml:space="preserve">Updated as of:  </t>
  </si>
  <si>
    <t xml:space="preserve">GAS</t>
  </si>
  <si>
    <t xml:space="preserve">BID</t>
  </si>
  <si>
    <t xml:space="preserve">MID</t>
  </si>
  <si>
    <t xml:space="preserve">OIL</t>
  </si>
  <si>
    <t xml:space="preserve">GAS/OIL YEARLY AVERAGES</t>
  </si>
  <si>
    <t xml:space="preserve">Escalator:</t>
  </si>
  <si>
    <t xml:space="preserve">Remainder</t>
  </si>
  <si>
    <t xml:space="preserve">GAS AVERAGES</t>
  </si>
  <si>
    <t xml:space="preserve">OIL AVERAGES</t>
  </si>
  <si>
    <t xml:space="preserve">Year 20</t>
  </si>
  <si>
    <t xml:space="preserve">Name</t>
  </si>
  <si>
    <t xml:space="preserve">Units</t>
  </si>
  <si>
    <t xml:space="preserve">Variable name</t>
  </si>
  <si>
    <t xml:space="preserve">Reserves</t>
  </si>
  <si>
    <t xml:space="preserve">MBOE, Bcf</t>
  </si>
  <si>
    <t xml:space="preserve">R</t>
  </si>
  <si>
    <t xml:space="preserve">Lognormal/no distribution</t>
  </si>
  <si>
    <t xml:space="preserve">Rmean</t>
  </si>
  <si>
    <t xml:space="preserve">Rstd</t>
  </si>
  <si>
    <t xml:space="preserve">%R mean</t>
  </si>
  <si>
    <t xml:space="preserve">Daily Peak rate</t>
  </si>
  <si>
    <t xml:space="preserve">BOE/d, MMcf/d</t>
  </si>
  <si>
    <t xml:space="preserve">qi</t>
  </si>
  <si>
    <t xml:space="preserve">Lognormal distribution</t>
  </si>
  <si>
    <t xml:space="preserve">qimean</t>
  </si>
  <si>
    <t xml:space="preserve">R/P</t>
  </si>
  <si>
    <t xml:space="preserve">qistd</t>
  </si>
  <si>
    <t xml:space="preserve">%qi mean</t>
  </si>
  <si>
    <t xml:space="preserve">Area under primary</t>
  </si>
  <si>
    <t xml:space="preserve">fraction (of R)</t>
  </si>
  <si>
    <t xml:space="preserve">RA</t>
  </si>
  <si>
    <t xml:space="preserve">Normal distribution</t>
  </si>
  <si>
    <t xml:space="preserve">Res to Change</t>
  </si>
  <si>
    <t xml:space="preserve">     decline curve</t>
  </si>
  <si>
    <t xml:space="preserve">RAmean</t>
  </si>
  <si>
    <t xml:space="preserve">RAstd</t>
  </si>
  <si>
    <t xml:space="preserve">% Ramean</t>
  </si>
  <si>
    <t xml:space="preserve">Slope of primary</t>
  </si>
  <si>
    <t xml:space="preserve">fraction, 1/timeunit</t>
  </si>
  <si>
    <t xml:space="preserve">aA</t>
  </si>
  <si>
    <t xml:space="preserve">1/timeunit</t>
  </si>
  <si>
    <t xml:space="preserve">aAmean</t>
  </si>
  <si>
    <t xml:space="preserve">aAstd</t>
  </si>
  <si>
    <t xml:space="preserve">% aAmean</t>
  </si>
  <si>
    <t xml:space="preserve">Lagtime</t>
  </si>
  <si>
    <t xml:space="preserve">Timeunit</t>
  </si>
  <si>
    <t xml:space="preserve">to</t>
  </si>
  <si>
    <t xml:space="preserve">Peaktime</t>
  </si>
  <si>
    <t xml:space="preserve">ti</t>
  </si>
  <si>
    <t xml:space="preserve">Years until peak:</t>
  </si>
  <si>
    <t xml:space="preserve">Aband Rate</t>
  </si>
  <si>
    <t xml:space="preserve">qa</t>
  </si>
  <si>
    <t xml:space="preserve">Chance of Failure</t>
  </si>
  <si>
    <t xml:space="preserve">fraction, [0,1]</t>
  </si>
  <si>
    <t xml:space="preserve">pFail</t>
  </si>
  <si>
    <t xml:space="preserve">ERROR</t>
  </si>
  <si>
    <t xml:space="preserve">LagtimeInt</t>
  </si>
  <si>
    <t xml:space="preserve">toInt</t>
  </si>
  <si>
    <t xml:space="preserve">PeaktimeInt</t>
  </si>
  <si>
    <t xml:space="preserve">IntTi</t>
  </si>
  <si>
    <t xml:space="preserve">exponentA</t>
  </si>
  <si>
    <t xml:space="preserve">expMaA</t>
  </si>
  <si>
    <t xml:space="preserve">FirstPerRamp</t>
  </si>
  <si>
    <t xml:space="preserve">Ro</t>
  </si>
  <si>
    <t xml:space="preserve">Ramp Prod</t>
  </si>
  <si>
    <t xml:space="preserve">RR</t>
  </si>
  <si>
    <t xml:space="preserve">Change Rate</t>
  </si>
  <si>
    <t xml:space="preserve">qc</t>
  </si>
  <si>
    <t xml:space="preserve">Change time</t>
  </si>
  <si>
    <t xml:space="preserve">tc</t>
  </si>
  <si>
    <t xml:space="preserve">LastPerBaseA</t>
  </si>
  <si>
    <t xml:space="preserve">Int(tc)</t>
  </si>
  <si>
    <t xml:space="preserve">Slope2</t>
  </si>
  <si>
    <t xml:space="preserve">aB</t>
  </si>
  <si>
    <t xml:space="preserve">exponentB</t>
  </si>
  <si>
    <t xml:space="preserve">expMaB</t>
  </si>
  <si>
    <t xml:space="preserve">Aband Time</t>
  </si>
  <si>
    <t xml:space="preserve">ta</t>
  </si>
  <si>
    <t xml:space="preserve">Int(Aband Time)</t>
  </si>
  <si>
    <t xml:space="preserve">IntTa</t>
  </si>
  <si>
    <t xml:space="preserve">Trans1L</t>
  </si>
  <si>
    <t xml:space="preserve">RiL</t>
  </si>
  <si>
    <t xml:space="preserve">Trans1R: Int(ti)&lt;int(tc)</t>
  </si>
  <si>
    <t xml:space="preserve">RiR1</t>
  </si>
  <si>
    <t xml:space="preserve">Trans1R: Int(ti)&gt;=int(tc)</t>
  </si>
  <si>
    <t xml:space="preserve">RiR2</t>
  </si>
  <si>
    <t xml:space="preserve">Trans1R: Used</t>
  </si>
  <si>
    <t xml:space="preserve">RiR</t>
  </si>
  <si>
    <t xml:space="preserve">Trans1</t>
  </si>
  <si>
    <t xml:space="preserve">Ri</t>
  </si>
  <si>
    <t xml:space="preserve">Trans2L</t>
  </si>
  <si>
    <t xml:space="preserve">RcL</t>
  </si>
  <si>
    <t xml:space="preserve">Trans2R</t>
  </si>
  <si>
    <t xml:space="preserve">RcR</t>
  </si>
  <si>
    <t xml:space="preserve">Trans2</t>
  </si>
  <si>
    <t xml:space="preserve">Rc</t>
  </si>
  <si>
    <t xml:space="preserve">Lastyear</t>
  </si>
  <si>
    <t xml:space="preserve">Rlast</t>
  </si>
  <si>
    <t xml:space="preserve">SlopeAfirst</t>
  </si>
  <si>
    <t xml:space="preserve">BaseA</t>
  </si>
  <si>
    <t xml:space="preserve">SlopeBfirst</t>
  </si>
  <si>
    <t xml:space="preserve">BaseB</t>
  </si>
  <si>
    <t xml:space="preserve">Period</t>
  </si>
  <si>
    <t xml:space="preserve">Prod1</t>
  </si>
  <si>
    <t xml:space="preserve">Prod2</t>
  </si>
  <si>
    <t xml:space="preserve">Prod3</t>
  </si>
  <si>
    <t xml:space="preserve">Prod4</t>
  </si>
  <si>
    <t xml:space="preserve">Prod5</t>
  </si>
  <si>
    <t xml:space="preserve">Prod6</t>
  </si>
  <si>
    <t xml:space="preserve">Prod7</t>
  </si>
  <si>
    <t xml:space="preserve">Prod8</t>
  </si>
  <si>
    <t xml:space="preserve">Prod9</t>
  </si>
  <si>
    <t xml:space="preserve">Prod10</t>
  </si>
  <si>
    <t xml:space="preserve">Prod11</t>
  </si>
  <si>
    <t xml:space="preserve">Prod12</t>
  </si>
  <si>
    <t xml:space="preserve">Prod13</t>
  </si>
  <si>
    <t xml:space="preserve">Prod14</t>
  </si>
  <si>
    <t xml:space="preserve">Prod15</t>
  </si>
  <si>
    <t xml:space="preserve">Prod16</t>
  </si>
  <si>
    <t xml:space="preserve">Prod17</t>
  </si>
  <si>
    <t xml:space="preserve">Prod18</t>
  </si>
  <si>
    <t xml:space="preserve">Prod19</t>
  </si>
  <si>
    <t xml:space="preserve">Prod20</t>
  </si>
  <si>
    <t xml:space="preserve">Prod21</t>
  </si>
  <si>
    <t xml:space="preserve">Noise</t>
  </si>
  <si>
    <t xml:space="preserve">1=Mo,2=Qtr,3=Yr</t>
  </si>
  <si>
    <t xml:space="preserve">Convert</t>
  </si>
  <si>
    <t xml:space="preserve">PROFILE5.XLS</t>
  </si>
  <si>
    <t xml:space="preserve">J Murtha June 1995</t>
  </si>
  <si>
    <t xml:space="preserve">Totals</t>
  </si>
  <si>
    <t xml:space="preserve">Total production</t>
  </si>
  <si>
    <t xml:space="preserve">Production transposed to years</t>
  </si>
  <si>
    <t xml:space="preserve">Production in:</t>
  </si>
  <si>
    <t xml:space="preserve">From acquisitions in:</t>
  </si>
  <si>
    <t xml:space="preserve">Total production in BOEs</t>
  </si>
  <si>
    <t xml:space="preserve">Production through Year 20 (period 21)</t>
  </si>
  <si>
    <t xml:space="preserve">Production subsequent to Year 20</t>
  </si>
  <si>
    <t xml:space="preserve">ck</t>
  </si>
  <si>
    <t xml:space="preserve">Acquistions Calculation</t>
  </si>
  <si>
    <t xml:space="preserve">Debt/Total Capitalization</t>
  </si>
  <si>
    <t xml:space="preserve">Target Debt/Total Capitalization</t>
  </si>
  <si>
    <t xml:space="preserve">Target Debt/Equity</t>
  </si>
  <si>
    <t xml:space="preserve">Available debt financing</t>
  </si>
  <si>
    <t xml:space="preserve">% of PV10</t>
  </si>
  <si>
    <t xml:space="preserve">Cash flow before deficit financing</t>
  </si>
  <si>
    <t xml:space="preserve">Multiple</t>
  </si>
  <si>
    <t xml:space="preserve">Adjusted Cash Flow </t>
  </si>
  <si>
    <t xml:space="preserve">PV10</t>
  </si>
  <si>
    <t xml:space="preserve">Debt/PV10</t>
  </si>
  <si>
    <t xml:space="preserve">ACQUISITIONS LIMIT (MAXIMUM DEBT, CF)</t>
  </si>
  <si>
    <t xml:space="preserve">$/BOE for Capital Expenditures (Finding &amp; Development)</t>
  </si>
  <si>
    <t xml:space="preserve">$/BOE</t>
  </si>
  <si>
    <t xml:space="preserve">Base $ </t>
  </si>
  <si>
    <t xml:space="preserve">Distribution</t>
  </si>
  <si>
    <t xml:space="preserve">Parameter 1</t>
  </si>
  <si>
    <t xml:space="preserve">Parameter 2</t>
  </si>
  <si>
    <t xml:space="preserve">Parameter 3</t>
  </si>
  <si>
    <t xml:space="preserve">Factor </t>
  </si>
  <si>
    <t xml:space="preserve">Normal</t>
  </si>
  <si>
    <t xml:space="preserve">Simulated Value </t>
  </si>
  <si>
    <t xml:space="preserve">Acquired Reserves - MBOE</t>
  </si>
  <si>
    <t xml:space="preserve">Delay until production (0,1,or 2 years)</t>
  </si>
  <si>
    <t xml:space="preserve">Production - MBOE (from profile)</t>
  </si>
  <si>
    <t xml:space="preserve">% Allocation to oil</t>
  </si>
  <si>
    <t xml:space="preserve">% Allocation to gas</t>
  </si>
  <si>
    <t xml:space="preserve">Oil production - Mbbls</t>
  </si>
  <si>
    <t xml:space="preserve">BOE Conversion</t>
  </si>
  <si>
    <t xml:space="preserve">Gas production - MMcf</t>
  </si>
  <si>
    <t xml:space="preserve">OIL &amp; GAS INCOME PROJECTIONS</t>
  </si>
  <si>
    <t xml:space="preserve">Acquistion Reserves</t>
  </si>
  <si>
    <t xml:space="preserve">Oil</t>
  </si>
  <si>
    <t xml:space="preserve">Oil Volumes (MBbls)</t>
  </si>
  <si>
    <t xml:space="preserve">Risk Factor</t>
  </si>
  <si>
    <t xml:space="preserve">Risked Oil Volumes</t>
  </si>
  <si>
    <t xml:space="preserve">Oil Pricing Scenario from EP page (1-5)</t>
  </si>
  <si>
    <t xml:space="preserve">    Basis and other adjustments</t>
  </si>
  <si>
    <t xml:space="preserve">Final Price - $/Bbl</t>
  </si>
  <si>
    <t xml:space="preserve">Gas</t>
  </si>
  <si>
    <t xml:space="preserve">Gas Volumes - MMcf</t>
  </si>
  <si>
    <t xml:space="preserve">Risked Gas Volumes - MMcf</t>
  </si>
  <si>
    <t xml:space="preserve">Parameter1</t>
  </si>
  <si>
    <t xml:space="preserve">Parameter2</t>
  </si>
  <si>
    <t xml:space="preserve">Parameter3</t>
  </si>
  <si>
    <t xml:space="preserve">Gas Btu Multiplier, BBtu/MMcf</t>
  </si>
  <si>
    <t xml:space="preserve">Gas Volumes - BBtu</t>
  </si>
  <si>
    <t xml:space="preserve">Gas Pricing Scenario from EP page (1-5) ($/MMBtu)</t>
  </si>
  <si>
    <t xml:space="preserve">Final Price $/Mmbtu</t>
  </si>
  <si>
    <t xml:space="preserve">Total Revenues</t>
  </si>
  <si>
    <t xml:space="preserve">Production Costs:</t>
  </si>
  <si>
    <t xml:space="preserve">Variable</t>
  </si>
  <si>
    <t xml:space="preserve">Conversion</t>
  </si>
  <si>
    <t xml:space="preserve">BOE:  </t>
  </si>
  <si>
    <t xml:space="preserve">Base Variable per BOE</t>
  </si>
  <si>
    <t xml:space="preserve">Factor</t>
  </si>
  <si>
    <t xml:space="preserve">Simulated Amount</t>
  </si>
  <si>
    <t xml:space="preserve">Escalation Scenario (1 - 3)</t>
  </si>
  <si>
    <t xml:space="preserve">Variable Production Cost</t>
  </si>
  <si>
    <t xml:space="preserve">Ad Valorem and Production Taxes</t>
  </si>
  <si>
    <t xml:space="preserve">Tax Rate (on revenues)</t>
  </si>
  <si>
    <t xml:space="preserve">Other fixed:</t>
  </si>
  <si>
    <t xml:space="preserve">Base Amount per Year</t>
  </si>
  <si>
    <t xml:space="preserve">Total Other Fixed</t>
  </si>
  <si>
    <t xml:space="preserve">Other:</t>
  </si>
  <si>
    <t xml:space="preserve">Total Production Costs</t>
  </si>
  <si>
    <t xml:space="preserve">Net Oil &amp; Gas Income</t>
  </si>
  <si>
    <t xml:space="preserve">DEPLETION ANALYSIS:</t>
  </si>
  <si>
    <t xml:space="preserve">Net O&amp;G Book Value as beginning of period</t>
  </si>
  <si>
    <t xml:space="preserve">Total O&amp;G Capital Expenditures</t>
  </si>
  <si>
    <t xml:space="preserve">Conversion to BOE:</t>
  </si>
  <si>
    <t xml:space="preserve">Bbls of Oil Equivalent:</t>
  </si>
  <si>
    <t xml:space="preserve">Depletion Tax Basis ($):</t>
  </si>
  <si>
    <t xml:space="preserve">Cumulative BOE Equivalent (BOE):</t>
  </si>
  <si>
    <t xml:space="preserve">Depletion/BOE ($/BOE):</t>
  </si>
  <si>
    <t xml:space="preserve">Depletion Allowance ($):</t>
  </si>
  <si>
    <t xml:space="preserve">Expense Items</t>
  </si>
  <si>
    <t xml:space="preserve">Cost of Sales - Other</t>
  </si>
  <si>
    <t xml:space="preserve">Cost of Sales - Fixed</t>
  </si>
  <si>
    <t xml:space="preserve">Cost of Sales - Variable (% Total Revenues)</t>
  </si>
  <si>
    <t xml:space="preserve">Base % Revenue</t>
  </si>
  <si>
    <t xml:space="preserve">Totals </t>
  </si>
  <si>
    <t xml:space="preserve">          Total Other Costs of Sales</t>
  </si>
  <si>
    <t xml:space="preserve">Production costs (from above)</t>
  </si>
  <si>
    <t xml:space="preserve">Total Cost of Sales</t>
  </si>
  <si>
    <t xml:space="preserve">G&amp;A Expenses</t>
  </si>
  <si>
    <t xml:space="preserve">G&amp;A Expenses - Fixed</t>
  </si>
  <si>
    <t xml:space="preserve">G&amp;A Expenses - Variable (% Total Revenues)</t>
  </si>
  <si>
    <t xml:space="preserve">G&amp;A Expenses - Other</t>
  </si>
  <si>
    <t xml:space="preserve">Total G&amp;A Expenses</t>
  </si>
  <si>
    <t xml:space="preserve">1996 Production</t>
  </si>
  <si>
    <t xml:space="preserve">1997 Production</t>
  </si>
  <si>
    <t xml:space="preserve">1998 Production</t>
  </si>
  <si>
    <t xml:space="preserve">1999 Production</t>
  </si>
  <si>
    <t xml:space="preserve">2000 Production</t>
  </si>
  <si>
    <t xml:space="preserve">2001 Production</t>
  </si>
  <si>
    <t xml:space="preserve">2002 Production</t>
  </si>
  <si>
    <t xml:space="preserve">2003 Production</t>
  </si>
  <si>
    <t xml:space="preserve">2004 Production</t>
  </si>
  <si>
    <t xml:space="preserve">2005 Production</t>
  </si>
  <si>
    <t xml:space="preserve">2006 Production</t>
  </si>
  <si>
    <t xml:space="preserve">2007 Production</t>
  </si>
  <si>
    <t xml:space="preserve">2008 Production</t>
  </si>
  <si>
    <t xml:space="preserve">2009 Production</t>
  </si>
  <si>
    <t xml:space="preserve">2010 Production</t>
  </si>
  <si>
    <t xml:space="preserve">2011 Production</t>
  </si>
  <si>
    <t xml:space="preserve">2012 Production</t>
  </si>
  <si>
    <t xml:space="preserve">2013 Production</t>
  </si>
  <si>
    <t xml:space="preserve">2014 Production</t>
  </si>
  <si>
    <t xml:space="preserve">2015 Production</t>
  </si>
  <si>
    <t xml:space="preserve">TOTAL    OIL</t>
  </si>
  <si>
    <t xml:space="preserve">                GAS</t>
  </si>
  <si>
    <t xml:space="preserve">PV10/Return calculation</t>
  </si>
  <si>
    <t xml:space="preserve">Acquistions in </t>
  </si>
  <si>
    <t xml:space="preserve">1996  Revenue</t>
  </si>
  <si>
    <t xml:space="preserve">1996 Exp.</t>
  </si>
  <si>
    <t xml:space="preserve">1996 Capex</t>
  </si>
  <si>
    <t xml:space="preserve">1996 Cash Flow</t>
  </si>
  <si>
    <t xml:space="preserve">IRR</t>
  </si>
  <si>
    <t xml:space="preserve">1997  Revenue</t>
  </si>
  <si>
    <t xml:space="preserve">1997 Exp.</t>
  </si>
  <si>
    <t xml:space="preserve">1997 Capex</t>
  </si>
  <si>
    <t xml:space="preserve">1997 Cash Flow</t>
  </si>
  <si>
    <t xml:space="preserve">1998  Revenue</t>
  </si>
  <si>
    <t xml:space="preserve">1998 Exp.</t>
  </si>
  <si>
    <t xml:space="preserve">1998 Capex</t>
  </si>
  <si>
    <t xml:space="preserve">1998 Cash Flow</t>
  </si>
  <si>
    <t xml:space="preserve">1999  Revenue</t>
  </si>
  <si>
    <t xml:space="preserve">1999 Exp.</t>
  </si>
  <si>
    <t xml:space="preserve">1999 Capex</t>
  </si>
  <si>
    <t xml:space="preserve">1999 Cash Flow</t>
  </si>
  <si>
    <t xml:space="preserve">2000  Revenue</t>
  </si>
  <si>
    <t xml:space="preserve">2000 Exp.</t>
  </si>
  <si>
    <t xml:space="preserve">2000 Capex</t>
  </si>
  <si>
    <t xml:space="preserve">2000 Cash Flow</t>
  </si>
  <si>
    <t xml:space="preserve">2001  Revenue</t>
  </si>
  <si>
    <t xml:space="preserve">2001 Exp.</t>
  </si>
  <si>
    <t xml:space="preserve">2001 Capex</t>
  </si>
  <si>
    <t xml:space="preserve">2001 Cash Flow</t>
  </si>
  <si>
    <t xml:space="preserve">2002  Revenue</t>
  </si>
  <si>
    <t xml:space="preserve">2002 Exp.</t>
  </si>
  <si>
    <t xml:space="preserve">2002 Capex</t>
  </si>
  <si>
    <t xml:space="preserve">2002 Cash Flow</t>
  </si>
  <si>
    <t xml:space="preserve">2003  Revenue</t>
  </si>
  <si>
    <t xml:space="preserve">2003 Exp.</t>
  </si>
  <si>
    <t xml:space="preserve">2003 Capex</t>
  </si>
  <si>
    <t xml:space="preserve">2003 Cash Flow</t>
  </si>
  <si>
    <t xml:space="preserve">2004  Revenue</t>
  </si>
  <si>
    <t xml:space="preserve">2004 Exp.</t>
  </si>
  <si>
    <t xml:space="preserve">2004 Capex</t>
  </si>
  <si>
    <t xml:space="preserve">2004 Cash Flow</t>
  </si>
  <si>
    <t xml:space="preserve">2005  Revenue</t>
  </si>
  <si>
    <t xml:space="preserve">2005 Exp.</t>
  </si>
  <si>
    <t xml:space="preserve">2005 Capex</t>
  </si>
  <si>
    <t xml:space="preserve">2005 Cash Flow</t>
  </si>
  <si>
    <t xml:space="preserve">2006  Revenue</t>
  </si>
  <si>
    <t xml:space="preserve">2006 Exp.</t>
  </si>
  <si>
    <t xml:space="preserve">2006 Capex</t>
  </si>
  <si>
    <t xml:space="preserve">2006 Cash Flow</t>
  </si>
  <si>
    <t xml:space="preserve">2007  Revenue</t>
  </si>
  <si>
    <t xml:space="preserve">2007 Exp.</t>
  </si>
  <si>
    <t xml:space="preserve">2007 Capex</t>
  </si>
  <si>
    <t xml:space="preserve">2007 Cash Flow</t>
  </si>
  <si>
    <t xml:space="preserve">2008  Revenue</t>
  </si>
  <si>
    <t xml:space="preserve">2008 Exp.</t>
  </si>
  <si>
    <t xml:space="preserve">2008 Capex</t>
  </si>
  <si>
    <t xml:space="preserve">2008 Cash Flow</t>
  </si>
  <si>
    <t xml:space="preserve">2009 Revenue</t>
  </si>
  <si>
    <t xml:space="preserve">2009 Exp.</t>
  </si>
  <si>
    <t xml:space="preserve">2009 Capex</t>
  </si>
  <si>
    <t xml:space="preserve">2009 Cash Flow</t>
  </si>
  <si>
    <t xml:space="preserve">2010  Revenue</t>
  </si>
  <si>
    <t xml:space="preserve">2010 Exp.</t>
  </si>
  <si>
    <t xml:space="preserve">2010 Capex</t>
  </si>
  <si>
    <t xml:space="preserve">2010 Cash Flow</t>
  </si>
  <si>
    <t xml:space="preserve">2011  Revenue</t>
  </si>
  <si>
    <t xml:space="preserve">2011 Exp.</t>
  </si>
  <si>
    <t xml:space="preserve">2011 Capex</t>
  </si>
  <si>
    <t xml:space="preserve">2011 Cash Flow</t>
  </si>
  <si>
    <t xml:space="preserve">2012  Revenue</t>
  </si>
  <si>
    <t xml:space="preserve">2012 Exp.</t>
  </si>
  <si>
    <t xml:space="preserve">2012 Capex</t>
  </si>
  <si>
    <t xml:space="preserve">2012 Cash Flow</t>
  </si>
  <si>
    <t xml:space="preserve">2013  Revenue</t>
  </si>
  <si>
    <t xml:space="preserve">2013 Exp.</t>
  </si>
  <si>
    <t xml:space="preserve">2013 Capex</t>
  </si>
  <si>
    <t xml:space="preserve">2013 Cash Flow</t>
  </si>
  <si>
    <t xml:space="preserve">2014  Revenue</t>
  </si>
  <si>
    <t xml:space="preserve">2014 Exp.</t>
  </si>
  <si>
    <t xml:space="preserve">2014 Capex</t>
  </si>
  <si>
    <t xml:space="preserve">2014 Cash Flow</t>
  </si>
  <si>
    <t xml:space="preserve">2015  Revenue</t>
  </si>
  <si>
    <t xml:space="preserve">2015 Exp.</t>
  </si>
  <si>
    <t xml:space="preserve">2015 Capex</t>
  </si>
  <si>
    <t xml:space="preserve">2015 Cash Flow</t>
  </si>
  <si>
    <t xml:space="preserve">2016  Revenue</t>
  </si>
  <si>
    <t xml:space="preserve">2016 Exp.</t>
  </si>
  <si>
    <t xml:space="preserve">2016 Capex</t>
  </si>
  <si>
    <t xml:space="preserve">2016 Cash Flow</t>
  </si>
  <si>
    <t xml:space="preserve">Total</t>
  </si>
  <si>
    <t xml:space="preserve">Data to Financing Sheet</t>
  </si>
  <si>
    <t xml:space="preserve">Revenues (excluding deferred PP revenue)</t>
  </si>
  <si>
    <t xml:space="preserve">Cost of Sales</t>
  </si>
  <si>
    <t xml:space="preserve">Cash Expenses</t>
  </si>
  <si>
    <t xml:space="preserve">Capital Expenditures - Total</t>
  </si>
  <si>
    <t xml:space="preserve">Capital Expenditures - Financed by Debt</t>
  </si>
  <si>
    <t xml:space="preserve">Capital Expenditures - Land</t>
  </si>
  <si>
    <t xml:space="preserve">Capitalized Costs</t>
  </si>
  <si>
    <t xml:space="preserve">Depreciation Expense - Book</t>
  </si>
  <si>
    <t xml:space="preserve">Depreciation Expense - Tax</t>
  </si>
  <si>
    <t xml:space="preserve">Depreciation Expense - AMT</t>
  </si>
  <si>
    <t xml:space="preserve">Amortization of Intangibles - Book</t>
  </si>
  <si>
    <t xml:space="preserve">Amortization of Intangibles - Tax</t>
  </si>
  <si>
    <t xml:space="preserve">Oil &amp; Gas Only Items</t>
  </si>
  <si>
    <t xml:space="preserve">Cap. Exp. for Oil &amp; Gas Reserves</t>
  </si>
  <si>
    <t xml:space="preserve">Cap. Exp. for Oil &amp; Gas Reserves - Class B only</t>
  </si>
  <si>
    <t xml:space="preserve">Depletion - Book</t>
  </si>
  <si>
    <t xml:space="preserve">Depletion - Tax</t>
  </si>
  <si>
    <t xml:space="preserve">Class B Oil &amp; Gas Income Before NPI</t>
  </si>
  <si>
    <t xml:space="preserve">Production Payment Volumes - Gas</t>
  </si>
  <si>
    <t xml:space="preserve">Production Payment Volumes - Oil</t>
  </si>
  <si>
    <t xml:space="preserve">Weighted Average Market Price Curves</t>
  </si>
  <si>
    <t xml:space="preserve">for Production Payments*</t>
  </si>
  <si>
    <t xml:space="preserve">*For tax purposes.  Default to Oil &amp; Gas Reserves Forward Price Curves for Class A Reserves</t>
  </si>
  <si>
    <t xml:space="preserve">Data from Financing Sheet</t>
  </si>
  <si>
    <t xml:space="preserve">Fraction of year</t>
  </si>
  <si>
    <t xml:space="preserve">Unit</t>
  </si>
  <si>
    <t xml:space="preserve">Debt</t>
  </si>
  <si>
    <t xml:space="preserve">Equity</t>
  </si>
  <si>
    <t xml:space="preserve">Cash</t>
  </si>
  <si>
    <t xml:space="preserve">Scheduled Capitalization</t>
  </si>
  <si>
    <t xml:space="preserve">*Except for Overview</t>
  </si>
  <si>
    <t xml:space="preserve">Capital Expenditures Simulation</t>
  </si>
  <si>
    <t xml:space="preserve">Depreciation Parameters</t>
  </si>
  <si>
    <t xml:space="preserve">Calculated Depreciation</t>
  </si>
  <si>
    <t xml:space="preserve">Depletion Analysis</t>
  </si>
  <si>
    <t xml:space="preserve">Fixed Asset Summary</t>
  </si>
  <si>
    <t xml:space="preserve">Category </t>
  </si>
  <si>
    <t xml:space="preserve">Escalation Factors</t>
  </si>
  <si>
    <t xml:space="preserve">Scheduled Capital Expenditures</t>
  </si>
  <si>
    <t xml:space="preserve">Total Asset</t>
  </si>
  <si>
    <t xml:space="preserve">Risk</t>
  </si>
  <si>
    <t xml:space="preserve">Oil &amp; Gas Prices</t>
  </si>
  <si>
    <t xml:space="preserve">Depreciable Assets</t>
  </si>
  <si>
    <t xml:space="preserve">Book Value</t>
  </si>
  <si>
    <t xml:space="preserve">Adjustments</t>
  </si>
  <si>
    <t xml:space="preserve">min</t>
  </si>
  <si>
    <t xml:space="preserve">likely</t>
  </si>
  <si>
    <t xml:space="preserve">max</t>
  </si>
  <si>
    <t xml:space="preserve">PDP</t>
  </si>
  <si>
    <t xml:space="preserve">PDNP</t>
  </si>
  <si>
    <t xml:space="preserve">PUD</t>
  </si>
  <si>
    <t xml:space="preserve">PROBABLES</t>
  </si>
  <si>
    <t xml:space="preserve">Acrerage Dev. Prog. </t>
  </si>
  <si>
    <t xml:space="preserve">Class F Reserves</t>
  </si>
  <si>
    <t xml:space="preserve">Hedging Profits/(Losses)</t>
  </si>
  <si>
    <t xml:space="preserve">   Total Reserves</t>
  </si>
  <si>
    <t xml:space="preserve">Oil &amp; Gas Summary Information</t>
  </si>
  <si>
    <t xml:space="preserve">Other Costs of Sales/G&amp;A Expense</t>
  </si>
  <si>
    <t xml:space="preserve">Fixed Assets</t>
  </si>
  <si>
    <t xml:space="preserve">Asset 1</t>
  </si>
  <si>
    <t xml:space="preserve">Net Asset Value Calculation</t>
  </si>
  <si>
    <t xml:space="preserve">Asset 2</t>
  </si>
  <si>
    <t xml:space="preserve">Multiple Calculation</t>
  </si>
  <si>
    <t xml:space="preserve">Asset 3</t>
  </si>
  <si>
    <t xml:space="preserve">TERAS Import Area</t>
  </si>
  <si>
    <t xml:space="preserve">Asset 4</t>
  </si>
  <si>
    <t xml:space="preserve">Asset 5</t>
  </si>
  <si>
    <t xml:space="preserve">   Total Fixed Assets</t>
  </si>
  <si>
    <t xml:space="preserve">Capitalized Construction Interest/Intangibles</t>
  </si>
  <si>
    <t xml:space="preserve">Rate:</t>
  </si>
  <si>
    <t xml:space="preserve">Funding 1</t>
  </si>
  <si>
    <t xml:space="preserve">Funding 2</t>
  </si>
  <si>
    <t xml:space="preserve">Subtotal  </t>
  </si>
  <si>
    <t xml:space="preserve">Non-Depreciable Assets (Land)</t>
  </si>
  <si>
    <t xml:space="preserve">Total Capital Expenditures</t>
  </si>
  <si>
    <t xml:space="preserve">Capital Expenditure Simulation Amounts</t>
  </si>
  <si>
    <t xml:space="preserve">Class</t>
  </si>
  <si>
    <t xml:space="preserve">A, B,C, D, F</t>
  </si>
  <si>
    <t xml:space="preserve">Class E</t>
  </si>
  <si>
    <t xml:space="preserve">Triangular</t>
  </si>
  <si>
    <t xml:space="preserve">Class A, B, C, D, F</t>
  </si>
  <si>
    <t xml:space="preserve">Minimum</t>
  </si>
  <si>
    <t xml:space="preserve">    Simulated amount</t>
  </si>
  <si>
    <t xml:space="preserve">Likeliest</t>
  </si>
  <si>
    <t xml:space="preserve">Maximum</t>
  </si>
  <si>
    <t xml:space="preserve">    Total Reserves</t>
  </si>
  <si>
    <t xml:space="preserve">    Total Fixed Assets</t>
  </si>
  <si>
    <t xml:space="preserve">    Total Cap. Interest</t>
  </si>
  <si>
    <t xml:space="preserve">Depreciation &amp; Amortization Parameters</t>
  </si>
  <si>
    <t xml:space="preserve">Oil &amp; Gas Reserve Information</t>
  </si>
  <si>
    <t xml:space="preserve">Book Capitalization and Depreciation</t>
  </si>
  <si>
    <t xml:space="preserve">Tax Depreciation</t>
  </si>
  <si>
    <t xml:space="preserve">Oil &amp; Gas Reserve Totals</t>
  </si>
  <si>
    <t xml:space="preserve">Start</t>
  </si>
  <si>
    <t xml:space="preserve">Simulated</t>
  </si>
  <si>
    <t xml:space="preserve">Residual/</t>
  </si>
  <si>
    <t xml:space="preserve">Depreciation</t>
  </si>
  <si>
    <t xml:space="preserve">Method</t>
  </si>
  <si>
    <t xml:space="preserve">DB Decline</t>
  </si>
  <si>
    <t xml:space="preserve">Desc.</t>
  </si>
  <si>
    <t xml:space="preserve">Cost</t>
  </si>
  <si>
    <t xml:space="preserve">Salvage</t>
  </si>
  <si>
    <t xml:space="preserve">(mm/dd/yy)</t>
  </si>
  <si>
    <t xml:space="preserve">Life (yrs)</t>
  </si>
  <si>
    <t xml:space="preserve">(SL/DB)</t>
  </si>
  <si>
    <t xml:space="preserve">Rate</t>
  </si>
  <si>
    <t xml:space="preserve">Life (yrs.)</t>
  </si>
  <si>
    <t xml:space="preserve">DB</t>
  </si>
  <si>
    <t xml:space="preserve">Asset A</t>
  </si>
  <si>
    <t xml:space="preserve">Asset B</t>
  </si>
  <si>
    <t xml:space="preserve">Asset C</t>
  </si>
  <si>
    <t xml:space="preserve">Asset D</t>
  </si>
  <si>
    <t xml:space="preserve">Asset E</t>
  </si>
  <si>
    <t xml:space="preserve">Subtotal </t>
  </si>
  <si>
    <t xml:space="preserve">SL</t>
  </si>
  <si>
    <t xml:space="preserve">ck:</t>
  </si>
  <si>
    <t xml:space="preserve">Scheduled Depreciation Expense - Book</t>
  </si>
  <si>
    <t xml:space="preserve">Depreciable Non-Reserve Assets</t>
  </si>
  <si>
    <t xml:space="preserve">Other</t>
  </si>
  <si>
    <t xml:space="preserve">Total Depreciation Expense</t>
  </si>
  <si>
    <t xml:space="preserve">Total Amortization of Capitalized Interest</t>
  </si>
  <si>
    <t xml:space="preserve">Total Book Depreciation/Amortization Expense</t>
  </si>
  <si>
    <t xml:space="preserve">Scheduled Depreciation Expense - Tax</t>
  </si>
  <si>
    <t xml:space="preserve">Total Tax Depreciation/Amortization Expense</t>
  </si>
  <si>
    <t xml:space="preserve">Net O&amp;G Book Value as of beginning of period</t>
  </si>
  <si>
    <t xml:space="preserve">Depletion Basis ($):</t>
  </si>
  <si>
    <t xml:space="preserve">ck: </t>
  </si>
  <si>
    <t xml:space="preserve">Type 1 Capital Expenditures (Financed with Cash Flow)</t>
  </si>
  <si>
    <t xml:space="preserve">Type 1 Capital Expenditures (default)</t>
  </si>
  <si>
    <t xml:space="preserve">    Total Type 1 Capital Expenditures</t>
  </si>
  <si>
    <t xml:space="preserve">Type 2 Capital Expenditures (Financed with Debt)</t>
  </si>
  <si>
    <t xml:space="preserve">Type 2 Capital Expenditures (input)</t>
  </si>
  <si>
    <t xml:space="preserve">    Total Type 2 Capital Expenditures (see Placement 2)</t>
  </si>
  <si>
    <t xml:space="preserve">O&amp;G Capital Expenditures</t>
  </si>
  <si>
    <t xml:space="preserve">Land</t>
  </si>
  <si>
    <t xml:space="preserve">Depreciation and  Amortization Expense - Book</t>
  </si>
  <si>
    <t xml:space="preserve">Depreciation Expense - Pre-Transaction Assets</t>
  </si>
  <si>
    <t xml:space="preserve">Add:  Book Depreciation Expense - Transaction Assets</t>
  </si>
  <si>
    <t xml:space="preserve">    Total Depreciation Expense - Book</t>
  </si>
  <si>
    <t xml:space="preserve">Amortization of Capitalized Costs - Book</t>
  </si>
  <si>
    <t xml:space="preserve">Depreciation and  Amortization Expense - Regular Tax</t>
  </si>
  <si>
    <t xml:space="preserve">    Net Depreciation Expense - Tax</t>
  </si>
  <si>
    <t xml:space="preserve">Depletion - Tax (default to book)</t>
  </si>
  <si>
    <t xml:space="preserve">Amortization of Capitalized Costs - Tax</t>
  </si>
  <si>
    <t xml:space="preserve">Escalation Factors - Dollars</t>
  </si>
  <si>
    <t xml:space="preserve">(1)</t>
  </si>
  <si>
    <t xml:space="preserve">CPI (GBM)</t>
  </si>
  <si>
    <t xml:space="preserve">Mean</t>
  </si>
  <si>
    <t xml:space="preserve">Drift</t>
  </si>
  <si>
    <t xml:space="preserve">Volatility</t>
  </si>
  <si>
    <t xml:space="preserve">Price Index</t>
  </si>
  <si>
    <t xml:space="preserve">Inflation Rate </t>
  </si>
  <si>
    <t xml:space="preserve">Cumulative index equivalent</t>
  </si>
  <si>
    <t xml:space="preserve">(2)</t>
  </si>
  <si>
    <t xml:space="preserve">Constant Inflation</t>
  </si>
  <si>
    <t xml:space="preserve">(3)</t>
  </si>
  <si>
    <t xml:space="preserve">Custom Scenario</t>
  </si>
  <si>
    <t xml:space="preserve">Fuel Prices - USD Only</t>
  </si>
  <si>
    <r>
      <rPr>
        <sz val="8"/>
        <rFont val="Arial"/>
        <family val="0"/>
      </rPr>
      <t xml:space="preserve">Gas Forward Price Curve</t>
    </r>
    <r>
      <rPr>
        <sz val="7"/>
        <rFont val="Arial"/>
        <family val="2"/>
      </rPr>
      <t xml:space="preserve"> ($/Mmbtu)</t>
    </r>
  </si>
  <si>
    <t xml:space="preserve">Market (GBM)</t>
  </si>
  <si>
    <t xml:space="preserve">Constant inflation (from escalation factors above)</t>
  </si>
  <si>
    <t xml:space="preserve">(4)</t>
  </si>
  <si>
    <t xml:space="preserve">Custom scenario (from escalation factors above)</t>
  </si>
  <si>
    <t xml:space="preserve">(5)</t>
  </si>
  <si>
    <t xml:space="preserve">Trend Reversion</t>
  </si>
  <si>
    <t xml:space="preserve">(6)</t>
  </si>
  <si>
    <t xml:space="preserve">Oil Prices</t>
  </si>
  <si>
    <r>
      <rPr>
        <sz val="8"/>
        <rFont val="Arial"/>
        <family val="0"/>
      </rPr>
      <t xml:space="preserve">Oil Forward Price Curve</t>
    </r>
    <r>
      <rPr>
        <sz val="7"/>
        <rFont val="Arial"/>
        <family val="2"/>
      </rPr>
      <t xml:space="preserve"> ($/Bbl)</t>
    </r>
  </si>
  <si>
    <t xml:space="preserve">NGL Pricing</t>
  </si>
  <si>
    <r>
      <rPr>
        <sz val="8"/>
        <rFont val="Arial"/>
        <family val="0"/>
      </rPr>
      <t xml:space="preserve">Forward Price Curve</t>
    </r>
    <r>
      <rPr>
        <sz val="7"/>
        <rFont val="Arial"/>
        <family val="2"/>
      </rPr>
      <t xml:space="preserve"> ($/Bbl)</t>
    </r>
  </si>
  <si>
    <t xml:space="preserve">NGL Price % Oil</t>
  </si>
  <si>
    <t xml:space="preserve">Decline</t>
  </si>
  <si>
    <t xml:space="preserve">Gross Oil Production (MBbls)</t>
  </si>
  <si>
    <t xml:space="preserve">Qi</t>
  </si>
  <si>
    <t xml:space="preserve">Net Working Interest</t>
  </si>
  <si>
    <t xml:space="preserve">Net Oil Volumes (MBbls)</t>
  </si>
  <si>
    <t xml:space="preserve">Risked Oil Volumes (MBbls)</t>
  </si>
  <si>
    <t xml:space="preserve">Oil Pricing Scenario (1-5)</t>
  </si>
  <si>
    <t xml:space="preserve">Gross Gas Production - MMcf</t>
  </si>
  <si>
    <t xml:space="preserve">Net Gas Volumes - MMcf</t>
  </si>
  <si>
    <t xml:space="preserve">Gas Pricing Scenario (1-5)</t>
  </si>
  <si>
    <t xml:space="preserve">NGL</t>
  </si>
  <si>
    <t xml:space="preserve">Gross NGL Production (MBbls)</t>
  </si>
  <si>
    <t xml:space="preserve">Net NGL Volume (MBbls)</t>
  </si>
  <si>
    <t xml:space="preserve">Risked NGL Volume (MBbls)</t>
  </si>
  <si>
    <t xml:space="preserve">NGL Pricing Scenario (1-5)</t>
  </si>
  <si>
    <t xml:space="preserve">Final Price ($/Bbl)</t>
  </si>
  <si>
    <t xml:space="preserve">Min</t>
  </si>
  <si>
    <t xml:space="preserve">ML</t>
  </si>
  <si>
    <t xml:space="preserve">Max</t>
  </si>
  <si>
    <t xml:space="preserve">Tax Rate</t>
  </si>
  <si>
    <t xml:space="preserve">Allocated G&amp;A</t>
  </si>
  <si>
    <t xml:space="preserve">ml</t>
  </si>
  <si>
    <t xml:space="preserve">NGL Revenue ($Thousands)</t>
  </si>
  <si>
    <t xml:space="preserve">Ml</t>
  </si>
  <si>
    <t xml:space="preserve">NPI</t>
  </si>
  <si>
    <t xml:space="preserve">Net Oil &amp; Gas Income after NPI</t>
  </si>
  <si>
    <t xml:space="preserve">MIN</t>
  </si>
  <si>
    <t xml:space="preserve">MAX</t>
  </si>
  <si>
    <t xml:space="preserve">HEDGING PROFITS</t>
  </si>
  <si>
    <t xml:space="preserve">AND (LOSSES)</t>
  </si>
  <si>
    <t xml:space="preserve">TOTALS</t>
  </si>
  <si>
    <t xml:space="preserve">Weighted Average Oil Price/Bbl</t>
  </si>
  <si>
    <t xml:space="preserve">Oil Volumes (Mbbls)</t>
  </si>
  <si>
    <t xml:space="preserve">Total Oil Revenues before VPP</t>
  </si>
  <si>
    <t xml:space="preserve">Contractual Production Payment Volumes</t>
  </si>
  <si>
    <t xml:space="preserve">Actual Production Payment Volumes</t>
  </si>
  <si>
    <t xml:space="preserve">Actual Over/(Under) Contractual</t>
  </si>
  <si>
    <t xml:space="preserve">Cumulative Over/(Under) Contractual</t>
  </si>
  <si>
    <t xml:space="preserve">VPP Weighted Average Market Price</t>
  </si>
  <si>
    <t xml:space="preserve">VPP Market Revenues</t>
  </si>
  <si>
    <t xml:space="preserve">Oil Residual Revenues</t>
  </si>
  <si>
    <t xml:space="preserve">Weighted Average Gas Price/MMBtu</t>
  </si>
  <si>
    <t xml:space="preserve">Total Gas Revenues</t>
  </si>
  <si>
    <t xml:space="preserve">Gas Residual Revenues</t>
  </si>
  <si>
    <t xml:space="preserve">Weighted Average NGL Price/BBl</t>
  </si>
  <si>
    <t xml:space="preserve">NGL Volumes</t>
  </si>
  <si>
    <t xml:space="preserve">Total NGL Revenues</t>
  </si>
  <si>
    <t xml:space="preserve">NGL Residual Revenues</t>
  </si>
  <si>
    <t xml:space="preserve">Oil &amp; Gas Revenues before VPP</t>
  </si>
  <si>
    <t xml:space="preserve">Less: VPP Revenues at Weighted Average Market Price</t>
  </si>
  <si>
    <t xml:space="preserve">Oil &amp; Gas Residual Revenues after VPP</t>
  </si>
  <si>
    <t xml:space="preserve">Net O&amp;G Revenues + Hedging Profits b/f NPI</t>
  </si>
  <si>
    <t xml:space="preserve">Less:  NPI</t>
  </si>
  <si>
    <t xml:space="preserve">Net O&amp;G Revenues + Hedging Profits after NPI (Revenues)</t>
  </si>
  <si>
    <t xml:space="preserve">Less: Direct Production Costs</t>
  </si>
  <si>
    <t xml:space="preserve">SUMMARY INFORMATION</t>
  </si>
  <si>
    <t xml:space="preserve">O&amp;G</t>
  </si>
  <si>
    <t xml:space="preserve">Production:</t>
  </si>
  <si>
    <t xml:space="preserve">Avg. Price/Bbl</t>
  </si>
  <si>
    <t xml:space="preserve">Avg. Price/Mmbtu</t>
  </si>
  <si>
    <t xml:space="preserve">PV10 CALCULATION</t>
  </si>
  <si>
    <t xml:space="preserve">Cash Flows from proved reserves</t>
  </si>
  <si>
    <t xml:space="preserve">Discount percentage</t>
  </si>
  <si>
    <t xml:space="preserve">Discounting time (years)</t>
  </si>
  <si>
    <t xml:space="preserve">PV10 - GC</t>
  </si>
  <si>
    <t xml:space="preserve">TERAS IMPORT AREA</t>
  </si>
  <si>
    <t xml:space="preserve">Set Total Trials:</t>
  </si>
  <si>
    <t xml:space="preserve">Current Trial</t>
  </si>
  <si>
    <t xml:space="preserve">   (initialize at 0):</t>
  </si>
  <si>
    <t xml:space="preserve">=HLOOKUP(I$812,DATA!$B$2:$U$1202,+$G$813+1)</t>
  </si>
  <si>
    <t xml:space="preserve">SEC10 Value</t>
  </si>
  <si>
    <t xml:space="preserve">PRODUCTION SUMMARY - OIL</t>
  </si>
  <si>
    <t xml:space="preserve">PROBABLE</t>
  </si>
  <si>
    <t xml:space="preserve">DEVELOPMENT</t>
  </si>
  <si>
    <t xml:space="preserve">TOTAL</t>
  </si>
  <si>
    <t xml:space="preserve">PROVED</t>
  </si>
  <si>
    <t xml:space="preserve">NOT</t>
  </si>
  <si>
    <t xml:space="preserve">PRODUCTION SUMMARY - GAS</t>
  </si>
  <si>
    <t xml:space="preserve">Year 10</t>
  </si>
  <si>
    <t xml:space="preserve">Year 15</t>
  </si>
  <si>
    <t xml:space="preserve">Clampett Oil Company</t>
  </si>
  <si>
    <t xml:space="preserve">SCENARIO:    </t>
  </si>
  <si>
    <t xml:space="preserve">BASE</t>
  </si>
  <si>
    <t xml:space="preserve">($ in</t>
  </si>
  <si>
    <t xml:space="preserve">Thousands</t>
  </si>
  <si>
    <t xml:space="preserve">)</t>
  </si>
  <si>
    <t xml:space="preserve">TRANSACTION OVERVIEW:</t>
  </si>
  <si>
    <t xml:space="preserve">TRANSACTION DATE:</t>
  </si>
  <si>
    <t xml:space="preserve">TRANSACTION FUNDS FLOW:</t>
  </si>
  <si>
    <t xml:space="preserve">PROFORMA CAPITALIZATION:</t>
  </si>
  <si>
    <t xml:space="preserve">Proforma</t>
  </si>
  <si>
    <t xml:space="preserve">Acquisition/Distribution/Expenditure</t>
  </si>
  <si>
    <t xml:space="preserve">Total Debt</t>
  </si>
  <si>
    <t xml:space="preserve">Common Equity</t>
  </si>
  <si>
    <t xml:space="preserve">Total Equity</t>
  </si>
  <si>
    <t xml:space="preserve">Total Capitalization</t>
  </si>
  <si>
    <t xml:space="preserve">5yr CAGR</t>
  </si>
  <si>
    <t xml:space="preserve">*Implied Interest Rate</t>
  </si>
  <si>
    <t xml:space="preserve">SELECTED OPERATING DATA:</t>
  </si>
  <si>
    <t xml:space="preserve">Revenues</t>
  </si>
  <si>
    <t xml:space="preserve">Revenue Growth</t>
  </si>
  <si>
    <t xml:space="preserve">Gross Margin</t>
  </si>
  <si>
    <t xml:space="preserve">EBDIT</t>
  </si>
  <si>
    <t xml:space="preserve">EBDIT Margin</t>
  </si>
  <si>
    <t xml:space="preserve">Adj. EBDIT [Adjusted for VPP]</t>
  </si>
  <si>
    <t xml:space="preserve">EBIT</t>
  </si>
  <si>
    <t xml:space="preserve">Adj. EBIT [Adjusted for VPP]</t>
  </si>
  <si>
    <t xml:space="preserve">Capital Expenditures</t>
  </si>
  <si>
    <t xml:space="preserve">Working</t>
  </si>
  <si>
    <t xml:space="preserve">Operating Cash Required (Days)</t>
  </si>
  <si>
    <t xml:space="preserve">Capital:</t>
  </si>
  <si>
    <t xml:space="preserve">Accounts Receivable Days</t>
  </si>
  <si>
    <t xml:space="preserve">Inventory Turnover (x)</t>
  </si>
  <si>
    <t xml:space="preserve">Accounts Payable Days</t>
  </si>
  <si>
    <t xml:space="preserve">SELECTED FINANCIAL DATA:</t>
  </si>
  <si>
    <t xml:space="preserve">Adjusted Interest  [Cash Interest + Implied PP Interest]</t>
  </si>
  <si>
    <t xml:space="preserve">Scheduled Sr Prin. Pymnts [Sr Debt + Implied PP Amortization]</t>
  </si>
  <si>
    <t xml:space="preserve">Scheduled Total Principal Payments</t>
  </si>
  <si>
    <t xml:space="preserve">Revolver Commitment</t>
  </si>
  <si>
    <t xml:space="preserve">Cash Balances</t>
  </si>
  <si>
    <t xml:space="preserve">Deficit Revolver (included in Senior Debt)</t>
  </si>
  <si>
    <t xml:space="preserve">Adjusted Senior Debt  [Senior Debt + Deferred Revenues]</t>
  </si>
  <si>
    <t xml:space="preserve">Subordinated Debt</t>
  </si>
  <si>
    <t xml:space="preserve">Preferred Stock</t>
  </si>
  <si>
    <t xml:space="preserve">SELECTED FINANCIAL RATIOS:</t>
  </si>
  <si>
    <t xml:space="preserve">Fxd Chrg Cov (Adj EBDIT/Adj. Int+Tot Prin+Cap Ex+Pref Div'd)</t>
  </si>
  <si>
    <t xml:space="preserve">Interest Coverage  (Adj. EBIT / Adj. Interest)</t>
  </si>
  <si>
    <t xml:space="preserve">Maintenance Cov. Ratio [(EBDIT-Cap Ex)/Adj Interest]</t>
  </si>
  <si>
    <t xml:space="preserve">Adj. Senior Debt / (Subordinated Debt + Equity)</t>
  </si>
  <si>
    <t xml:space="preserve">(Adj. Senior Debt + Subordinated Debt) / Equity</t>
  </si>
  <si>
    <t xml:space="preserve">Adj. Sr Debt to Cap [Adj. Sr Debt / (Total Debt + Equity)]</t>
  </si>
  <si>
    <t xml:space="preserve">Total Debt to Capitalization [Total Debt / (Total Debt + Equity)]</t>
  </si>
  <si>
    <t xml:space="preserve">Debt to Adjusted Cash Flow [Total Debt / (EBDIT-Cap Ex)]</t>
  </si>
  <si>
    <t xml:space="preserve">Current Ratio</t>
  </si>
  <si>
    <t xml:space="preserve">VALUATION STATISTICS:</t>
  </si>
  <si>
    <t xml:space="preserve">Multiple of EBDIT</t>
  </si>
  <si>
    <t xml:space="preserve">Corporate Value [EBDIT * Multiple]</t>
  </si>
  <si>
    <t xml:space="preserve">Market Equity Value [Corp. Value - Debt &amp; Pref Stk + Ex Cash]</t>
  </si>
  <si>
    <t xml:space="preserve">INCOME STATEMENT:</t>
  </si>
  <si>
    <t xml:space="preserve">Cost of Revenues</t>
  </si>
  <si>
    <t xml:space="preserve">Gross Profits</t>
  </si>
  <si>
    <t xml:space="preserve">Operating Expenses</t>
  </si>
  <si>
    <t xml:space="preserve">Depreciation and Depletion</t>
  </si>
  <si>
    <t xml:space="preserve">Amortization - Goodwill</t>
  </si>
  <si>
    <t xml:space="preserve">Amortization   -  ESOP Contributions/Dividends</t>
  </si>
  <si>
    <t xml:space="preserve">    Subtotal - Depreciation, Depletion, Amortization</t>
  </si>
  <si>
    <t xml:space="preserve">Other Income:</t>
  </si>
  <si>
    <t xml:space="preserve">Interest Income</t>
  </si>
  <si>
    <t xml:space="preserve">Financing Fees</t>
  </si>
  <si>
    <t xml:space="preserve">Total Other Income</t>
  </si>
  <si>
    <t xml:space="preserve">Interest Expense:</t>
  </si>
  <si>
    <t xml:space="preserve">Existing Senior and Sub Debt</t>
  </si>
  <si>
    <t xml:space="preserve">Total Interest Expense</t>
  </si>
  <si>
    <t xml:space="preserve">Income b/f Taxes and Gains</t>
  </si>
  <si>
    <t xml:space="preserve">Gain on Sale of Assets</t>
  </si>
  <si>
    <t xml:space="preserve">Income b/f Taxes</t>
  </si>
  <si>
    <t xml:space="preserve">Income Taxes</t>
  </si>
  <si>
    <t xml:space="preserve">Net Income</t>
  </si>
  <si>
    <t xml:space="preserve">Preferred Dividends</t>
  </si>
  <si>
    <t xml:space="preserve">Net Income Available to Common</t>
  </si>
  <si>
    <t xml:space="preserve">Common Dividends</t>
  </si>
  <si>
    <t xml:space="preserve">SOURCES AND USES:</t>
  </si>
  <si>
    <t xml:space="preserve">SOURCES:</t>
  </si>
  <si>
    <t xml:space="preserve">Depreciation &amp; Amortization</t>
  </si>
  <si>
    <t xml:space="preserve">Contribution from ESOP</t>
  </si>
  <si>
    <t xml:space="preserve">Deferred Income Taxes</t>
  </si>
  <si>
    <t xml:space="preserve">Non-Cash Interest and Dividends</t>
  </si>
  <si>
    <t xml:space="preserve">Net Proceeds from Sale of Assets</t>
  </si>
  <si>
    <t xml:space="preserve">Total Sources</t>
  </si>
  <si>
    <t xml:space="preserve">USES:</t>
  </si>
  <si>
    <t xml:space="preserve">Change in Adjusted W/C</t>
  </si>
  <si>
    <t xml:space="preserve">Amortization of Deferred Revenue</t>
  </si>
  <si>
    <t xml:space="preserve">Decrease in</t>
  </si>
  <si>
    <t xml:space="preserve">Dividends/Treasury Stock Acquisition/Preferred Stock Redemption</t>
  </si>
  <si>
    <t xml:space="preserve">Total Uses</t>
  </si>
  <si>
    <t xml:space="preserve">EXCESS/(DEFICIT)</t>
  </si>
  <si>
    <t xml:space="preserve">FINANCED BY:</t>
  </si>
  <si>
    <t xml:space="preserve">Total Scheduled Financing</t>
  </si>
  <si>
    <t xml:space="preserve">Increase/(Decrease) in Bank Revolver</t>
  </si>
  <si>
    <t xml:space="preserve">Increase/(Decrease) in Deficit Revolver</t>
  </si>
  <si>
    <t xml:space="preserve">Decrease/(Increase) in Excess Cash</t>
  </si>
  <si>
    <t xml:space="preserve">Total Financing</t>
  </si>
  <si>
    <t xml:space="preserve">AVAILABLE CASH:</t>
  </si>
  <si>
    <t xml:space="preserve">Beginning Cash</t>
  </si>
  <si>
    <t xml:space="preserve">Operating Increase/(Decrease)</t>
  </si>
  <si>
    <t xml:space="preserve">Excess Increase/(Decrease)</t>
  </si>
  <si>
    <t xml:space="preserve">Ending Cash</t>
  </si>
  <si>
    <t xml:space="preserve">BALANCE SHEET:</t>
  </si>
  <si>
    <t xml:space="preserve">Total Intangibles</t>
  </si>
  <si>
    <t xml:space="preserve">Proof</t>
  </si>
  <si>
    <t xml:space="preserve">CAPITALIZATION:</t>
  </si>
  <si>
    <t xml:space="preserve">Deficit Revolver:</t>
  </si>
  <si>
    <t xml:space="preserve">Beginning Balance</t>
  </si>
  <si>
    <t xml:space="preserve">(Addition)</t>
  </si>
  <si>
    <t xml:space="preserve">Repayment</t>
  </si>
  <si>
    <t xml:space="preserve">Ending Balance</t>
  </si>
  <si>
    <t xml:space="preserve">    Interest Rate</t>
  </si>
  <si>
    <t xml:space="preserve">(Scheduled Additions)</t>
  </si>
  <si>
    <t xml:space="preserve">(Bor. Base or Commitment Additions)</t>
  </si>
  <si>
    <t xml:space="preserve">Scheduled Repayment</t>
  </si>
  <si>
    <t xml:space="preserve">Bor. Base or Commitment Reductions</t>
  </si>
  <si>
    <t xml:space="preserve">Excess Cash Flow Recapture</t>
  </si>
  <si>
    <t xml:space="preserve">Borrowing Base/Commitment Level</t>
  </si>
  <si>
    <t xml:space="preserve">Avg. Balance (For Interest Calc Only)</t>
  </si>
  <si>
    <t xml:space="preserve"> Interest Rate</t>
  </si>
  <si>
    <t xml:space="preserve">CAPITALIZATION (Continued):</t>
  </si>
  <si>
    <t xml:space="preserve">    Dividend Yield</t>
  </si>
  <si>
    <t xml:space="preserve">Short-term</t>
  </si>
  <si>
    <t xml:space="preserve">Long-term</t>
  </si>
  <si>
    <t xml:space="preserve">Redemption</t>
  </si>
  <si>
    <t xml:space="preserve">TRANSACTION ASSUMPTIONS:</t>
  </si>
  <si>
    <t xml:space="preserve">Transaction Date:</t>
  </si>
  <si>
    <t xml:space="preserve">Transaction Date Adjustment:</t>
  </si>
  <si>
    <t xml:space="preserve">Fraction:</t>
  </si>
  <si>
    <t xml:space="preserve">Pre Transaction Revenues</t>
  </si>
  <si>
    <t xml:space="preserve">Months:</t>
  </si>
  <si>
    <t xml:space="preserve">and Expenses, and</t>
  </si>
  <si>
    <t xml:space="preserve">Post Transaction Revenues</t>
  </si>
  <si>
    <t xml:space="preserve">and Expenses in fiscal</t>
  </si>
  <si>
    <t xml:space="preserve">Fiscal Year End:</t>
  </si>
  <si>
    <t xml:space="preserve">Transaction Funds Flow</t>
  </si>
  <si>
    <t xml:space="preserve">Subsequent Fundings</t>
  </si>
  <si>
    <t xml:space="preserve">Transaction</t>
  </si>
  <si>
    <t xml:space="preserve">Sources:</t>
  </si>
  <si>
    <t xml:space="preserve">Date</t>
  </si>
  <si>
    <t xml:space="preserve">Revolving Loan</t>
  </si>
  <si>
    <t xml:space="preserve">Term Loan</t>
  </si>
  <si>
    <t xml:space="preserve">Production Payment</t>
  </si>
  <si>
    <t xml:space="preserve">ESOP Notes</t>
  </si>
  <si>
    <t xml:space="preserve">Placement 1</t>
  </si>
  <si>
    <t xml:space="preserve">Placement 2</t>
  </si>
  <si>
    <t xml:space="preserve">Sr Sub Notes</t>
  </si>
  <si>
    <t xml:space="preserve">Jr. Sub Notes</t>
  </si>
  <si>
    <t xml:space="preserve">Common Stock</t>
  </si>
  <si>
    <t xml:space="preserve">Cash on Hand</t>
  </si>
  <si>
    <t xml:space="preserve">Sources</t>
  </si>
  <si>
    <t xml:space="preserve">Uses:</t>
  </si>
  <si>
    <t xml:space="preserve">Capital Exp.:</t>
  </si>
  <si>
    <t xml:space="preserve">PP&amp;E</t>
  </si>
  <si>
    <t xml:space="preserve">Dividend/Distribution</t>
  </si>
  <si>
    <t xml:space="preserve">Treasury Stock Acquisition</t>
  </si>
  <si>
    <t xml:space="preserve">Transaction Fees</t>
  </si>
  <si>
    <t xml:space="preserve">Refinance Existing Sr Debt</t>
  </si>
  <si>
    <t xml:space="preserve">Refinance Existing Sub Debt</t>
  </si>
  <si>
    <t xml:space="preserve">Refinance Existing Pref Stk</t>
  </si>
  <si>
    <t xml:space="preserve">Working Capital</t>
  </si>
  <si>
    <t xml:space="preserve">Uses</t>
  </si>
  <si>
    <t xml:space="preserve">Proof:</t>
  </si>
  <si>
    <t xml:space="preserve">TRANSACTION FEES:</t>
  </si>
  <si>
    <t xml:space="preserve">Tax Life</t>
  </si>
  <si>
    <t xml:space="preserve">Accounting</t>
  </si>
  <si>
    <t xml:space="preserve">%</t>
  </si>
  <si>
    <t xml:space="preserve">$</t>
  </si>
  <si>
    <t xml:space="preserve">(Yrs)</t>
  </si>
  <si>
    <t xml:space="preserve">Treatment</t>
  </si>
  <si>
    <t xml:space="preserve">Transaction Advisory Fee</t>
  </si>
  <si>
    <t xml:space="preserve">NA</t>
  </si>
  <si>
    <t xml:space="preserve">Expensed:</t>
  </si>
  <si>
    <t xml:space="preserve">Other Fees and Expenses</t>
  </si>
  <si>
    <t xml:space="preserve">Capitalized:</t>
  </si>
  <si>
    <t xml:space="preserve">Upfront Placement Fees:</t>
  </si>
  <si>
    <t xml:space="preserve">Amortization:</t>
  </si>
  <si>
    <t xml:space="preserve">*(As % of Commitment)</t>
  </si>
  <si>
    <t xml:space="preserve">    Total</t>
  </si>
  <si>
    <t xml:space="preserve">HISTORICAL AND OPENING BALANCE SHEETS:</t>
  </si>
  <si>
    <t xml:space="preserve">ASSETS:</t>
  </si>
  <si>
    <t xml:space="preserve">Add</t>
  </si>
  <si>
    <t xml:space="preserve">Subtract</t>
  </si>
  <si>
    <t xml:space="preserve">Operating Cash</t>
  </si>
  <si>
    <t xml:space="preserve">Cash and Marketable Securities</t>
  </si>
  <si>
    <t xml:space="preserve">Accounts Receivable</t>
  </si>
  <si>
    <t xml:space="preserve">Inventories</t>
  </si>
  <si>
    <t xml:space="preserve">Other Current Assets</t>
  </si>
  <si>
    <t xml:space="preserve">Total Current Assets</t>
  </si>
  <si>
    <t xml:space="preserve">Intangibles</t>
  </si>
  <si>
    <t xml:space="preserve">Goodwill</t>
  </si>
  <si>
    <t xml:space="preserve">Gross PP&amp;E</t>
  </si>
  <si>
    <t xml:space="preserve">Accumulated Depreciation</t>
  </si>
  <si>
    <t xml:space="preserve">Net PP&amp;E</t>
  </si>
  <si>
    <t xml:space="preserve">Other Assets</t>
  </si>
  <si>
    <t xml:space="preserve">Total Assets</t>
  </si>
  <si>
    <t xml:space="preserve">LIABILITIES &amp; EQUITY:</t>
  </si>
  <si>
    <t xml:space="preserve">Accounts Payable</t>
  </si>
  <si>
    <t xml:space="preserve">Accrued Liabilities</t>
  </si>
  <si>
    <t xml:space="preserve">Capitalization</t>
  </si>
  <si>
    <t xml:space="preserve">Other Payables</t>
  </si>
  <si>
    <t xml:space="preserve">Current Maturities</t>
  </si>
  <si>
    <t xml:space="preserve">Short-term Debt</t>
  </si>
  <si>
    <t xml:space="preserve">Total Current Liabilities</t>
  </si>
  <si>
    <t xml:space="preserve">Senior Debt</t>
  </si>
  <si>
    <t xml:space="preserve">Deferred Taxes</t>
  </si>
  <si>
    <t xml:space="preserve">Commitments and Contingencies</t>
  </si>
  <si>
    <t xml:space="preserve">Other Liabilities</t>
  </si>
  <si>
    <t xml:space="preserve">Total Long-term Liabilities</t>
  </si>
  <si>
    <t xml:space="preserve">Total Liabilities</t>
  </si>
  <si>
    <t xml:space="preserve">Paid in Capital</t>
  </si>
  <si>
    <t xml:space="preserve">ESOP Equity</t>
  </si>
  <si>
    <t xml:space="preserve">Treasury Stock</t>
  </si>
  <si>
    <t xml:space="preserve">Retained Earnings</t>
  </si>
  <si>
    <t xml:space="preserve">Preferred and Common Dividends</t>
  </si>
  <si>
    <t xml:space="preserve">Contra Account</t>
  </si>
  <si>
    <t xml:space="preserve">Total Stockholders' Equity</t>
  </si>
  <si>
    <t xml:space="preserve">Total Liabilities &amp; Equity</t>
  </si>
  <si>
    <t xml:space="preserve">ADJUSTED WORKING CAPITAL INPUT:</t>
  </si>
  <si>
    <t xml:space="preserve">ADJ. WORKING CAPITAL ANALYSIS</t>
  </si>
  <si>
    <t xml:space="preserve">Operating Cash Balance</t>
  </si>
  <si>
    <t xml:space="preserve">Adjusted W/C Balance: </t>
  </si>
  <si>
    <t xml:space="preserve">Changes in Other Asset/Liability Accounts:</t>
  </si>
  <si>
    <t xml:space="preserve">Increase/(Decrease) in Other Liabilities</t>
  </si>
  <si>
    <t xml:space="preserve">Increase/(Decrease) in Other Assets</t>
  </si>
  <si>
    <t xml:space="preserve">BORROWING BASE ASSUMPTIONS:</t>
  </si>
  <si>
    <t xml:space="preserve">Bank Revolver Usage Related to Borrowing Base?</t>
  </si>
  <si>
    <t xml:space="preserve">YES</t>
  </si>
  <si>
    <t xml:space="preserve">Advance Rates:</t>
  </si>
  <si>
    <t xml:space="preserve">PV10 value</t>
  </si>
  <si>
    <t xml:space="preserve">Borrowing Base/Commitment Level:</t>
  </si>
  <si>
    <t xml:space="preserve">SCHEDULED DEBT AND STOCK</t>
  </si>
  <si>
    <t xml:space="preserve">    REPAYMENT AND ADDITIONS:</t>
  </si>
  <si>
    <t xml:space="preserve">Commitment</t>
  </si>
  <si>
    <t xml:space="preserve">Excess Cash Flow Recapture:</t>
  </si>
  <si>
    <t xml:space="preserve">W/C Line</t>
  </si>
  <si>
    <t xml:space="preserve">(Seasonal)</t>
  </si>
  <si>
    <t xml:space="preserve">(Input Avg. Balance for Interest Calc Only)</t>
  </si>
  <si>
    <t xml:space="preserve">(Additions)</t>
  </si>
  <si>
    <t xml:space="preserve">Gas Volumes:</t>
  </si>
  <si>
    <t xml:space="preserve">Oil Volumes:</t>
  </si>
  <si>
    <t xml:space="preserve">Discounted Gas Price ($/Mmbtu):</t>
  </si>
  <si>
    <t xml:space="preserve">Discounted Oil Price ($/Bbl):</t>
  </si>
  <si>
    <t xml:space="preserve">% of CF for Repayment of Principal &amp; Interest:</t>
  </si>
  <si>
    <t xml:space="preserve">Cash Flow Available</t>
  </si>
  <si>
    <r>
      <rPr>
        <sz val="8"/>
        <rFont val="Arial"/>
        <family val="0"/>
      </rPr>
      <t xml:space="preserve">Interest</t>
    </r>
    <r>
      <rPr>
        <sz val="7"/>
        <rFont val="Arial"/>
        <family val="2"/>
      </rPr>
      <t xml:space="preserve"> (To input Interest Rate, see Debt Items) </t>
    </r>
  </si>
  <si>
    <t xml:space="preserve">% of Type 2 Capital Expenditures Financed:</t>
  </si>
  <si>
    <t xml:space="preserve">*Input Cash Flow may be changed to reflect transaction.</t>
  </si>
  <si>
    <t xml:space="preserve">Interest Deferral: (YES or NO)</t>
  </si>
  <si>
    <t xml:space="preserve">NO</t>
  </si>
  <si>
    <t xml:space="preserve">Interest Deferral Tax Deductible: (YES or NO)</t>
  </si>
  <si>
    <t xml:space="preserve">Interest Rate Deferred</t>
  </si>
  <si>
    <t xml:space="preserve">Amount Deferred (Accrued Semi-annually)</t>
  </si>
  <si>
    <t xml:space="preserve">Redemptions</t>
  </si>
  <si>
    <t xml:space="preserve">(Issues)</t>
  </si>
  <si>
    <t xml:space="preserve">Dividend Deferral: (YES or NO)</t>
  </si>
  <si>
    <t xml:space="preserve">Dividend Yield Deferred</t>
  </si>
  <si>
    <t xml:space="preserve">Amount Deferred (Accrued Quarterly)</t>
  </si>
  <si>
    <t xml:space="preserve">Treasury Stock Purchases</t>
  </si>
  <si>
    <t xml:space="preserve">Existing Sr Debt</t>
  </si>
  <si>
    <t xml:space="preserve">Gas Balancing</t>
  </si>
  <si>
    <t xml:space="preserve">Existing Preferred Stock</t>
  </si>
  <si>
    <t xml:space="preserve">INTEREST RATES, COUPON RATES AND</t>
  </si>
  <si>
    <t xml:space="preserve">DIVIDEND YIELDS:</t>
  </si>
  <si>
    <t xml:space="preserve">Hist Interest Exp/Existing Sr Debt</t>
  </si>
  <si>
    <t xml:space="preserve">Hist Interest Exp/Existing Sub Debt</t>
  </si>
  <si>
    <t xml:space="preserve">Hist Pref Div'ds/Existing Pref Stk Yld</t>
  </si>
  <si>
    <t xml:space="preserve">Hist Common Div'ds</t>
  </si>
  <si>
    <t xml:space="preserve">Deficit Revolver</t>
  </si>
  <si>
    <t xml:space="preserve">Commitment Fee on Unused Portion of Bank Revolver </t>
  </si>
  <si>
    <t xml:space="preserve">Annual Administration Fee</t>
  </si>
  <si>
    <t xml:space="preserve">Dividend Payout Ratio</t>
  </si>
  <si>
    <t xml:space="preserve">Interest Earned on Cash Balances?</t>
  </si>
  <si>
    <t xml:space="preserve">Hist Int Income/Int on Cash Balances</t>
  </si>
  <si>
    <t xml:space="preserve">HISTORICAL AND PROFORMA NON-OPERATING ASSUMPTIONS:</t>
  </si>
  <si>
    <t xml:space="preserve">FYE:</t>
  </si>
  <si>
    <t xml:space="preserve">Revenues:</t>
  </si>
  <si>
    <r>
      <rPr>
        <sz val="8"/>
        <rFont val="Arial"/>
        <family val="0"/>
      </rPr>
      <t xml:space="preserve">Revenues </t>
    </r>
    <r>
      <rPr>
        <i val="true"/>
        <sz val="8"/>
        <rFont val="Arial"/>
        <family val="0"/>
      </rPr>
      <t xml:space="preserve">(from operating sheet)</t>
    </r>
  </si>
  <si>
    <t xml:space="preserve">Deferred Revenues from Production Payment:</t>
  </si>
  <si>
    <t xml:space="preserve">    Total Revenue</t>
  </si>
  <si>
    <t xml:space="preserve">Annual Revenue Growth Rate</t>
  </si>
  <si>
    <t xml:space="preserve">Amortization   -  Pre-Transaction Goodwill</t>
  </si>
  <si>
    <t xml:space="preserve">Amortization   -  Transaction Goodwill</t>
  </si>
  <si>
    <t xml:space="preserve">Amortization   -  Transaction Fees</t>
  </si>
  <si>
    <r>
      <rPr>
        <sz val="8"/>
        <rFont val="Arial"/>
        <family val="0"/>
      </rPr>
      <t xml:space="preserve">Amortization   -  Intangibles </t>
    </r>
    <r>
      <rPr>
        <i val="true"/>
        <sz val="8"/>
        <rFont val="Arial"/>
        <family val="0"/>
      </rPr>
      <t xml:space="preserve">(from operating sheet)</t>
    </r>
  </si>
  <si>
    <t xml:space="preserve">    Total Amortization Expense</t>
  </si>
  <si>
    <t xml:space="preserve">Other Income (excluding interest income)</t>
  </si>
  <si>
    <t xml:space="preserve">ASSET SALES</t>
  </si>
  <si>
    <t xml:space="preserve">Gross Sale Price</t>
  </si>
  <si>
    <t xml:space="preserve">Gross Book Value of Assets Sold</t>
  </si>
  <si>
    <t xml:space="preserve">Accumulated Depreciation - Book</t>
  </si>
  <si>
    <t xml:space="preserve">Net Book Value of Assets Sold</t>
  </si>
  <si>
    <t xml:space="preserve">Pretax Gain/(Loss) - Book</t>
  </si>
  <si>
    <t xml:space="preserve">Change in Book Depreciation  Expense Associated with Assets Sold</t>
  </si>
  <si>
    <t xml:space="preserve">Net Tax Value - Regular Tax*</t>
  </si>
  <si>
    <t xml:space="preserve">Pretax Gain/(Loss) - Tax</t>
  </si>
  <si>
    <t xml:space="preserve">Change in Tax Depreciation Expense Associated with Assets Sold</t>
  </si>
  <si>
    <t xml:space="preserve">Net Tax Value Tax - AMT*</t>
  </si>
  <si>
    <t xml:space="preserve">Pretax Gain/(Loss) - AMT</t>
  </si>
  <si>
    <t xml:space="preserve">*Default to Book Gain/(Loss)</t>
  </si>
  <si>
    <t xml:space="preserve">ESOP ITEMS:</t>
  </si>
  <si>
    <t xml:space="preserve">Salaries (% of Net Sales)</t>
  </si>
  <si>
    <t xml:space="preserve">Eligible Salaries (% of Salaries)</t>
  </si>
  <si>
    <t xml:space="preserve">Rule 415 - 25% of Eligible Salaries</t>
  </si>
  <si>
    <t xml:space="preserve">Coupon on ESOP Equity</t>
  </si>
  <si>
    <t xml:space="preserve">ESOP Equity Dividends</t>
  </si>
  <si>
    <t xml:space="preserve">Available ESOP Contribution</t>
  </si>
  <si>
    <t xml:space="preserve">Actual ESOP Contributions for ESOP Notes Repayment</t>
  </si>
  <si>
    <t xml:space="preserve">ESOP Equity Dividends Paid post ESOP Notes Repayment</t>
  </si>
  <si>
    <t xml:space="preserve">TAX ASSUMPTIONS:</t>
  </si>
  <si>
    <t xml:space="preserve">    $</t>
  </si>
  <si>
    <t xml:space="preserve">    %</t>
  </si>
  <si>
    <t xml:space="preserve">Historical Book Taxes</t>
  </si>
  <si>
    <t xml:space="preserve">Federal Income Tax Rate</t>
  </si>
  <si>
    <t xml:space="preserve">State Income Tax Rate</t>
  </si>
  <si>
    <t xml:space="preserve">Alternative Minimum Tax (AMT) Rate</t>
  </si>
  <si>
    <t xml:space="preserve">Beginning Balance NOLs:</t>
  </si>
  <si>
    <t xml:space="preserve">Book:</t>
  </si>
  <si>
    <t xml:space="preserve">Regular Tax:</t>
  </si>
  <si>
    <t xml:space="preserve">AMT:</t>
  </si>
  <si>
    <t xml:space="preserve">Beginning Balance AMT Tax Credit</t>
  </si>
  <si>
    <t xml:space="preserve">IDC Tax Credit as a % of Oil &amp; Gas Capital Expenditures</t>
  </si>
  <si>
    <t xml:space="preserve">INCOME TAX CALCULATION:</t>
  </si>
  <si>
    <t xml:space="preserve">REGULAR IRS TAXES:</t>
  </si>
  <si>
    <t xml:space="preserve">Income before Taxes</t>
  </si>
  <si>
    <t xml:space="preserve">Add Back:</t>
  </si>
  <si>
    <t xml:space="preserve">Amortization of Goodwill</t>
  </si>
  <si>
    <t xml:space="preserve">Book Depreciation</t>
  </si>
  <si>
    <t xml:space="preserve">Book Depletion</t>
  </si>
  <si>
    <t xml:space="preserve">Book Loss/(Gain) on Asset Sales</t>
  </si>
  <si>
    <t xml:space="preserve">Tax Implied Revenues</t>
  </si>
  <si>
    <t xml:space="preserve">Deduct: </t>
  </si>
  <si>
    <t xml:space="preserve">Tax Depreciation (Regular)</t>
  </si>
  <si>
    <t xml:space="preserve">Tax Depletion</t>
  </si>
  <si>
    <t xml:space="preserve">Tax Loss/(Gain) on Asset Sales (Regular)</t>
  </si>
  <si>
    <t xml:space="preserve">Book Deferred Revenues from Production Payments</t>
  </si>
  <si>
    <t xml:space="preserve">Production Payment Implied Interest</t>
  </si>
  <si>
    <t xml:space="preserve">Taxable Income before NOL</t>
  </si>
  <si>
    <t xml:space="preserve">Beginning NOL Balance</t>
  </si>
  <si>
    <t xml:space="preserve">NOL (Addition)</t>
  </si>
  <si>
    <t xml:space="preserve">NOL Used</t>
  </si>
  <si>
    <t xml:space="preserve">Ending NOL Balance</t>
  </si>
  <si>
    <t xml:space="preserve">Taxable Income After NOL</t>
  </si>
  <si>
    <t xml:space="preserve">State Taxes @</t>
  </si>
  <si>
    <t xml:space="preserve">Federal Taxes @</t>
  </si>
  <si>
    <t xml:space="preserve">Regular Taxes before AMT Tax Credit</t>
  </si>
  <si>
    <t xml:space="preserve"> </t>
  </si>
  <si>
    <t xml:space="preserve">BOOK TAXES:</t>
  </si>
  <si>
    <t xml:space="preserve">Add Back:  Amortization of Goodwill</t>
  </si>
  <si>
    <t xml:space="preserve">Taxable Book Income before NOL</t>
  </si>
  <si>
    <t xml:space="preserve">Taxable Book Income After NOL</t>
  </si>
  <si>
    <t xml:space="preserve">Book Taxes</t>
  </si>
  <si>
    <t xml:space="preserve">INCOME TAX CALCULATION CONTINUED:</t>
  </si>
  <si>
    <t xml:space="preserve">ALTERNATIVE MINIMUM TAX</t>
  </si>
  <si>
    <t xml:space="preserve">Taxable Income</t>
  </si>
  <si>
    <t xml:space="preserve">Deduct:</t>
  </si>
  <si>
    <t xml:space="preserve">Tax Depreciation (AMT) (default to tax depreciation)</t>
  </si>
  <si>
    <t xml:space="preserve">AMT Income w/o IDC</t>
  </si>
  <si>
    <t xml:space="preserve">Add:  IDC (see below)</t>
  </si>
  <si>
    <t xml:space="preserve">Preliminary AMT Income w/IDC</t>
  </si>
  <si>
    <t xml:space="preserve">AMTI Adjustment %</t>
  </si>
  <si>
    <t xml:space="preserve">AMTI Adjustment</t>
  </si>
  <si>
    <t xml:space="preserve">AMT Income w/IDC</t>
  </si>
  <si>
    <t xml:space="preserve">Allowable IDC</t>
  </si>
  <si>
    <t xml:space="preserve">AMTI before NOL</t>
  </si>
  <si>
    <t xml:space="preserve">NOL Used (90% Limitation)</t>
  </si>
  <si>
    <t xml:space="preserve">AMT Taxable Income after NOL</t>
  </si>
  <si>
    <t xml:space="preserve">AMT Tax Rate</t>
  </si>
  <si>
    <t xml:space="preserve">AMT Taxes </t>
  </si>
  <si>
    <t xml:space="preserve">AMT Tax Credit Calculation:</t>
  </si>
  <si>
    <t xml:space="preserve">Beginning AMT Credit Balance</t>
  </si>
  <si>
    <t xml:space="preserve">AMT Credit (Addition)</t>
  </si>
  <si>
    <t xml:space="preserve">AMT Credit Used</t>
  </si>
  <si>
    <t xml:space="preserve">Ending AMT Credit Balance</t>
  </si>
  <si>
    <t xml:space="preserve">Regular Taxes after AMT Tax Credit</t>
  </si>
  <si>
    <t xml:space="preserve">Cash Taxes Paid (greater of AMT Taxes or Regular Taxes)</t>
  </si>
  <si>
    <t xml:space="preserve">IDC Limitations</t>
  </si>
  <si>
    <t xml:space="preserve">Total Oil &amp; Gas Capital Expenditures</t>
  </si>
  <si>
    <t xml:space="preserve">% Allocation to Intangible Drilling Costs</t>
  </si>
  <si>
    <t xml:space="preserve">IDC</t>
  </si>
  <si>
    <t xml:space="preserve">Excess IDC %</t>
  </si>
  <si>
    <t xml:space="preserve">Excess IDC</t>
  </si>
  <si>
    <t xml:space="preserve">Gross Margin from Oil &amp; Gas Activities</t>
  </si>
  <si>
    <t xml:space="preserve">Limitation</t>
  </si>
  <si>
    <t xml:space="preserve">IDC Under Limitation</t>
  </si>
  <si>
    <t xml:space="preserve">IDC Preference</t>
  </si>
  <si>
    <t xml:space="preserve">Production Payment Tax Calculations</t>
  </si>
  <si>
    <t xml:space="preserve">Gas Forward Price Curve  ($/Mmbtu):</t>
  </si>
  <si>
    <t xml:space="preserve">Oil Forward Price Curve  ($/Bbl):</t>
  </si>
  <si>
    <t xml:space="preserve">Implied PP Gas Revenues</t>
  </si>
  <si>
    <t xml:space="preserve">Implied PP Oil Revenues</t>
  </si>
  <si>
    <t xml:space="preserve">Implied PP Revenues</t>
  </si>
  <si>
    <t xml:space="preserve">T-bill rate @ inception</t>
  </si>
  <si>
    <t xml:space="preserve">Imputed Interest Expense - Gas</t>
  </si>
  <si>
    <t xml:space="preserve">Intererst rate on VPP</t>
  </si>
  <si>
    <t xml:space="preserve">Imputed Interest Expense - Oil</t>
  </si>
  <si>
    <t xml:space="preserve">Interest Expense - Total</t>
  </si>
  <si>
    <t xml:space="preserve">Tax PP Amortization:</t>
  </si>
  <si>
    <t xml:space="preserve">Payment</t>
  </si>
  <si>
    <t xml:space="preserve">Interest Payments</t>
  </si>
  <si>
    <t xml:space="preserve">Amortization</t>
  </si>
  <si>
    <t xml:space="preserve">Forgiveness of debt</t>
  </si>
  <si>
    <t xml:space="preserve">Implied Amortization (memo only)</t>
  </si>
  <si>
    <t xml:space="preserve">Implied Interest Rate:</t>
  </si>
  <si>
    <t xml:space="preserve">RETURNS ANALYSIS:</t>
  </si>
  <si>
    <t xml:space="preserve">Equity Allocation:</t>
  </si>
  <si>
    <t xml:space="preserve">Terminal Value:</t>
  </si>
  <si>
    <t xml:space="preserve">Year 3</t>
  </si>
  <si>
    <t xml:space="preserve">Year 4</t>
  </si>
  <si>
    <t xml:space="preserve">Year 5</t>
  </si>
  <si>
    <t xml:space="preserve">Terminal Value (PV10):</t>
  </si>
  <si>
    <t xml:space="preserve">Allocation</t>
  </si>
  <si>
    <r>
      <rPr>
        <sz val="8"/>
        <rFont val="Arial"/>
        <family val="0"/>
      </rPr>
      <t xml:space="preserve">Adj EBDIT </t>
    </r>
    <r>
      <rPr>
        <sz val="7"/>
        <rFont val="Arial"/>
        <family val="2"/>
      </rPr>
      <t xml:space="preserve">(in Yr as Noted)</t>
    </r>
  </si>
  <si>
    <t xml:space="preserve">Multiple:</t>
  </si>
  <si>
    <t xml:space="preserve">Corporate Terminal Value:</t>
  </si>
  <si>
    <t xml:space="preserve">Less:</t>
  </si>
  <si>
    <t xml:space="preserve">Total Debt &amp; Pref Stock</t>
  </si>
  <si>
    <t xml:space="preserve">Plus:</t>
  </si>
  <si>
    <t xml:space="preserve">Excess Cash </t>
  </si>
  <si>
    <t xml:space="preserve">Common Equity Terminal Value:</t>
  </si>
  <si>
    <t xml:space="preserve">Staged Exit?</t>
  </si>
  <si>
    <t xml:space="preserve">no</t>
  </si>
  <si>
    <t xml:space="preserve">% Exit: </t>
  </si>
  <si>
    <t xml:space="preserve">Exit %</t>
  </si>
  <si>
    <t xml:space="preserve">Net Common Equity Terminal Value:</t>
  </si>
  <si>
    <t xml:space="preserve">DEFAULT/LIQUIDATION CALCULATION</t>
  </si>
  <si>
    <t xml:space="preserve">Year 1</t>
  </si>
  <si>
    <t xml:space="preserve">Year 2</t>
  </si>
  <si>
    <t xml:space="preserve">Year 6</t>
  </si>
  <si>
    <t xml:space="preserve">Year 7</t>
  </si>
  <si>
    <t xml:space="preserve">Year 8</t>
  </si>
  <si>
    <t xml:space="preserve">Year 9</t>
  </si>
  <si>
    <t xml:space="preserve">Deficit Revolver Balance</t>
  </si>
  <si>
    <t xml:space="preserve">PV 10 Value</t>
  </si>
  <si>
    <t xml:space="preserve">Discount</t>
  </si>
  <si>
    <t xml:space="preserve">Adjusted PV10</t>
  </si>
  <si>
    <t xml:space="preserve">Less:  Debt &amp; Preferred Stock</t>
  </si>
  <si>
    <t xml:space="preserve">Add:  Working Capital</t>
  </si>
  <si>
    <t xml:space="preserve">ECT Share</t>
  </si>
  <si>
    <t xml:space="preserve">Utilize liquidation value? (Y/N)</t>
  </si>
  <si>
    <t xml:space="preserve">Y</t>
  </si>
  <si>
    <t xml:space="preserve">Liquidation Value to Common</t>
  </si>
  <si>
    <t xml:space="preserve">Rf</t>
  </si>
  <si>
    <t xml:space="preserve">LIQUIDATION VALUES ACCRUED TO EXIT</t>
  </si>
  <si>
    <t xml:space="preserve">Year 1 def.</t>
  </si>
  <si>
    <t xml:space="preserve">Year 2 def.</t>
  </si>
  <si>
    <t xml:space="preserve">Year 3 def.</t>
  </si>
  <si>
    <t xml:space="preserve">Year 4 def.</t>
  </si>
  <si>
    <t xml:space="preserve">Year 5 def.</t>
  </si>
  <si>
    <t xml:space="preserve">Year 6 def.</t>
  </si>
  <si>
    <t xml:space="preserve">Year 7 def.</t>
  </si>
  <si>
    <t xml:space="preserve">LIQUIDATION CASH RECD AT EXIT - GROSS</t>
  </si>
  <si>
    <t xml:space="preserve">SHARE TO ECT</t>
  </si>
  <si>
    <t xml:space="preserve">LIQUIDATION CASH RECD AT EXIT - NET</t>
  </si>
  <si>
    <t xml:space="preserve">TERMINAL VALUE CALCULATION - 100% EXIT EACH YEAR</t>
  </si>
  <si>
    <t xml:space="preserve">Multiple (from model)</t>
  </si>
  <si>
    <t xml:space="preserve">Share to ECT</t>
  </si>
  <si>
    <t xml:space="preserve">Total Cashflows if 100%</t>
  </si>
  <si>
    <t xml:space="preserve">exit at indicated time</t>
  </si>
  <si>
    <t xml:space="preserve">iNVESTMENT CASH FLOWS</t>
  </si>
  <si>
    <t xml:space="preserve">Through:</t>
  </si>
  <si>
    <t xml:space="preserve">Cash Flows</t>
  </si>
  <si>
    <t xml:space="preserve">SENSITIVITY ANALYSES:</t>
  </si>
  <si>
    <t xml:space="preserve">YEAR 3:</t>
  </si>
  <si>
    <t xml:space="preserve">Return Sensitivities</t>
  </si>
  <si>
    <t xml:space="preserve">YEAR 5:</t>
  </si>
  <si>
    <t xml:space="preserve">Allocation:</t>
  </si>
  <si>
    <t xml:space="preserve">DISCOUNTED CASHFLOW VALUATION ANALYSIS:</t>
  </si>
  <si>
    <t xml:space="preserve">OPERATING CASH FLOWS:</t>
  </si>
  <si>
    <t xml:space="preserve">EBIT (Operating Profit)</t>
  </si>
  <si>
    <t xml:space="preserve">Less:  Cash Taxes before Interest Tax Shield</t>
  </si>
  <si>
    <t xml:space="preserve">After Tax EBIT (After Tax Operating Profit)</t>
  </si>
  <si>
    <t xml:space="preserve">Depreciation &amp; Depletion</t>
  </si>
  <si>
    <t xml:space="preserve">Amortization &amp; ESOP Contributions</t>
  </si>
  <si>
    <t xml:space="preserve">Implied Production Payment Interest</t>
  </si>
  <si>
    <t xml:space="preserve">Increase/(Decrease) in Adjusted W/C</t>
  </si>
  <si>
    <t xml:space="preserve">Cash Flow From Operations After Tax (Unlevered Cash Flow)</t>
  </si>
  <si>
    <t xml:space="preserve">Information for Risk Factors</t>
  </si>
  <si>
    <t xml:space="preserve">Credit Risk Factor (default = 1)</t>
  </si>
  <si>
    <t xml:space="preserve">Sovereign Risk Factor (default =1)</t>
  </si>
  <si>
    <t xml:space="preserve">Credit and Sovereign Risk-Adjusted Cash Flow From Operations After Tax</t>
  </si>
  <si>
    <t xml:space="preserve">Perpetuity</t>
  </si>
  <si>
    <t xml:space="preserve">Adj EBDIT</t>
  </si>
  <si>
    <t xml:space="preserve">VALUATION VARIABLES:</t>
  </si>
  <si>
    <t xml:space="preserve">RESIDUAL VALUE:</t>
  </si>
  <si>
    <t xml:space="preserve">Annuity</t>
  </si>
  <si>
    <t xml:space="preserve">Growth</t>
  </si>
  <si>
    <t xml:space="preserve">Term (Horizon)</t>
  </si>
  <si>
    <t xml:space="preserve">Adjusted EBDIT</t>
  </si>
  <si>
    <t xml:space="preserve">Investments (Excess Cash) Outstanding at Value Date</t>
  </si>
  <si>
    <t xml:space="preserve">Operating Profit After Tax </t>
  </si>
  <si>
    <t xml:space="preserve">Debt Outstanding at Value Date</t>
  </si>
  <si>
    <t xml:space="preserve">Number of Shares Outstanding at Value Date (000)</t>
  </si>
  <si>
    <t xml:space="preserve">Discount Rate (ATWACOC)</t>
  </si>
  <si>
    <t xml:space="preserve">Perpetuity Growth Rate</t>
  </si>
  <si>
    <t xml:space="preserve">EBDIT Multiple</t>
  </si>
  <si>
    <t xml:space="preserve">EBIT Multiple</t>
  </si>
  <si>
    <t xml:space="preserve">Corporate Residual Value</t>
  </si>
  <si>
    <t xml:space="preserve">DISCOUNT RATE:</t>
  </si>
  <si>
    <t xml:space="preserve">Discounted Operating Cash Flows</t>
  </si>
  <si>
    <t xml:space="preserve">Target Debt/Capitalization</t>
  </si>
  <si>
    <t xml:space="preserve">Discounted Terminal Value</t>
  </si>
  <si>
    <t xml:space="preserve">Cost of Equity (unlevered)</t>
  </si>
  <si>
    <t xml:space="preserve">Investments (Excess Cash)</t>
  </si>
  <si>
    <t xml:space="preserve">Cost of Equity (levered)</t>
  </si>
  <si>
    <t xml:space="preserve">Firm Value Today</t>
  </si>
  <si>
    <t xml:space="preserve">Weighted Avg Cost of Debt</t>
  </si>
  <si>
    <t xml:space="preserve">Weighted Avg After Tax Cost of Debt</t>
  </si>
  <si>
    <t xml:space="preserve">Debt Outstanding</t>
  </si>
  <si>
    <t xml:space="preserve">A-T Weighted Average Cost of Capital (ATWACOC)</t>
  </si>
  <si>
    <t xml:space="preserve">Equity Value</t>
  </si>
  <si>
    <t xml:space="preserve">COST OF EQUITY (UNLEVERED):</t>
  </si>
  <si>
    <t xml:space="preserve">Risk-Free Rate</t>
  </si>
  <si>
    <t xml:space="preserve">30-Year Treasury Bond</t>
  </si>
  <si>
    <t xml:space="preserve">Beta</t>
  </si>
  <si>
    <t xml:space="preserve">Company Specific (Unlevered)</t>
  </si>
  <si>
    <t xml:space="preserve">Market Risk Premium</t>
  </si>
  <si>
    <t xml:space="preserve">Equity Value per Share</t>
  </si>
  <si>
    <t xml:space="preserve">Cost of Equity</t>
  </si>
  <si>
    <t xml:space="preserve">Data from Operating Sheet</t>
  </si>
  <si>
    <t xml:space="preserve">Oil &amp; Gas Related</t>
  </si>
  <si>
    <t xml:space="preserve">Data to Operating Sheet</t>
  </si>
  <si>
    <t xml:space="preserve">Fraction of current year</t>
  </si>
  <si>
    <t xml:space="preserve">Cash </t>
  </si>
  <si>
    <t xml:space="preserve">COMMON-SIZED INCOME STATEMENT:</t>
  </si>
  <si>
    <t xml:space="preserve">FASB CASH FLOW ANALYSIS</t>
  </si>
  <si>
    <t xml:space="preserve">Cash Flow From Operating Activities:</t>
  </si>
  <si>
    <t xml:space="preserve">Deferred Revenues</t>
  </si>
  <si>
    <t xml:space="preserve">Losses/(Gains)</t>
  </si>
  <si>
    <t xml:space="preserve">Add/</t>
  </si>
  <si>
    <t xml:space="preserve">(Subtract)</t>
  </si>
  <si>
    <t xml:space="preserve">Change in:</t>
  </si>
  <si>
    <t xml:space="preserve">Cash Flow From Investing Activities:</t>
  </si>
  <si>
    <t xml:space="preserve">Cash Flow From Financing Activities:</t>
  </si>
  <si>
    <t xml:space="preserve">Dividends Paid</t>
  </si>
  <si>
    <t xml:space="preserve">Scheduled Debt and Preferred Stock Reductions</t>
  </si>
  <si>
    <t xml:space="preserve">Proceeds of Debt &amp; Stock Issues</t>
  </si>
  <si>
    <t xml:space="preserve">Borrowing/(Repayment) under Bank Revolver</t>
  </si>
  <si>
    <t xml:space="preserve">Borrowing/(Repayment) under Deficit Revolver</t>
  </si>
  <si>
    <t xml:space="preserve">Net Increase/(Decrease) in Cash and Cash Equivalents</t>
  </si>
  <si>
    <t xml:space="preserve">Set Calc (s)</t>
  </si>
  <si>
    <t xml:space="preserve">Optimize</t>
  </si>
  <si>
    <t xml:space="preserve">PP Yield</t>
  </si>
  <si>
    <t xml:space="preserve">Version 4 Macros still used:</t>
  </si>
  <si>
    <t xml:space="preserve">set calc</t>
  </si>
  <si>
    <t xml:space="preserve">optimize</t>
  </si>
  <si>
    <t xml:space="preserve">general box</t>
  </si>
  <si>
    <t xml:space="preserve">all the sensitivities</t>
  </si>
  <si>
    <t xml:space="preserve">opto</t>
  </si>
  <si>
    <t xml:space="preserve">Quick.Move</t>
  </si>
  <si>
    <t xml:space="preserve">teras</t>
  </si>
  <si>
    <t xml:space="preserve">Quick.Move.Box</t>
  </si>
  <si>
    <t xml:space="preserve">Go To ...</t>
  </si>
  <si>
    <t xml:space="preserve">Overview</t>
  </si>
  <si>
    <t xml:space="preserve">Income Statement</t>
  </si>
  <si>
    <t xml:space="preserve">Common Sized Statement</t>
  </si>
  <si>
    <t xml:space="preserve">Sources/Uses</t>
  </si>
  <si>
    <t xml:space="preserve">Balance Sheet</t>
  </si>
  <si>
    <t xml:space="preserve">Opening Balance Sheet</t>
  </si>
  <si>
    <t xml:space="preserve">Capitalization 1</t>
  </si>
  <si>
    <t xml:space="preserve">Capitalization 2</t>
  </si>
  <si>
    <t xml:space="preserve">Income Tax</t>
  </si>
  <si>
    <t xml:space="preserve">QM.Lookup</t>
  </si>
  <si>
    <t xml:space="preserve">Cancel</t>
  </si>
  <si>
    <t xml:space="preserve">&amp;CF Input</t>
  </si>
  <si>
    <t xml:space="preserve">&amp;General Information</t>
  </si>
  <si>
    <t xml:space="preserve">General</t>
  </si>
  <si>
    <t xml:space="preserve">Input Company Name, Scenario, FYE &amp; Units</t>
  </si>
  <si>
    <t xml:space="preserve">&amp;Transaction</t>
  </si>
  <si>
    <t xml:space="preserve">Input Transaction Funds Flow, Fees and Date</t>
  </si>
  <si>
    <t xml:space="preserve">&amp;Cash Flow Items</t>
  </si>
  <si>
    <t xml:space="preserve">Cash.Flow</t>
  </si>
  <si>
    <t xml:space="preserve">Input Operating Cash Items, Tax Items, ESOP Items &amp; Asset Sales</t>
  </si>
  <si>
    <t xml:space="preserve">&amp;Balance Sheet Items</t>
  </si>
  <si>
    <t xml:space="preserve">Bal.Sheet</t>
  </si>
  <si>
    <t xml:space="preserve">Input Opening Balance Sheet &amp; Working Capital</t>
  </si>
  <si>
    <t xml:space="preserve">&amp;Debt Items</t>
  </si>
  <si>
    <t xml:space="preserve">Input Repayment Schedules &amp; Interest Rates</t>
  </si>
  <si>
    <t xml:space="preserve">&amp;Oil and Gas Reserve Items</t>
  </si>
  <si>
    <t xml:space="preserve">Oil.Gas</t>
  </si>
  <si>
    <t xml:space="preserve">Input Specific Oil &amp; Gas Reserves Information</t>
  </si>
  <si>
    <t xml:space="preserve">&amp;Analyses</t>
  </si>
  <si>
    <t xml:space="preserve">Analyses.Input</t>
  </si>
  <si>
    <t xml:space="preserve">Input Information for Analyses</t>
  </si>
  <si>
    <t xml:space="preserve">Iterations:</t>
  </si>
  <si>
    <t xml:space="preserve">General.Box</t>
  </si>
  <si>
    <t xml:space="preserve">GENERAL INFORMATION</t>
  </si>
  <si>
    <t xml:space="preserve">Up&amp;date</t>
  </si>
  <si>
    <t xml:space="preserve">C&amp;ancel</t>
  </si>
  <si>
    <t xml:space="preserve">Company &amp;Name:</t>
  </si>
  <si>
    <t xml:space="preserve">&amp;Scenario:</t>
  </si>
  <si>
    <t xml:space="preserve">Texas Tea</t>
  </si>
  <si>
    <t xml:space="preserve">&amp;Fiscal Year End:</t>
  </si>
  <si>
    <t xml:space="preserve">&amp;Units ($ in .....)</t>
  </si>
  <si>
    <t xml:space="preserve">Millions</t>
  </si>
  <si>
    <t xml:space="preserve">Actual</t>
  </si>
  <si>
    <t xml:space="preserve">l</t>
  </si>
  <si>
    <t xml:space="preserve">r</t>
  </si>
  <si>
    <t xml:space="preserve">Proj</t>
  </si>
  <si>
    <t xml:space="preserve">Hist</t>
  </si>
  <si>
    <t xml:space="preserve">Transaction.Box</t>
  </si>
  <si>
    <t xml:space="preserve">TRANSACTION ITEMS</t>
  </si>
  <si>
    <t xml:space="preserve">Transaction &amp;Date:</t>
  </si>
  <si>
    <t xml:space="preserve">Transaction &amp;Fees</t>
  </si>
  <si>
    <t xml:space="preserve">&amp;Transaction Funds Flow</t>
  </si>
  <si>
    <t xml:space="preserve">Cash.Flow.Box</t>
  </si>
  <si>
    <t xml:space="preserve">CASH FLOW ITEMS</t>
  </si>
  <si>
    <t xml:space="preserve">&amp;Operating Data</t>
  </si>
  <si>
    <t xml:space="preserve">&amp;Tax Items</t>
  </si>
  <si>
    <t xml:space="preserve">Asset &amp;Sales</t>
  </si>
  <si>
    <t xml:space="preserve">&amp;ESOP Items</t>
  </si>
  <si>
    <t xml:space="preserve">Bal.Sheet.Box</t>
  </si>
  <si>
    <t xml:space="preserve">BALANCE SHEET ITEMS</t>
  </si>
  <si>
    <t xml:space="preserve">&amp;Opening B/S</t>
  </si>
  <si>
    <t xml:space="preserve">&amp;Working Capital</t>
  </si>
  <si>
    <t xml:space="preserve">&amp;Borrowing Base</t>
  </si>
  <si>
    <t xml:space="preserve">&amp;Unused</t>
  </si>
  <si>
    <t xml:space="preserve">Debt.Box</t>
  </si>
  <si>
    <t xml:space="preserve">DEBT ITEMS</t>
  </si>
  <si>
    <t xml:space="preserve">&amp;Debt Repayment</t>
  </si>
  <si>
    <t xml:space="preserve">&amp;Interest Rates</t>
  </si>
  <si>
    <t xml:space="preserve">Print</t>
  </si>
  <si>
    <t xml:space="preserve">Statements</t>
  </si>
  <si>
    <t xml:space="preserve">Analyses</t>
  </si>
  <si>
    <t xml:space="preserve">Input.Statements</t>
  </si>
  <si>
    <t xml:space="preserve">Everything</t>
  </si>
  <si>
    <t xml:space="preserve">Print.Box</t>
  </si>
  <si>
    <t xml:space="preserve">PRINT ....</t>
  </si>
  <si>
    <t xml:space="preserve">Print Financial Statements</t>
  </si>
  <si>
    <t xml:space="preserve">Print Oil and Gas Reserves</t>
  </si>
  <si>
    <t xml:space="preserve">Print Individual Statements ....</t>
  </si>
  <si>
    <t xml:space="preserve">Print Tax Calculation</t>
  </si>
  <si>
    <t xml:space="preserve">Print Analyses ....</t>
  </si>
  <si>
    <t xml:space="preserve">Print Everything</t>
  </si>
  <si>
    <t xml:space="preserve">Print Input Assumptions ....</t>
  </si>
  <si>
    <t xml:space="preserve">Statement.Box</t>
  </si>
  <si>
    <t xml:space="preserve">PRINT STATEMENTS ....</t>
  </si>
  <si>
    <t xml:space="preserve">Print Overview</t>
  </si>
  <si>
    <t xml:space="preserve">Print Income Statement</t>
  </si>
  <si>
    <t xml:space="preserve">Print Cash Flow Statement</t>
  </si>
  <si>
    <t xml:space="preserve">Print Balance Sheet</t>
  </si>
  <si>
    <t xml:space="preserve">Print Opening Bal Sheet</t>
  </si>
  <si>
    <t xml:space="preserve">Print Capitalization 1</t>
  </si>
  <si>
    <t xml:space="preserve">Print Capitalization 2</t>
  </si>
  <si>
    <t xml:space="preserve">Analyses.Box</t>
  </si>
  <si>
    <t xml:space="preserve">PRINT ANALYSES ....</t>
  </si>
  <si>
    <t xml:space="preserve">Print Returns Analysis</t>
  </si>
  <si>
    <t xml:space="preserve">Print DCF Valuation</t>
  </si>
  <si>
    <t xml:space="preserve">Print Chg. in W/C Analysis</t>
  </si>
  <si>
    <t xml:space="preserve">Print FASB Cash Flow</t>
  </si>
  <si>
    <t xml:space="preserve">Unused</t>
  </si>
  <si>
    <t xml:space="preserve">Input.Statements.Box</t>
  </si>
  <si>
    <t xml:space="preserve">PRINT INPUT ....</t>
  </si>
  <si>
    <t xml:space="preserve">Operating Assumptions</t>
  </si>
  <si>
    <t xml:space="preserve">Debt Repayment Assumptions</t>
  </si>
  <si>
    <t xml:space="preserve">Interest Rate Assumptions</t>
  </si>
  <si>
    <t xml:space="preserve">Working Capital Assumptions</t>
  </si>
  <si>
    <t xml:space="preserve">Borrowing Base Assumptions</t>
  </si>
  <si>
    <t xml:space="preserve">Tax Assumptions</t>
  </si>
  <si>
    <t xml:space="preserve">Oil/Gas Reserves Assumptions</t>
  </si>
  <si>
    <t xml:space="preserve">PP</t>
  </si>
  <si>
    <t xml:space="preserve">Non.PPPC</t>
  </si>
  <si>
    <t xml:space="preserve">Deplete</t>
  </si>
  <si>
    <t xml:space="preserve">Hedge</t>
  </si>
  <si>
    <t xml:space="preserve">Tail</t>
  </si>
  <si>
    <t xml:space="preserve">Oil.Gas.Box</t>
  </si>
  <si>
    <t xml:space="preserve">y</t>
  </si>
  <si>
    <t xml:space="preserve">w</t>
  </si>
  <si>
    <t xml:space="preserve">h</t>
  </si>
  <si>
    <t xml:space="preserve">OIL &amp; GAS RESERVES....</t>
  </si>
  <si>
    <t xml:space="preserve">Production Payment Assumptions</t>
  </si>
  <si>
    <t xml:space="preserve">PP Prices and Volumes</t>
  </si>
  <si>
    <t xml:space="preserve">VPP Market Price Curves</t>
  </si>
  <si>
    <t xml:space="preserve">Reserves Assumptions</t>
  </si>
  <si>
    <t xml:space="preserve">Hedging Profit/(Losses)</t>
  </si>
  <si>
    <t xml:space="preserve">Oil/Gas Income Projections</t>
  </si>
  <si>
    <t xml:space="preserve">Tail Assumptions</t>
  </si>
  <si>
    <t xml:space="preserve">Gas/Oil</t>
  </si>
  <si>
    <t xml:space="preserve">Mmbtu/Bbl</t>
  </si>
  <si>
    <t xml:space="preserve">Bbtu/Mbbl</t>
  </si>
  <si>
    <t xml:space="preserve">Tbtu/MMbbl</t>
  </si>
  <si>
    <t xml:space="preserve">Select Units:</t>
  </si>
  <si>
    <t xml:space="preserve">Analyses.Input.Box</t>
  </si>
  <si>
    <t xml:space="preserve">ANALYSES ....</t>
  </si>
  <si>
    <t xml:space="preserve">&amp;Returns Analysis</t>
  </si>
  <si>
    <t xml:space="preserve">DCF &amp;Valuation</t>
  </si>
  <si>
    <t xml:space="preserve">&amp;FASB Analysis</t>
  </si>
  <si>
    <t xml:space="preserve">&amp;Overview</t>
  </si>
  <si>
    <t xml:space="preserve">Sensitivity3.Select</t>
  </si>
  <si>
    <t xml:space="preserve">Term.Loan3</t>
  </si>
  <si>
    <t xml:space="preserve">Sr.Sub3</t>
  </si>
  <si>
    <t xml:space="preserve">Jr.Sub3</t>
  </si>
  <si>
    <t xml:space="preserve">Preferred3</t>
  </si>
  <si>
    <t xml:space="preserve">Common3</t>
  </si>
  <si>
    <t xml:space="preserve">copies name of debt category chosen to cell g889 (title)</t>
  </si>
  <si>
    <t xml:space="preserve">copies the allocation % to cell e892 (left column title)</t>
  </si>
  <si>
    <t xml:space="preserve">range value it </t>
  </si>
  <si>
    <t xml:space="preserve">"   "</t>
  </si>
  <si>
    <t xml:space="preserve">copies the base multiple to the row header</t>
  </si>
  <si>
    <t xml:space="preserve">calc</t>
  </si>
  <si>
    <t xml:space="preserve">copies the irr formula in the equity allocation section to cell e891</t>
  </si>
  <si>
    <t xml:space="preserve">makes a table using the formula</t>
  </si>
  <si>
    <t xml:space="preserve">copies it</t>
  </si>
  <si>
    <t xml:space="preserve">Sensitivity3.Select.Box</t>
  </si>
  <si>
    <t xml:space="preserve">SENSITIVITIES</t>
  </si>
  <si>
    <t xml:space="preserve">&amp;Term Loan</t>
  </si>
  <si>
    <t xml:space="preserve">&amp;Sr Sub Notes</t>
  </si>
  <si>
    <t xml:space="preserve">&amp;Jr Sub Notes</t>
  </si>
  <si>
    <t xml:space="preserve">&amp;Preferred Stock</t>
  </si>
  <si>
    <t xml:space="preserve">&amp;Common Stock</t>
  </si>
  <si>
    <t xml:space="preserve">Sensitivity5.Select</t>
  </si>
  <si>
    <t xml:space="preserve">Term.Loan5</t>
  </si>
  <si>
    <t xml:space="preserve">Sr.Sub5</t>
  </si>
  <si>
    <t xml:space="preserve">Jr.Sub5</t>
  </si>
  <si>
    <t xml:space="preserve">Preferred5</t>
  </si>
  <si>
    <t xml:space="preserve">Common5</t>
  </si>
  <si>
    <t xml:space="preserve">Sensitivity5.Select.Box</t>
  </si>
  <si>
    <t xml:space="preserve">Go.By for RUN TABLE</t>
  </si>
</sst>
</file>

<file path=xl/styles.xml><?xml version="1.0" encoding="utf-8"?>
<styleSheet xmlns="http://schemas.openxmlformats.org/spreadsheetml/2006/main">
  <numFmts count="40">
    <numFmt numFmtId="164" formatCode="[$-409]#,##0_);\(#,##0\)"/>
    <numFmt numFmtId="165" formatCode="_(* #,##0_);_(* \(#,##0\);_(* \-_);_(@_)"/>
    <numFmt numFmtId="166" formatCode="_(* #,##0.00_);_(* \(#,##0.00\);_(* \-??_);_(@_)"/>
    <numFmt numFmtId="167" formatCode="[$-409]#,##0.00_);[RED]\(#,##0.00\)"/>
    <numFmt numFmtId="168" formatCode="_(\$* #,##0_);_(\$* \(#,##0\);_(\$* \-_);_(@_)"/>
    <numFmt numFmtId="169" formatCode="_(\$* #,##0.00_);_(\$* \(#,##0.00\);_(\$* \-??_);_(@_)"/>
    <numFmt numFmtId="170" formatCode="[$-409]General"/>
    <numFmt numFmtId="171" formatCode="[$-409]#,##0_);[RED]\(#,##0\)"/>
    <numFmt numFmtId="172" formatCode="[$-409]#,##0"/>
    <numFmt numFmtId="173" formatCode="[$-409]m/d/yyyy"/>
    <numFmt numFmtId="174" formatCode="[$-409]mmm\-yy"/>
    <numFmt numFmtId="175" formatCode="\$#,##0.000_);[RED]&quot;($&quot;#,##0.000\)"/>
    <numFmt numFmtId="176" formatCode="[$-409]0%"/>
    <numFmt numFmtId="177" formatCode="General"/>
    <numFmt numFmtId="178" formatCode="\$#,##0.00_);[RED]&quot;($&quot;#,##0.00\)"/>
    <numFmt numFmtId="179" formatCode="0_)"/>
    <numFmt numFmtId="180" formatCode="0.0%"/>
    <numFmt numFmtId="181" formatCode="[$-409]#,##0.00_);\(#,##0.00\)"/>
    <numFmt numFmtId="182" formatCode="[$-409]0"/>
    <numFmt numFmtId="183" formatCode="[$-409]0.00%"/>
    <numFmt numFmtId="184" formatCode="0.0000"/>
    <numFmt numFmtId="185" formatCode="[$-409]0.00"/>
    <numFmt numFmtId="186" formatCode="#,##0.00000_);\(#,##0.00000\)"/>
    <numFmt numFmtId="187" formatCode="\$#,##0_);[RED]&quot;($&quot;#,##0\)"/>
    <numFmt numFmtId="188" formatCode="#,##0.000_);[RED]\(#,##0.000\)"/>
    <numFmt numFmtId="189" formatCode="\$#,##0.00_);&quot;($&quot;#,##0.00\)"/>
    <numFmt numFmtId="190" formatCode="0.000"/>
    <numFmt numFmtId="191" formatCode="0.00_)"/>
    <numFmt numFmtId="192" formatCode="#,##0.000_);\(#,##0.000\)"/>
    <numFmt numFmtId="193" formatCode="[$-409]#,##0.00"/>
    <numFmt numFmtId="194" formatCode="hh:mm\ AM/PM_)"/>
    <numFmt numFmtId="195" formatCode="mm/dd/yy_)"/>
    <numFmt numFmtId="196" formatCode="General_)"/>
    <numFmt numFmtId="197" formatCode="dd\-mmm_)"/>
    <numFmt numFmtId="198" formatCode="0.0_)"/>
    <numFmt numFmtId="199" formatCode="#,##0.0_);\(#,##0.0\)"/>
    <numFmt numFmtId="200" formatCode="#,##0.000000_);\(#,##0.000000\)"/>
    <numFmt numFmtId="201" formatCode="0.000%"/>
    <numFmt numFmtId="202" formatCode=";;;"/>
    <numFmt numFmtId="203" formatCode="mmm\-dd"/>
  </numFmts>
  <fonts count="47">
    <font>
      <sz val="8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8"/>
      <name val=""/>
      <family val="0"/>
    </font>
    <font>
      <sz val="8"/>
      <name val="Arial"/>
      <family val="2"/>
    </font>
    <font>
      <sz val="8"/>
      <color rgb="FF0000FF"/>
      <name val="Arial"/>
      <family val="2"/>
    </font>
    <font>
      <sz val="8"/>
      <name val="Times New Roman"/>
      <family val="0"/>
    </font>
    <font>
      <sz val="10"/>
      <name val="Times New Roman"/>
      <family val="0"/>
    </font>
    <font>
      <b val="true"/>
      <sz val="8"/>
      <name val="Arial"/>
      <family val="0"/>
    </font>
    <font>
      <b val="true"/>
      <sz val="8"/>
      <name val="Arial"/>
      <family val="2"/>
    </font>
    <font>
      <sz val="7"/>
      <name val="Arial"/>
      <family val="2"/>
    </font>
    <font>
      <sz val="7"/>
      <name val="Arial"/>
      <family val="0"/>
    </font>
    <font>
      <sz val="8"/>
      <color rgb="FFFF0000"/>
      <name val="Arial"/>
      <family val="2"/>
    </font>
    <font>
      <u val="single"/>
      <sz val="8"/>
      <name val="Arial"/>
      <family val="2"/>
    </font>
    <font>
      <b val="true"/>
      <sz val="8"/>
      <color rgb="FFFF0000"/>
      <name val="MS Sans Serif"/>
      <family val="0"/>
    </font>
    <font>
      <sz val="8"/>
      <color rgb="FF000000"/>
      <name val="Tahoma"/>
      <family val="0"/>
    </font>
    <font>
      <sz val="8"/>
      <color rgb="FF000000"/>
      <name val="Arial"/>
      <family val="2"/>
    </font>
    <font>
      <i val="true"/>
      <sz val="8"/>
      <name val="Arial"/>
      <family val="0"/>
    </font>
    <font>
      <b val="true"/>
      <u val="single"/>
      <sz val="8"/>
      <name val="Arial"/>
      <family val="2"/>
    </font>
    <font>
      <b val="true"/>
      <u val="single"/>
      <sz val="8"/>
      <name val="Arial"/>
      <family val="0"/>
    </font>
    <font>
      <b val="true"/>
      <u val="single"/>
      <sz val="10"/>
      <name val="Arial"/>
      <family val="2"/>
    </font>
    <font>
      <sz val="6"/>
      <name val="Arial"/>
      <family val="2"/>
    </font>
    <font>
      <sz val="8"/>
      <color rgb="FF0000FF"/>
      <name val="Arial"/>
      <family val="0"/>
    </font>
    <font>
      <sz val="8"/>
      <color rgb="FFFFFFFF"/>
      <name val="Arial"/>
      <family val="2"/>
    </font>
    <font>
      <b val="true"/>
      <sz val="8"/>
      <color rgb="FFFF0000"/>
      <name val="Arial"/>
      <family val="2"/>
    </font>
    <font>
      <sz val="7.5"/>
      <name val="Arial"/>
      <family val="2"/>
    </font>
    <font>
      <u val="single"/>
      <sz val="7"/>
      <name val="Arial"/>
      <family val="2"/>
    </font>
    <font>
      <b val="true"/>
      <sz val="8"/>
      <color rgb="FF0000FF"/>
      <name val="Arial"/>
      <family val="2"/>
    </font>
    <font>
      <sz val="8"/>
      <color rgb="FF000000"/>
      <name val="Arial"/>
      <family val="0"/>
    </font>
    <font>
      <i val="true"/>
      <sz val="8"/>
      <color rgb="FFFF0000"/>
      <name val="Arial"/>
      <family val="2"/>
    </font>
    <font>
      <i val="true"/>
      <sz val="8"/>
      <name val=""/>
      <family val="0"/>
    </font>
    <font>
      <i val="true"/>
      <sz val="7.5"/>
      <name val="Arial"/>
      <family val="2"/>
    </font>
    <font>
      <b val="true"/>
      <sz val="10"/>
      <name val="Arial"/>
      <family val="0"/>
    </font>
    <font>
      <b val="true"/>
      <i val="true"/>
      <sz val="8"/>
      <name val="Arial"/>
      <family val="0"/>
    </font>
    <font>
      <i val="true"/>
      <sz val="8"/>
      <name val="Arial"/>
      <family val="2"/>
    </font>
    <font>
      <i val="true"/>
      <u val="single"/>
      <sz val="8"/>
      <name val="Arial"/>
      <family val="2"/>
    </font>
    <font>
      <sz val="8"/>
      <name val="Arial MT"/>
      <family val="0"/>
    </font>
    <font>
      <sz val="8"/>
      <color rgb="FF800000"/>
      <name val="Arial"/>
      <family val="0"/>
    </font>
    <font>
      <sz val="8"/>
      <color rgb="FFFFFFFF"/>
      <name val="Arial"/>
      <family val="0"/>
    </font>
    <font>
      <b val="true"/>
      <sz val="8"/>
      <color rgb="FFFFFFFF"/>
      <name val="Arial"/>
      <family val="0"/>
    </font>
    <font>
      <i val="true"/>
      <u val="single"/>
      <sz val="8"/>
      <name val="Arial"/>
      <family val="0"/>
    </font>
    <font>
      <sz val="8"/>
      <color rgb="FF000000"/>
      <name val="Arial MT"/>
      <family val="0"/>
    </font>
    <font>
      <sz val="8"/>
      <color rgb="FFFFFFFF"/>
      <name val="ARIEL"/>
      <family val="0"/>
    </font>
    <font>
      <sz val="10"/>
      <name val="Arial"/>
      <family val="2"/>
    </font>
    <font>
      <sz val="10"/>
      <color rgb="FFFF00FF"/>
      <name val="Arial"/>
      <family val="0"/>
    </font>
    <font>
      <sz val="10"/>
      <color rgb="FF000000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rgb="FF00FFFF"/>
        <bgColor rgb="FF00FFFF"/>
      </patternFill>
    </fill>
    <fill>
      <patternFill patternType="solid">
        <fgColor rgb="FFFFFF99"/>
        <bgColor rgb="FFFFFFBF"/>
      </patternFill>
    </fill>
    <fill>
      <patternFill patternType="solid">
        <fgColor rgb="FFFFFFFF"/>
        <bgColor rgb="FFFFFFC0"/>
      </patternFill>
    </fill>
    <fill>
      <patternFill patternType="solid">
        <fgColor rgb="FFFFFF00"/>
        <bgColor rgb="FFFFFF00"/>
      </patternFill>
    </fill>
    <fill>
      <patternFill patternType="solid">
        <fgColor rgb="FFFFFFBF"/>
        <bgColor rgb="FFFFFFC0"/>
      </patternFill>
    </fill>
    <fill>
      <patternFill patternType="solid">
        <fgColor rgb="FFFFFFC0"/>
        <bgColor rgb="FFFFFFBF"/>
      </patternFill>
    </fill>
    <fill>
      <patternFill patternType="solid">
        <fgColor rgb="FFC0C0C0"/>
        <bgColor rgb="FF99CCFF"/>
      </patternFill>
    </fill>
    <fill>
      <patternFill patternType="solid">
        <fgColor rgb="FFFFBFFF"/>
        <bgColor rgb="FFFF99CC"/>
      </patternFill>
    </fill>
    <fill>
      <patternFill patternType="solid">
        <fgColor rgb="FFFF0000"/>
        <bgColor rgb="FF993300"/>
      </patternFill>
    </fill>
  </fills>
  <borders count="51">
    <border diagonalUp="false" diagonalDown="false">
      <left/>
      <right/>
      <top/>
      <bottom/>
      <diagonal/>
    </border>
    <border diagonalUp="false" diagonalDown="false">
      <left style="double"/>
      <right style="double"/>
      <top style="double"/>
      <bottom style="double"/>
      <diagonal/>
    </border>
    <border diagonalUp="false" diagonalDown="false">
      <left style="double"/>
      <right style="double"/>
      <top style="double"/>
      <bottom/>
      <diagonal/>
    </border>
    <border diagonalUp="false" diagonalDown="false">
      <left style="double"/>
      <right style="double"/>
      <top/>
      <bottom style="double"/>
      <diagonal/>
    </border>
    <border diagonalUp="false" diagonalDown="false">
      <left/>
      <right/>
      <top/>
      <bottom style="medium">
        <color rgb="FFFF00FF"/>
      </bottom>
      <diagonal/>
    </border>
    <border diagonalUp="false" diagonalDown="false">
      <left/>
      <right/>
      <top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/>
      <right/>
      <top style="thick"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ck"/>
      <diagonal/>
    </border>
    <border diagonalUp="false" diagonalDown="false">
      <left/>
      <right/>
      <top style="thick">
        <color rgb="FFFF8080"/>
      </top>
      <bottom/>
      <diagonal/>
    </border>
    <border diagonalUp="false" diagonalDown="false">
      <left/>
      <right/>
      <top/>
      <bottom style="thick">
        <color rgb="FFFF8080"/>
      </bottom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/>
      <right/>
      <top style="thin"/>
      <bottom style="double"/>
      <diagonal/>
    </border>
    <border diagonalUp="false" diagonalDown="false">
      <left/>
      <right style="double"/>
      <top/>
      <bottom/>
      <diagonal/>
    </border>
    <border diagonalUp="false" diagonalDown="false">
      <left style="double"/>
      <right/>
      <top style="double"/>
      <bottom/>
      <diagonal/>
    </border>
    <border diagonalUp="false" diagonalDown="false">
      <left/>
      <right/>
      <top style="double"/>
      <bottom/>
      <diagonal/>
    </border>
    <border diagonalUp="false" diagonalDown="false">
      <left/>
      <right style="double"/>
      <top style="double"/>
      <bottom/>
      <diagonal/>
    </border>
    <border diagonalUp="false" diagonalDown="false">
      <left style="double"/>
      <right/>
      <top/>
      <bottom style="double"/>
      <diagonal/>
    </border>
    <border diagonalUp="false" diagonalDown="false">
      <left/>
      <right/>
      <top/>
      <bottom style="double"/>
      <diagonal/>
    </border>
    <border diagonalUp="false" diagonalDown="false">
      <left/>
      <right style="double"/>
      <top/>
      <bottom style="double"/>
      <diagonal/>
    </border>
    <border diagonalUp="false" diagonalDown="false">
      <left style="double"/>
      <right/>
      <top/>
      <bottom/>
      <diagonal/>
    </border>
    <border diagonalUp="false" diagonalDown="false">
      <left style="double"/>
      <right style="double"/>
      <top/>
      <bottom/>
      <diagonal/>
    </border>
    <border diagonalUp="false" diagonalDown="false">
      <left style="double"/>
      <right/>
      <top style="thin"/>
      <bottom/>
      <diagonal/>
    </border>
    <border diagonalUp="false" diagonalDown="false">
      <left/>
      <right style="double"/>
      <top style="thin"/>
      <bottom/>
      <diagonal/>
    </border>
    <border diagonalUp="false" diagonalDown="false">
      <left style="double"/>
      <right style="double"/>
      <top style="thin"/>
      <bottom/>
      <diagonal/>
    </border>
    <border diagonalUp="false" diagonalDown="false">
      <left style="double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double"/>
      <top style="thin"/>
      <bottom style="thin"/>
      <diagonal/>
    </border>
    <border diagonalUp="false" diagonalDown="false">
      <left style="double"/>
      <right style="double"/>
      <top style="thin"/>
      <bottom style="thin"/>
      <diagonal/>
    </border>
    <border diagonalUp="false" diagonalDown="false">
      <left style="double"/>
      <right/>
      <top style="thin"/>
      <bottom style="double"/>
      <diagonal/>
    </border>
    <border diagonalUp="false" diagonalDown="false">
      <left/>
      <right style="double"/>
      <top style="thin"/>
      <bottom style="double"/>
      <diagonal/>
    </border>
    <border diagonalUp="false" diagonalDown="false">
      <left style="double"/>
      <right style="double"/>
      <top style="thin"/>
      <bottom style="double"/>
      <diagonal/>
    </border>
    <border diagonalUp="false" diagonalDown="false">
      <left style="double"/>
      <right style="thin"/>
      <top style="double"/>
      <bottom style="double"/>
      <diagonal/>
    </border>
    <border diagonalUp="false" diagonalDown="false">
      <left style="thin"/>
      <right style="double"/>
      <top style="double"/>
      <bottom style="double"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 style="thin"/>
      <top style="thin"/>
      <bottom style="double"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 style="thin"/>
      <bottom style="double"/>
      <diagonal/>
    </border>
    <border diagonalUp="false" diagonalDown="false">
      <left style="thin"/>
      <right/>
      <top style="thick"/>
      <bottom/>
      <diagonal/>
    </border>
    <border diagonalUp="false" diagonalDown="false">
      <left style="thin"/>
      <right style="double"/>
      <top style="double"/>
      <bottom/>
      <diagonal/>
    </border>
    <border diagonalUp="false" diagonalDown="false">
      <left/>
      <right style="hair"/>
      <top/>
      <bottom/>
      <diagonal/>
    </border>
    <border diagonalUp="false" diagonalDown="false">
      <left style="thin"/>
      <right/>
      <top/>
      <bottom style="double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</borders>
  <cellStyleXfs count="126">
    <xf numFmtId="164" fontId="0" fillId="0" border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7" fontId="0" fillId="0" borderId="0" applyFont="true" applyBorder="false" applyAlignment="true" applyProtection="false">
      <alignment horizontal="center" vertical="bottom" textRotation="0" wrapText="false" indent="0" shrinkToFit="false"/>
    </xf>
    <xf numFmtId="41" fontId="1" fillId="0" borderId="0" applyFont="true" applyBorder="false" applyAlignment="false" applyProtection="false"/>
    <xf numFmtId="178" fontId="0" fillId="0" borderId="0" applyFont="true" applyBorder="false" applyAlignment="true" applyProtection="false">
      <alignment horizontal="center" vertical="bottom" textRotation="0" wrapText="false" indent="0" shrinkToFit="false"/>
    </xf>
    <xf numFmtId="42" fontId="1" fillId="0" borderId="0" applyFont="true" applyBorder="false" applyAlignment="false" applyProtection="false"/>
    <xf numFmtId="176" fontId="0" fillId="0" borderId="0" applyFont="true" applyBorder="false" applyAlignment="true" applyProtection="false">
      <alignment horizontal="center" vertical="bottom" textRotation="0" wrapText="false" indent="0" shrinkToFit="false"/>
    </xf>
    <xf numFmtId="165" fontId="0" fillId="0" borderId="0" applyFont="true" applyBorder="false" applyAlignment="true" applyProtection="false">
      <alignment horizontal="center" vertical="bottom" textRotation="0" wrapText="false" indent="0" shrinkToFit="false"/>
    </xf>
    <xf numFmtId="165" fontId="0" fillId="0" borderId="0" applyFont="true" applyBorder="false" applyAlignment="true" applyProtection="false">
      <alignment horizontal="center" vertical="bottom" textRotation="0" wrapText="false" indent="0" shrinkToFit="false"/>
    </xf>
    <xf numFmtId="165" fontId="0" fillId="0" borderId="0" applyFont="true" applyBorder="false" applyAlignment="true" applyProtection="false">
      <alignment horizontal="center" vertical="bottom" textRotation="0" wrapText="false" indent="0" shrinkToFit="false"/>
    </xf>
    <xf numFmtId="165" fontId="0" fillId="0" borderId="0" applyFont="true" applyBorder="false" applyAlignment="true" applyProtection="false">
      <alignment horizontal="center" vertical="bottom" textRotation="0" wrapText="false" indent="0" shrinkToFit="false"/>
    </xf>
    <xf numFmtId="165" fontId="0" fillId="0" borderId="0" applyFont="true" applyBorder="false" applyAlignment="true" applyProtection="false">
      <alignment horizontal="center" vertical="bottom" textRotation="0" wrapText="false" indent="0" shrinkToFit="false"/>
    </xf>
    <xf numFmtId="165" fontId="0" fillId="0" borderId="0" applyFont="true" applyBorder="false" applyAlignment="true" applyProtection="false">
      <alignment horizontal="center" vertical="bottom" textRotation="0" wrapText="false" indent="0" shrinkToFit="false"/>
    </xf>
    <xf numFmtId="165" fontId="0" fillId="0" borderId="0" applyFont="true" applyBorder="false" applyAlignment="true" applyProtection="false">
      <alignment horizontal="center" vertical="bottom" textRotation="0" wrapText="false" indent="0" shrinkToFit="false"/>
    </xf>
    <xf numFmtId="165" fontId="0" fillId="0" borderId="0" applyFont="true" applyBorder="false" applyAlignment="true" applyProtection="false">
      <alignment horizontal="center" vertical="bottom" textRotation="0" wrapText="false" indent="0" shrinkToFit="false"/>
    </xf>
    <xf numFmtId="165" fontId="0" fillId="0" borderId="0" applyFont="true" applyBorder="false" applyAlignment="true" applyProtection="false">
      <alignment horizontal="center" vertical="bottom" textRotation="0" wrapText="false" indent="0" shrinkToFit="false"/>
    </xf>
    <xf numFmtId="165" fontId="0" fillId="0" borderId="0" applyFont="true" applyBorder="false" applyAlignment="true" applyProtection="false">
      <alignment horizontal="center" vertical="bottom" textRotation="0" wrapText="false" indent="0" shrinkToFit="false"/>
    </xf>
    <xf numFmtId="165" fontId="0" fillId="0" borderId="0" applyFont="true" applyBorder="false" applyAlignment="true" applyProtection="false">
      <alignment horizontal="center" vertical="bottom" textRotation="0" wrapText="false" indent="0" shrinkToFit="false"/>
    </xf>
    <xf numFmtId="165" fontId="0" fillId="0" borderId="0" applyFont="true" applyBorder="false" applyAlignment="true" applyProtection="false">
      <alignment horizontal="center" vertical="bottom" textRotation="0" wrapText="false" indent="0" shrinkToFit="false"/>
    </xf>
    <xf numFmtId="165" fontId="0" fillId="0" borderId="0" applyFont="true" applyBorder="false" applyAlignment="true" applyProtection="false">
      <alignment horizontal="center" vertical="bottom" textRotation="0" wrapText="false" indent="0" shrinkToFit="false"/>
    </xf>
    <xf numFmtId="165" fontId="0" fillId="0" borderId="0" applyFont="true" applyBorder="false" applyAlignment="true" applyProtection="false">
      <alignment horizontal="center" vertical="bottom" textRotation="0" wrapText="false" indent="0" shrinkToFit="false"/>
    </xf>
    <xf numFmtId="165" fontId="0" fillId="0" borderId="0" applyFont="true" applyBorder="false" applyAlignment="true" applyProtection="false">
      <alignment horizontal="center" vertical="bottom" textRotation="0" wrapText="false" indent="0" shrinkToFit="false"/>
    </xf>
    <xf numFmtId="165" fontId="0" fillId="0" borderId="0" applyFont="true" applyBorder="false" applyAlignment="true" applyProtection="false">
      <alignment horizontal="center" vertical="bottom" textRotation="0" wrapText="false" indent="0" shrinkToFit="false"/>
    </xf>
    <xf numFmtId="165" fontId="0" fillId="0" borderId="0" applyFont="true" applyBorder="false" applyAlignment="true" applyProtection="false">
      <alignment horizontal="center" vertical="bottom" textRotation="0" wrapText="false" indent="0" shrinkToFit="false"/>
    </xf>
    <xf numFmtId="165" fontId="0" fillId="0" borderId="0" applyFont="true" applyBorder="false" applyAlignment="true" applyProtection="false">
      <alignment horizontal="center" vertical="bottom" textRotation="0" wrapText="false" indent="0" shrinkToFit="false"/>
    </xf>
    <xf numFmtId="165" fontId="0" fillId="0" borderId="0" applyFont="true" applyBorder="false" applyAlignment="true" applyProtection="false">
      <alignment horizontal="center" vertical="bottom" textRotation="0" wrapText="false" indent="0" shrinkToFit="false"/>
    </xf>
    <xf numFmtId="166" fontId="0" fillId="0" borderId="0" applyFont="true" applyBorder="false" applyAlignment="true" applyProtection="false">
      <alignment horizontal="center" vertical="bottom" textRotation="0" wrapText="false" indent="0" shrinkToFit="false"/>
    </xf>
    <xf numFmtId="167" fontId="0" fillId="2" borderId="0" applyFont="true" applyBorder="false" applyAlignment="true" applyProtection="false">
      <alignment horizontal="center" vertical="bottom" textRotation="0" wrapText="false" indent="0" shrinkToFit="false"/>
    </xf>
    <xf numFmtId="166" fontId="0" fillId="0" borderId="0" applyFont="true" applyBorder="false" applyAlignment="true" applyProtection="false">
      <alignment horizontal="center" vertical="bottom" textRotation="0" wrapText="false" indent="0" shrinkToFit="false"/>
    </xf>
    <xf numFmtId="166" fontId="0" fillId="0" borderId="0" applyFont="true" applyBorder="false" applyAlignment="true" applyProtection="false">
      <alignment horizontal="center" vertical="bottom" textRotation="0" wrapText="false" indent="0" shrinkToFit="false"/>
    </xf>
    <xf numFmtId="166" fontId="0" fillId="0" borderId="0" applyFont="true" applyBorder="false" applyAlignment="true" applyProtection="false">
      <alignment horizontal="center" vertical="bottom" textRotation="0" wrapText="false" indent="0" shrinkToFit="false"/>
    </xf>
    <xf numFmtId="166" fontId="0" fillId="0" borderId="0" applyFont="true" applyBorder="false" applyAlignment="true" applyProtection="false">
      <alignment horizontal="center" vertical="bottom" textRotation="0" wrapText="false" indent="0" shrinkToFit="false"/>
    </xf>
    <xf numFmtId="167" fontId="0" fillId="2" borderId="0" applyFont="true" applyBorder="false" applyAlignment="true" applyProtection="false">
      <alignment horizontal="center" vertical="bottom" textRotation="0" wrapText="false" indent="0" shrinkToFit="false"/>
    </xf>
    <xf numFmtId="166" fontId="0" fillId="0" borderId="0" applyFont="true" applyBorder="false" applyAlignment="true" applyProtection="false">
      <alignment horizontal="center" vertical="bottom" textRotation="0" wrapText="false" indent="0" shrinkToFit="false"/>
    </xf>
    <xf numFmtId="166" fontId="0" fillId="0" borderId="0" applyFont="true" applyBorder="false" applyAlignment="true" applyProtection="false">
      <alignment horizontal="center" vertical="bottom" textRotation="0" wrapText="false" indent="0" shrinkToFit="false"/>
    </xf>
    <xf numFmtId="166" fontId="0" fillId="0" borderId="0" applyFont="true" applyBorder="false" applyAlignment="true" applyProtection="false">
      <alignment horizontal="center" vertical="bottom" textRotation="0" wrapText="false" indent="0" shrinkToFit="false"/>
    </xf>
    <xf numFmtId="166" fontId="0" fillId="0" borderId="0" applyFont="true" applyBorder="false" applyAlignment="true" applyProtection="false">
      <alignment horizontal="center" vertical="bottom" textRotation="0" wrapText="false" indent="0" shrinkToFit="false"/>
    </xf>
    <xf numFmtId="166" fontId="0" fillId="0" borderId="0" applyFont="true" applyBorder="false" applyAlignment="true" applyProtection="false">
      <alignment horizontal="center" vertical="bottom" textRotation="0" wrapText="false" indent="0" shrinkToFit="false"/>
    </xf>
    <xf numFmtId="166" fontId="0" fillId="0" borderId="0" applyFont="true" applyBorder="false" applyAlignment="true" applyProtection="false">
      <alignment horizontal="center" vertical="bottom" textRotation="0" wrapText="false" indent="0" shrinkToFit="false"/>
    </xf>
    <xf numFmtId="166" fontId="0" fillId="0" borderId="0" applyFont="true" applyBorder="false" applyAlignment="true" applyProtection="false">
      <alignment horizontal="center" vertical="bottom" textRotation="0" wrapText="false" indent="0" shrinkToFit="false"/>
    </xf>
    <xf numFmtId="166" fontId="0" fillId="0" borderId="0" applyFont="true" applyBorder="false" applyAlignment="true" applyProtection="false">
      <alignment horizontal="center" vertical="bottom" textRotation="0" wrapText="false" indent="0" shrinkToFit="false"/>
    </xf>
    <xf numFmtId="166" fontId="0" fillId="0" borderId="0" applyFont="true" applyBorder="false" applyAlignment="true" applyProtection="false">
      <alignment horizontal="center" vertical="bottom" textRotation="0" wrapText="false" indent="0" shrinkToFit="false"/>
    </xf>
    <xf numFmtId="166" fontId="0" fillId="0" borderId="0" applyFont="true" applyBorder="false" applyAlignment="true" applyProtection="false">
      <alignment horizontal="center" vertical="bottom" textRotation="0" wrapText="false" indent="0" shrinkToFit="false"/>
    </xf>
    <xf numFmtId="166" fontId="0" fillId="0" borderId="0" applyFont="true" applyBorder="false" applyAlignment="true" applyProtection="false">
      <alignment horizontal="center" vertical="bottom" textRotation="0" wrapText="false" indent="0" shrinkToFit="false"/>
    </xf>
    <xf numFmtId="166" fontId="0" fillId="0" borderId="0" applyFont="true" applyBorder="false" applyAlignment="true" applyProtection="false">
      <alignment horizontal="center" vertical="bottom" textRotation="0" wrapText="false" indent="0" shrinkToFit="false"/>
    </xf>
    <xf numFmtId="166" fontId="0" fillId="0" borderId="0" applyFont="true" applyBorder="false" applyAlignment="true" applyProtection="false">
      <alignment horizontal="center" vertical="bottom" textRotation="0" wrapText="false" indent="0" shrinkToFit="false"/>
    </xf>
    <xf numFmtId="166" fontId="0" fillId="0" borderId="0" applyFont="true" applyBorder="false" applyAlignment="true" applyProtection="false">
      <alignment horizontal="center" vertical="bottom" textRotation="0" wrapText="false" indent="0" shrinkToFit="false"/>
    </xf>
    <xf numFmtId="168" fontId="0" fillId="0" borderId="0" applyFont="true" applyBorder="false" applyAlignment="true" applyProtection="false">
      <alignment horizontal="center" vertical="bottom" textRotation="0" wrapText="false" indent="0" shrinkToFit="false"/>
    </xf>
    <xf numFmtId="168" fontId="0" fillId="0" borderId="0" applyFont="true" applyBorder="false" applyAlignment="true" applyProtection="false">
      <alignment horizontal="center" vertical="bottom" textRotation="0" wrapText="false" indent="0" shrinkToFit="false"/>
    </xf>
    <xf numFmtId="168" fontId="0" fillId="0" borderId="0" applyFont="true" applyBorder="false" applyAlignment="true" applyProtection="false">
      <alignment horizontal="center" vertical="bottom" textRotation="0" wrapText="false" indent="0" shrinkToFit="false"/>
    </xf>
    <xf numFmtId="168" fontId="0" fillId="0" borderId="0" applyFont="true" applyBorder="false" applyAlignment="true" applyProtection="false">
      <alignment horizontal="center" vertical="bottom" textRotation="0" wrapText="false" indent="0" shrinkToFit="false"/>
    </xf>
    <xf numFmtId="168" fontId="0" fillId="0" borderId="0" applyFont="true" applyBorder="false" applyAlignment="true" applyProtection="false">
      <alignment horizontal="center" vertical="bottom" textRotation="0" wrapText="false" indent="0" shrinkToFit="false"/>
    </xf>
    <xf numFmtId="168" fontId="0" fillId="0" borderId="0" applyFont="true" applyBorder="false" applyAlignment="true" applyProtection="false">
      <alignment horizontal="center" vertical="bottom" textRotation="0" wrapText="false" indent="0" shrinkToFit="false"/>
    </xf>
    <xf numFmtId="168" fontId="0" fillId="0" borderId="0" applyFont="true" applyBorder="false" applyAlignment="true" applyProtection="false">
      <alignment horizontal="center" vertical="bottom" textRotation="0" wrapText="false" indent="0" shrinkToFit="false"/>
    </xf>
    <xf numFmtId="168" fontId="0" fillId="0" borderId="0" applyFont="true" applyBorder="false" applyAlignment="true" applyProtection="false">
      <alignment horizontal="center" vertical="bottom" textRotation="0" wrapText="false" indent="0" shrinkToFit="false"/>
    </xf>
    <xf numFmtId="168" fontId="0" fillId="0" borderId="0" applyFont="true" applyBorder="false" applyAlignment="true" applyProtection="false">
      <alignment horizontal="center" vertical="bottom" textRotation="0" wrapText="false" indent="0" shrinkToFit="false"/>
    </xf>
    <xf numFmtId="168" fontId="0" fillId="0" borderId="0" applyFont="true" applyBorder="false" applyAlignment="true" applyProtection="false">
      <alignment horizontal="center" vertical="bottom" textRotation="0" wrapText="false" indent="0" shrinkToFit="false"/>
    </xf>
    <xf numFmtId="168" fontId="0" fillId="0" borderId="0" applyFont="true" applyBorder="false" applyAlignment="true" applyProtection="false">
      <alignment horizontal="center" vertical="bottom" textRotation="0" wrapText="false" indent="0" shrinkToFit="false"/>
    </xf>
    <xf numFmtId="168" fontId="0" fillId="0" borderId="0" applyFont="true" applyBorder="false" applyAlignment="true" applyProtection="false">
      <alignment horizontal="center" vertical="bottom" textRotation="0" wrapText="false" indent="0" shrinkToFit="false"/>
    </xf>
    <xf numFmtId="168" fontId="0" fillId="0" borderId="0" applyFont="true" applyBorder="false" applyAlignment="true" applyProtection="false">
      <alignment horizontal="center" vertical="bottom" textRotation="0" wrapText="false" indent="0" shrinkToFit="false"/>
    </xf>
    <xf numFmtId="168" fontId="0" fillId="0" borderId="0" applyFont="true" applyBorder="false" applyAlignment="true" applyProtection="false">
      <alignment horizontal="center" vertical="bottom" textRotation="0" wrapText="false" indent="0" shrinkToFit="false"/>
    </xf>
    <xf numFmtId="168" fontId="0" fillId="0" borderId="0" applyFont="true" applyBorder="false" applyAlignment="true" applyProtection="false">
      <alignment horizontal="center" vertical="bottom" textRotation="0" wrapText="false" indent="0" shrinkToFit="false"/>
    </xf>
    <xf numFmtId="168" fontId="0" fillId="0" borderId="0" applyFont="true" applyBorder="false" applyAlignment="true" applyProtection="false">
      <alignment horizontal="center" vertical="bottom" textRotation="0" wrapText="false" indent="0" shrinkToFit="false"/>
    </xf>
    <xf numFmtId="168" fontId="0" fillId="0" borderId="0" applyFont="true" applyBorder="false" applyAlignment="true" applyProtection="false">
      <alignment horizontal="center" vertical="bottom" textRotation="0" wrapText="false" indent="0" shrinkToFit="false"/>
    </xf>
    <xf numFmtId="168" fontId="0" fillId="0" borderId="0" applyFont="true" applyBorder="false" applyAlignment="true" applyProtection="false">
      <alignment horizontal="center" vertical="bottom" textRotation="0" wrapText="false" indent="0" shrinkToFit="false"/>
    </xf>
    <xf numFmtId="168" fontId="0" fillId="0" borderId="0" applyFont="true" applyBorder="false" applyAlignment="true" applyProtection="false">
      <alignment horizontal="center" vertical="bottom" textRotation="0" wrapText="false" indent="0" shrinkToFit="false"/>
    </xf>
    <xf numFmtId="169" fontId="0" fillId="0" borderId="0" applyFont="true" applyBorder="false" applyAlignment="true" applyProtection="false">
      <alignment horizontal="center" vertical="bottom" textRotation="0" wrapText="false" indent="0" shrinkToFit="false"/>
    </xf>
    <xf numFmtId="169" fontId="0" fillId="0" borderId="0" applyFont="true" applyBorder="false" applyAlignment="true" applyProtection="false">
      <alignment horizontal="center" vertical="bottom" textRotation="0" wrapText="false" indent="0" shrinkToFit="false"/>
    </xf>
    <xf numFmtId="169" fontId="0" fillId="0" borderId="0" applyFont="true" applyBorder="false" applyAlignment="true" applyProtection="false">
      <alignment horizontal="center" vertical="bottom" textRotation="0" wrapText="false" indent="0" shrinkToFit="false"/>
    </xf>
    <xf numFmtId="169" fontId="0" fillId="0" borderId="0" applyFont="true" applyBorder="false" applyAlignment="true" applyProtection="false">
      <alignment horizontal="center" vertical="bottom" textRotation="0" wrapText="false" indent="0" shrinkToFit="false"/>
    </xf>
    <xf numFmtId="169" fontId="0" fillId="0" borderId="0" applyFont="true" applyBorder="false" applyAlignment="true" applyProtection="false">
      <alignment horizontal="center" vertical="bottom" textRotation="0" wrapText="false" indent="0" shrinkToFit="false"/>
    </xf>
    <xf numFmtId="169" fontId="0" fillId="0" borderId="0" applyFont="true" applyBorder="false" applyAlignment="true" applyProtection="false">
      <alignment horizontal="center" vertical="bottom" textRotation="0" wrapText="false" indent="0" shrinkToFit="false"/>
    </xf>
    <xf numFmtId="169" fontId="0" fillId="0" borderId="0" applyFont="true" applyBorder="false" applyAlignment="true" applyProtection="false">
      <alignment horizontal="center" vertical="bottom" textRotation="0" wrapText="false" indent="0" shrinkToFit="false"/>
    </xf>
    <xf numFmtId="169" fontId="0" fillId="0" borderId="0" applyFont="true" applyBorder="false" applyAlignment="true" applyProtection="false">
      <alignment horizontal="center" vertical="bottom" textRotation="0" wrapText="false" indent="0" shrinkToFit="false"/>
    </xf>
    <xf numFmtId="169" fontId="0" fillId="0" borderId="0" applyFont="true" applyBorder="false" applyAlignment="true" applyProtection="false">
      <alignment horizontal="center" vertical="bottom" textRotation="0" wrapText="false" indent="0" shrinkToFit="false"/>
    </xf>
    <xf numFmtId="169" fontId="0" fillId="0" borderId="0" applyFont="true" applyBorder="false" applyAlignment="true" applyProtection="false">
      <alignment horizontal="center" vertical="bottom" textRotation="0" wrapText="false" indent="0" shrinkToFit="false"/>
    </xf>
    <xf numFmtId="169" fontId="0" fillId="0" borderId="0" applyFont="true" applyBorder="false" applyAlignment="true" applyProtection="false">
      <alignment horizontal="center" vertical="bottom" textRotation="0" wrapText="false" indent="0" shrinkToFit="false"/>
    </xf>
    <xf numFmtId="169" fontId="0" fillId="0" borderId="0" applyFont="true" applyBorder="false" applyAlignment="true" applyProtection="false">
      <alignment horizontal="center" vertical="bottom" textRotation="0" wrapText="false" indent="0" shrinkToFit="false"/>
    </xf>
    <xf numFmtId="169" fontId="0" fillId="0" borderId="0" applyFont="true" applyBorder="false" applyAlignment="true" applyProtection="false">
      <alignment horizontal="center" vertical="bottom" textRotation="0" wrapText="false" indent="0" shrinkToFit="false"/>
    </xf>
    <xf numFmtId="169" fontId="0" fillId="0" borderId="0" applyFont="true" applyBorder="false" applyAlignment="true" applyProtection="false">
      <alignment horizontal="center" vertical="bottom" textRotation="0" wrapText="false" indent="0" shrinkToFit="false"/>
    </xf>
    <xf numFmtId="169" fontId="0" fillId="0" borderId="0" applyFont="true" applyBorder="false" applyAlignment="true" applyProtection="false">
      <alignment horizontal="center" vertical="bottom" textRotation="0" wrapText="false" indent="0" shrinkToFit="false"/>
    </xf>
    <xf numFmtId="169" fontId="0" fillId="0" borderId="0" applyFont="true" applyBorder="false" applyAlignment="true" applyProtection="false">
      <alignment horizontal="center" vertical="bottom" textRotation="0" wrapText="false" indent="0" shrinkToFit="false"/>
    </xf>
    <xf numFmtId="169" fontId="0" fillId="0" borderId="0" applyFont="true" applyBorder="false" applyAlignment="true" applyProtection="false">
      <alignment horizontal="center" vertical="bottom" textRotation="0" wrapText="false" indent="0" shrinkToFit="false"/>
    </xf>
    <xf numFmtId="169" fontId="0" fillId="0" borderId="0" applyFont="true" applyBorder="false" applyAlignment="true" applyProtection="false">
      <alignment horizontal="center" vertical="bottom" textRotation="0" wrapText="false" indent="0" shrinkToFit="false"/>
    </xf>
    <xf numFmtId="169" fontId="0" fillId="0" borderId="0" applyFont="true" applyBorder="false" applyAlignment="true" applyProtection="false">
      <alignment horizontal="center" vertical="bottom" textRotation="0" wrapText="false" indent="0" shrinkToFit="false"/>
    </xf>
    <xf numFmtId="170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true" applyProtection="false">
      <alignment horizontal="center" vertical="bottom" textRotation="0" wrapText="false" indent="0" shrinkToFit="false"/>
    </xf>
    <xf numFmtId="170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3" borderId="0" applyFont="true" applyBorder="false" applyAlignment="true" applyProtection="false">
      <alignment horizontal="center" vertical="bottom" textRotation="0" wrapText="false" indent="0" shrinkToFit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3" borderId="0" applyFont="true" applyBorder="false" applyAlignment="true" applyProtection="false">
      <alignment horizontal="center" vertical="bottom" textRotation="0" wrapText="false" indent="0" shrinkToFit="false"/>
    </xf>
    <xf numFmtId="172" fontId="6" fillId="0" borderId="1" applyFont="true" applyBorder="true" applyAlignment="true" applyProtection="false">
      <alignment horizontal="general" vertical="bottom" textRotation="0" wrapText="false" indent="0" shrinkToFit="false"/>
    </xf>
  </cellStyleXfs>
  <cellXfs count="634">
    <xf numFmtId="164" fontId="0" fillId="0" borderId="0" xfId="0" applyFont="false" applyBorder="false" applyAlignment="false" applyProtection="false">
      <alignment horizontal="center" vertical="bottom" textRotation="0" wrapText="false" indent="0" shrinkToFit="false"/>
      <protection locked="true" hidden="false"/>
    </xf>
    <xf numFmtId="164" fontId="7" fillId="4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3" fontId="5" fillId="3" borderId="0" xfId="122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4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0" fillId="4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4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4" fontId="10" fillId="4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4" fontId="5" fillId="4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4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3" fontId="5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4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3" fontId="10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4" fontId="5" fillId="3" borderId="0" xfId="122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5" fillId="3" borderId="0" xfId="122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5" fontId="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4" fontId="5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74" fontId="5" fillId="4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6" fontId="5" fillId="3" borderId="0" xfId="122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4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7" fontId="10" fillId="4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8" fontId="5" fillId="4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4" fontId="5" fillId="4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8" fontId="10" fillId="4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5" fontId="5" fillId="4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9" fontId="11" fillId="5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2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5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3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9" fontId="0" fillId="5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9" fontId="11" fillId="5" borderId="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9" fontId="0" fillId="5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9" fontId="0" fillId="5" borderId="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1" fontId="5" fillId="0" borderId="0" xfId="122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5" fillId="3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81" fontId="0" fillId="3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80" fontId="5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3" borderId="0" xfId="122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5" fillId="3" borderId="0" xfId="122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1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3" fontId="13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84" fontId="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85" fontId="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7" fontId="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85" fontId="14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7" fontId="0" fillId="0" borderId="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82" fontId="0" fillId="0" borderId="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84" fontId="5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86" fontId="5" fillId="3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3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7" fontId="0" fillId="0" borderId="5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77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72" fontId="5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2" fontId="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9" fontId="11" fillId="6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9" fontId="0" fillId="6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9" fontId="11" fillId="6" borderId="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7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79" fontId="0" fillId="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9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80" fontId="0" fillId="0" borderId="0" xfId="19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80" fontId="5" fillId="3" borderId="0" xfId="122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81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76" fontId="5" fillId="3" borderId="8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7" fontId="6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7" fontId="5" fillId="3" borderId="8" xfId="122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7" fontId="0" fillId="0" borderId="6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8" fontId="5" fillId="3" borderId="8" xfId="122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7" fontId="5" fillId="3" borderId="0" xfId="122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3" borderId="8" xfId="122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8" fontId="0" fillId="0" borderId="6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3" borderId="8" xfId="122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9" fillId="0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9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72" fontId="0" fillId="0" borderId="9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1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9" fontId="0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9" fontId="0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right" vertical="bottom" textRotation="0" wrapText="false" indent="0" shrinkToFit="false"/>
      <protection locked="true" hidden="false"/>
    </xf>
    <xf numFmtId="178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5" fillId="3" borderId="0" xfId="122" applyFont="false" applyBorder="true" applyAlignment="true" applyProtection="true">
      <alignment horizontal="right" vertical="bottom" textRotation="0" wrapText="false" indent="0" shrinkToFit="false"/>
      <protection locked="true" hidden="false"/>
    </xf>
    <xf numFmtId="178" fontId="5" fillId="0" borderId="0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1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true">
      <alignment horizontal="right" vertical="bottom" textRotation="0" wrapText="false" indent="0" shrinkToFit="false"/>
      <protection locked="true" hidden="false"/>
    </xf>
    <xf numFmtId="164" fontId="22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9" fontId="22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6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5" fillId="3" borderId="8" xfId="122" applyFont="false" applyBorder="true" applyAlignment="true" applyProtection="true">
      <alignment horizontal="center" vertical="bottom" textRotation="0" wrapText="false" indent="0" shrinkToFit="false"/>
      <protection locked="true" hidden="false"/>
    </xf>
    <xf numFmtId="188" fontId="5" fillId="3" borderId="0" xfId="122" applyFont="false" applyBorder="true" applyAlignment="true" applyProtection="true">
      <alignment horizontal="right" vertical="bottom" textRotation="0" wrapText="false" indent="0" shrinkToFit="false"/>
      <protection locked="true" hidden="false"/>
    </xf>
    <xf numFmtId="175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23" fillId="0" borderId="0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5" fontId="6" fillId="0" borderId="0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5" fontId="5" fillId="0" borderId="0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0" fillId="0" borderId="6" xfId="0" applyFont="false" applyBorder="true" applyAlignment="true" applyProtection="true">
      <alignment horizontal="right" vertical="bottom" textRotation="0" wrapText="false" indent="0" shrinkToFit="false"/>
      <protection locked="true" hidden="false"/>
    </xf>
    <xf numFmtId="179" fontId="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1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2" fontId="5" fillId="3" borderId="8" xfId="122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6" fontId="5" fillId="3" borderId="8" xfId="122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81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71" fontId="5" fillId="3" borderId="8" xfId="122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2" fontId="0" fillId="0" borderId="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5" fillId="3" borderId="0" xfId="122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6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9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2" fontId="0" fillId="0" borderId="7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73" fontId="0" fillId="0" borderId="1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81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78" fontId="17" fillId="0" borderId="0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9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2" fontId="5" fillId="3" borderId="8" xfId="122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1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11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83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7" xfId="0" applyFont="fals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8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89" fontId="0" fillId="0" borderId="0" xfId="0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4" fontId="26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23" fillId="0" borderId="0" xfId="0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4" fontId="23" fillId="0" borderId="0" xfId="0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83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80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3" borderId="0" xfId="122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5" fillId="3" borderId="0" xfId="122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5" fillId="0" borderId="0" xfId="122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5" fillId="3" borderId="0" xfId="122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3" borderId="0" xfId="122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2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6" fontId="5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0" fillId="7" borderId="8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0" fillId="5" borderId="8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2" fontId="0" fillId="0" borderId="6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72" fontId="5" fillId="3" borderId="6" xfId="122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5" fillId="3" borderId="8" xfId="122" applyFont="false" applyBorder="true" applyAlignment="true" applyProtection="true">
      <alignment horizontal="right" vertical="bottom" textRotation="0" wrapText="false" indent="0" shrinkToFit="false"/>
      <protection locked="true" hidden="false"/>
    </xf>
    <xf numFmtId="172" fontId="6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0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0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9" xfId="0" applyFont="false" applyBorder="true" applyAlignment="true" applyProtection="false">
      <alignment horizontal="right" vertical="bottom" textRotation="0" wrapText="false" indent="0" shrinkToFit="false"/>
      <protection locked="true" hidden="false"/>
    </xf>
    <xf numFmtId="172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5" fillId="3" borderId="8" xfId="122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6" fontId="5" fillId="5" borderId="8" xfId="122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5" fillId="3" borderId="8" xfId="122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9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3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14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4" fillId="0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" fillId="3" borderId="0" xfId="122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6" fontId="5" fillId="3" borderId="14" xfId="122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3" borderId="13" xfId="122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0" fillId="0" borderId="1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2" fontId="0" fillId="0" borderId="14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6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6" fontId="6" fillId="0" borderId="1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15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16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1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2" fontId="0" fillId="0" borderId="5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78" fontId="0" fillId="0" borderId="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72" fontId="17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2" fontId="17" fillId="0" borderId="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7" fontId="5" fillId="3" borderId="8" xfId="122" applyFont="fals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1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3" borderId="6" xfId="122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9" xfId="0" applyFont="fals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83" fontId="5" fillId="3" borderId="0" xfId="122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85" fontId="5" fillId="3" borderId="0" xfId="122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90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2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90" fontId="5" fillId="3" borderId="0" xfId="122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90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90" fontId="0" fillId="4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90" fontId="5" fillId="4" borderId="0" xfId="122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5" fillId="3" borderId="0" xfId="122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5" fillId="4" borderId="0" xfId="122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0" fillId="0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91" fontId="0" fillId="3" borderId="8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1" fontId="0" fillId="5" borderId="8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0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3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5" borderId="8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5" fillId="3" borderId="6" xfId="122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23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6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5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91" fontId="0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0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22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9" fontId="22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79" fontId="5" fillId="3" borderId="8" xfId="122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88" fontId="5" fillId="3" borderId="0" xfId="122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23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6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5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81" fontId="0" fillId="5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79" fontId="0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0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91" fontId="0" fillId="5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1" fontId="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1" fontId="0" fillId="5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72" fontId="0" fillId="3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71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0" fillId="0" borderId="6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1" fontId="5" fillId="3" borderId="0" xfId="122" applyFont="false" applyBorder="true" applyAlignment="true" applyProtection="true">
      <alignment horizontal="right" vertical="bottom" textRotation="0" wrapText="false" indent="0" shrinkToFit="false"/>
      <protection locked="true" hidden="false"/>
    </xf>
    <xf numFmtId="181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79" fontId="13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5" fillId="4" borderId="0" xfId="122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92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76" fontId="5" fillId="3" borderId="0" xfId="122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81" fontId="0" fillId="0" borderId="0" xfId="0" applyFont="false" applyBorder="false" applyAlignment="true" applyProtection="false">
      <alignment horizontal="left" vertical="bottom" textRotation="0" wrapText="false" indent="0" shrinkToFit="false"/>
      <protection locked="true" hidden="false"/>
    </xf>
    <xf numFmtId="172" fontId="13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87" fontId="5" fillId="3" borderId="0" xfId="122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9" fontId="0" fillId="0" borderId="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9" fontId="0" fillId="0" borderId="7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9" fontId="0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29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3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8" fontId="29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9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31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7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93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93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14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8" fontId="0" fillId="0" borderId="1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83" fontId="5" fillId="3" borderId="8" xfId="122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82" fontId="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17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8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8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8" borderId="0" xfId="0" applyFont="fals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5" fillId="8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0" fillId="8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8" borderId="6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8" borderId="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8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9" fillId="8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0" fillId="8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8" fillId="8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8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89" fontId="0" fillId="8" borderId="0" xfId="0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4" fontId="26" fillId="8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8" borderId="0" xfId="0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4" fontId="0" fillId="8" borderId="9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83" fontId="0" fillId="8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8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0" fontId="0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92" fontId="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9" fontId="0" fillId="6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92" fontId="0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9" fontId="0" fillId="6" borderId="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94" fontId="0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95" fontId="0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3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96" fontId="0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33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3" fontId="0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4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4" fillId="0" borderId="1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2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9" fillId="0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2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9" fillId="0" borderId="2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95" fontId="9" fillId="0" borderId="2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9" fillId="0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5" fontId="9" fillId="0" borderId="2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95" fontId="9" fillId="0" borderId="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2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80" fontId="0" fillId="0" borderId="18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2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2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83" fontId="0" fillId="0" borderId="26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2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80" fontId="0" fillId="0" borderId="18" xfId="19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80" fontId="0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83" fontId="0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25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0" fillId="0" borderId="2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2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83" fontId="0" fillId="0" borderId="29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6" fontId="0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18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3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31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32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83" fontId="0" fillId="0" borderId="33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0" fillId="0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2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2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2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1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3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83" fontId="0" fillId="0" borderId="36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6" fontId="0" fillId="0" borderId="0" xfId="19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2" fillId="0" borderId="0" xfId="0" applyFont="true" applyBorder="false" applyAlignment="true" applyProtection="false">
      <alignment horizontal="general" vertical="top" textRotation="0" wrapText="false" indent="0" shrinkToFit="false"/>
      <protection locked="true" hidden="false"/>
    </xf>
    <xf numFmtId="197" fontId="0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79" fontId="0" fillId="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83" fontId="0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83" fontId="0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83" fontId="0" fillId="0" borderId="13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0" fillId="0" borderId="13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98" fontId="0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98" fontId="0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98" fontId="0" fillId="0" borderId="13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91" fontId="0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91" fontId="0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91" fontId="0" fillId="0" borderId="13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80" fontId="0" fillId="0" borderId="13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80" fontId="0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83" fontId="2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83" fontId="29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80" fontId="29" fillId="0" borderId="13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80" fontId="2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0" fillId="0" borderId="13" xfId="0" applyFont="false" applyBorder="true" applyAlignment="true" applyProtection="true">
      <alignment horizontal="right" vertical="bottom" textRotation="0" wrapText="false" indent="0" shrinkToFit="false"/>
      <protection locked="true" hidden="false"/>
    </xf>
    <xf numFmtId="179" fontId="0" fillId="0" borderId="3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9" fontId="0" fillId="0" borderId="38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14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6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39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1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3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81" fontId="0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23" fillId="0" borderId="1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0" borderId="17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4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4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80" fontId="0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73" fontId="0" fillId="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99" fontId="0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0" fontId="0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79" fontId="0" fillId="0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9" borderId="6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9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3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14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3" fontId="0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83" fontId="0" fillId="0" borderId="1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9" fontId="0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0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7" fontId="5" fillId="3" borderId="0" xfId="122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0" borderId="4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3" borderId="0" xfId="122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37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83" fontId="0" fillId="0" borderId="6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1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5" fillId="3" borderId="12" xfId="122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5" fillId="3" borderId="42" xfId="122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5" fillId="3" borderId="39" xfId="122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1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5" fillId="3" borderId="41" xfId="122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5" fillId="3" borderId="13" xfId="122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3" borderId="41" xfId="122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3" borderId="43" xfId="122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5" fillId="3" borderId="15" xfId="122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1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4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8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0" fillId="8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01" fontId="5" fillId="3" borderId="0" xfId="122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79" fontId="5" fillId="3" borderId="0" xfId="122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95" fontId="0" fillId="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3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3" borderId="0" xfId="122" applyFont="fals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9" fillId="0" borderId="0" xfId="0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4" fontId="5" fillId="0" borderId="0" xfId="0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4" fontId="29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3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4" fontId="17" fillId="0" borderId="0" xfId="0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83" fontId="0" fillId="0" borderId="17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0" fillId="0" borderId="7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99" fontId="0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99" fontId="5" fillId="3" borderId="0" xfId="122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87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13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2" fontId="0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44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3" borderId="13" xfId="122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0" borderId="4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3" borderId="0" xfId="122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83" fontId="5" fillId="3" borderId="0" xfId="122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83" fontId="5" fillId="3" borderId="0" xfId="122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79" fontId="0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83" fontId="38" fillId="0" borderId="0" xfId="0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83" fontId="23" fillId="0" borderId="0" xfId="0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4" fontId="0" fillId="0" borderId="0" xfId="0" applyFont="true" applyBorder="false" applyAlignment="true" applyProtection="true">
      <alignment horizontal="right" vertical="bottom" textRotation="0" wrapText="false" indent="0" shrinkToFit="false"/>
      <protection locked="false" hidden="false"/>
    </xf>
    <xf numFmtId="164" fontId="3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99" fontId="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89" fontId="5" fillId="3" borderId="43" xfId="122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4" fontId="0" fillId="0" borderId="0" xfId="0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79" fontId="23" fillId="0" borderId="0" xfId="0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79" fontId="5" fillId="3" borderId="0" xfId="122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202" fontId="23" fillId="0" borderId="0" xfId="0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4" fontId="0" fillId="0" borderId="7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0" fillId="0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9" fontId="0" fillId="0" borderId="4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9" fontId="0" fillId="0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9" fontId="0" fillId="8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9" fontId="0" fillId="8" borderId="2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8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8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8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03" fontId="0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77" fontId="0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7" fontId="0" fillId="8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7" fontId="0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29" fillId="0" borderId="6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4" fontId="5" fillId="3" borderId="6" xfId="122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80" fontId="5" fillId="3" borderId="0" xfId="122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0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9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3" fillId="0" borderId="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23" fillId="0" borderId="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79" fontId="0" fillId="4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1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10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81" fontId="0" fillId="0" borderId="1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2" fontId="0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76" fontId="0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76" fontId="0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76" fontId="0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5" fillId="0" borderId="0" xfId="17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0" borderId="0" xfId="0" applyFont="fals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24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9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13" fillId="0" borderId="8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3" fontId="18" fillId="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9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83" fontId="5" fillId="3" borderId="41" xfId="122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80" fontId="0" fillId="0" borderId="12" xfId="19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98" fontId="5" fillId="0" borderId="0" xfId="122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91" fontId="5" fillId="3" borderId="0" xfId="122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80" fontId="0" fillId="0" borderId="41" xfId="19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83" fontId="5" fillId="0" borderId="4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80" fontId="0" fillId="0" borderId="43" xfId="19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80" fontId="0" fillId="0" borderId="5" xfId="19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83" fontId="0" fillId="0" borderId="8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0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17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0" fillId="1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0" fillId="1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83" fontId="0" fillId="1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1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6" fontId="5" fillId="3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0" fillId="3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3" borderId="0" xfId="122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01" fontId="0" fillId="3" borderId="47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0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32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0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32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37" fillId="0" borderId="1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2" borderId="14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43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98" fontId="5" fillId="0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202" fontId="43" fillId="0" borderId="0" xfId="0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98" fontId="17" fillId="0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83" fontId="5" fillId="0" borderId="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80" fontId="0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83" fontId="17" fillId="0" borderId="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73" fontId="0" fillId="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92" fontId="5" fillId="3" borderId="0" xfId="122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8" fontId="5" fillId="3" borderId="0" xfId="122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98" fontId="0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89" fontId="0" fillId="0" borderId="23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8" borderId="7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8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8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1" fontId="0" fillId="8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0" fillId="8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9" fillId="8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8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8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99" fontId="0" fillId="8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80" fontId="0" fillId="8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80" fontId="0" fillId="0" borderId="14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80" fontId="0" fillId="0" borderId="6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80" fontId="0" fillId="0" borderId="39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80" fontId="0" fillId="0" borderId="17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80" fontId="0" fillId="0" borderId="4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0" fillId="0" borderId="4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3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4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5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42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39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" fillId="0" borderId="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7" fontId="0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6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</cellXfs>
  <cellStyles count="112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Comma [0]_CODIAK2" xfId="20"/>
    <cellStyle name="Comma [0]_Dev. Prog." xfId="21"/>
    <cellStyle name="Comma [0]_DUMMY1" xfId="22"/>
    <cellStyle name="Comma [0]_Increase in G&amp;A" xfId="23"/>
    <cellStyle name="Comma [0]_Int_Prod (2)" xfId="24"/>
    <cellStyle name="Comma [0]_Ownshp anal" xfId="25"/>
    <cellStyle name="Comma [0]_Sheet1" xfId="26"/>
    <cellStyle name="Comma [0]_Sheet3" xfId="27"/>
    <cellStyle name="Comma [0]_TDAT523" xfId="28"/>
    <cellStyle name="Comma [0]_TEST1" xfId="29"/>
    <cellStyle name="Comma [0]_TEST2" xfId="30"/>
    <cellStyle name="Comma [0]_TEST3" xfId="31"/>
    <cellStyle name="Comma [0]_TEST7" xfId="32"/>
    <cellStyle name="Comma [0]_TESTDT4" xfId="33"/>
    <cellStyle name="Comma [0]_XDUMY2_" xfId="34"/>
    <cellStyle name="Comma [0]_XDUMY3" xfId="35"/>
    <cellStyle name="Comma [0]_XDY0522" xfId="36"/>
    <cellStyle name="Comma [0]_ZILK1" xfId="37"/>
    <cellStyle name="Comma [0]_ZILKHA1" xfId="38"/>
    <cellStyle name="Comma_CODIAK2" xfId="39"/>
    <cellStyle name="Comma_data" xfId="40"/>
    <cellStyle name="Comma_Dev. Prog." xfId="41"/>
    <cellStyle name="Comma_DUMMY1" xfId="42"/>
    <cellStyle name="Comma_Increase in G&amp;A" xfId="43"/>
    <cellStyle name="Comma_Int_Prod (2)" xfId="44"/>
    <cellStyle name="Comma_MR" xfId="45"/>
    <cellStyle name="Comma_Ownshp anal" xfId="46"/>
    <cellStyle name="Comma_Sheet1" xfId="47"/>
    <cellStyle name="Comma_Sheet3" xfId="48"/>
    <cellStyle name="Comma_TDAT523" xfId="49"/>
    <cellStyle name="Comma_TEST1" xfId="50"/>
    <cellStyle name="Comma_TEST2" xfId="51"/>
    <cellStyle name="Comma_TEST3" xfId="52"/>
    <cellStyle name="Comma_TEST7" xfId="53"/>
    <cellStyle name="Comma_TESTDT4" xfId="54"/>
    <cellStyle name="Comma_XDUMY2_" xfId="55"/>
    <cellStyle name="Comma_XDUMY3" xfId="56"/>
    <cellStyle name="Comma_XDY0522" xfId="57"/>
    <cellStyle name="Comma_ZILK1" xfId="58"/>
    <cellStyle name="Comma_ZILKHA1" xfId="59"/>
    <cellStyle name="Currency [0]_CODIAK2" xfId="60"/>
    <cellStyle name="Currency [0]_Dev. Prog." xfId="61"/>
    <cellStyle name="Currency [0]_DUMMY1" xfId="62"/>
    <cellStyle name="Currency [0]_Increase in G&amp;A" xfId="63"/>
    <cellStyle name="Currency [0]_Int_Prod (2)" xfId="64"/>
    <cellStyle name="Currency [0]_Ownshp anal" xfId="65"/>
    <cellStyle name="Currency [0]_Sheet1" xfId="66"/>
    <cellStyle name="Currency [0]_Sheet3" xfId="67"/>
    <cellStyle name="Currency [0]_TDAT523" xfId="68"/>
    <cellStyle name="Currency [0]_TEST1" xfId="69"/>
    <cellStyle name="Currency [0]_TEST2" xfId="70"/>
    <cellStyle name="Currency [0]_TEST3" xfId="71"/>
    <cellStyle name="Currency [0]_TEST7" xfId="72"/>
    <cellStyle name="Currency [0]_TESTDT4" xfId="73"/>
    <cellStyle name="Currency [0]_XDUMY2_" xfId="74"/>
    <cellStyle name="Currency [0]_XDUMY3" xfId="75"/>
    <cellStyle name="Currency [0]_XDY0522" xfId="76"/>
    <cellStyle name="Currency [0]_ZILK1" xfId="77"/>
    <cellStyle name="Currency [0]_ZILKHA1" xfId="78"/>
    <cellStyle name="Currency_CODIAK2" xfId="79"/>
    <cellStyle name="Currency_Dev. Prog." xfId="80"/>
    <cellStyle name="Currency_DUMMY1" xfId="81"/>
    <cellStyle name="Currency_Increase in G&amp;A" xfId="82"/>
    <cellStyle name="Currency_Int_Prod (2)" xfId="83"/>
    <cellStyle name="Currency_Ownshp anal" xfId="84"/>
    <cellStyle name="Currency_Sheet1" xfId="85"/>
    <cellStyle name="Currency_Sheet3" xfId="86"/>
    <cellStyle name="Currency_TDAT523" xfId="87"/>
    <cellStyle name="Currency_TEST1" xfId="88"/>
    <cellStyle name="Currency_TEST2" xfId="89"/>
    <cellStyle name="Currency_TEST3" xfId="90"/>
    <cellStyle name="Currency_TEST7" xfId="91"/>
    <cellStyle name="Currency_TESTDT4" xfId="92"/>
    <cellStyle name="Currency_XDUMY2_" xfId="93"/>
    <cellStyle name="Currency_XDUMY3" xfId="94"/>
    <cellStyle name="Currency_XDY0522" xfId="95"/>
    <cellStyle name="Currency_ZILK1" xfId="96"/>
    <cellStyle name="Currency_ZILKHA1" xfId="97"/>
    <cellStyle name="Normal_Buy-Out" xfId="98"/>
    <cellStyle name="Normal_CFMACROS.XLM" xfId="99"/>
    <cellStyle name="Normal_CFMODEL.XLS" xfId="100"/>
    <cellStyle name="Normal_CODIAK2" xfId="101"/>
    <cellStyle name="Normal_Dev. Prog." xfId="102"/>
    <cellStyle name="Normal_DUMMY1" xfId="103"/>
    <cellStyle name="Normal_Increase in G&amp;A" xfId="104"/>
    <cellStyle name="Normal_Int_Prod (2)" xfId="105"/>
    <cellStyle name="Normal_Int_Prod (2)_1" xfId="106"/>
    <cellStyle name="Normal_MR" xfId="107"/>
    <cellStyle name="Normal_Ownshp anal" xfId="108"/>
    <cellStyle name="Normal_Sheet1" xfId="109"/>
    <cellStyle name="Normal_Sheet3" xfId="110"/>
    <cellStyle name="Normal_TDAT523" xfId="111"/>
    <cellStyle name="Normal_TEST1" xfId="112"/>
    <cellStyle name="Normal_TEST2" xfId="113"/>
    <cellStyle name="Normal_TEST3" xfId="114"/>
    <cellStyle name="Normal_TEST7" xfId="115"/>
    <cellStyle name="Normal_TESTDT4" xfId="116"/>
    <cellStyle name="Normal_XDUMY2_" xfId="117"/>
    <cellStyle name="Normal_XDUMY3" xfId="118"/>
    <cellStyle name="Normal_XDY0522" xfId="119"/>
    <cellStyle name="Normal_ZILK1" xfId="120"/>
    <cellStyle name="Normal_ZILKHA1" xfId="121"/>
    <cellStyle name="Unprot" xfId="122"/>
    <cellStyle name="Unprot$" xfId="123"/>
    <cellStyle name="Unprot_data" xfId="124"/>
    <cellStyle name="Unprotect" xfId="12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0"/>
      <rgbColor rgb="FFCCFFFF"/>
      <rgbColor rgb="FF660066"/>
      <rgbColor rgb="FFFF8080"/>
      <rgbColor rgb="FF0066CC"/>
      <rgbColor rgb="FFFFBF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FFFFBF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sharedStrings" Target="sharedStrings.xml"/>
</Relationships>
</file>

<file path=xl/charts/_rels/chart1.xml.rels><?xml version="1.0" encoding="UTF-8"?>
<Relationships xmlns="http://schemas.openxmlformats.org/package/2006/relationships"><Relationship Id="rId1" Type="http://schemas.openxmlformats.org/officeDocument/2006/relationships/chartUserShapes" Target="../drawings/drawing2.xml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plotArea>
      <c:layout>
        <c:manualLayout>
          <c:xMode val="edge"/>
          <c:yMode val="edge"/>
          <c:x val="0.038391640163562"/>
          <c:y val="0.0725470478379543"/>
          <c:w val="0.746327426927154"/>
          <c:h val="0.890963941962362"/>
        </c:manualLayout>
      </c:layout>
      <c:lineChart>
        <c:grouping val="standard"/>
        <c:varyColors val="0"/>
        <c:ser>
          <c:idx val="0"/>
          <c:order val="0"/>
          <c:tx>
            <c:strRef>
              <c:f>"2003 Prodn."</c:f>
              <c:strCache>
                <c:ptCount val="1"/>
                <c:pt idx="0">
                  <c:v>2003 Prodn.</c:v>
                </c:pt>
              </c:strCache>
            </c:strRef>
          </c:tx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PROFILE!$M$55:$M$94</c:f>
              <c:numCache>
                <c:formatCode>0.0000</c:formatCode>
                <c:ptCount val="40"/>
              </c:numCache>
            </c:numRef>
          </c:val>
          <c:smooth val="0"/>
        </c:ser>
        <c:ser>
          <c:idx val="1"/>
          <c:order val="1"/>
          <c:tx>
            <c:strRef>
              <c:f>"2004 Prodn."</c:f>
              <c:strCache>
                <c:ptCount val="1"/>
                <c:pt idx="0">
                  <c:v>2004 Prodn.</c:v>
                </c:pt>
              </c:strCache>
            </c:strRef>
          </c:tx>
          <c:spPr>
            <a:solidFill>
              <a:srgbClr val="ff00ff"/>
            </a:solidFill>
            <a:ln w="12600">
              <a:solidFill>
                <a:srgbClr val="ff00ff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PROFILE!$N$55:$N$94</c:f>
              <c:numCache>
                <c:formatCode>0.0000</c:formatCode>
                <c:ptCount val="40"/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0"/>
        <c:axId val="47565018"/>
        <c:axId val="83814292"/>
      </c:lineChart>
      <c:catAx>
        <c:axId val="47565018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8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3814292"/>
        <c:crossesAt val="0"/>
        <c:auto val="1"/>
        <c:lblAlgn val="ctr"/>
        <c:lblOffset val="100"/>
        <c:noMultiLvlLbl val="0"/>
      </c:catAx>
      <c:valAx>
        <c:axId val="83814292"/>
        <c:scaling>
          <c:orientation val="minMax"/>
        </c:scaling>
        <c:delete val="0"/>
        <c:axPos val="l"/>
        <c:numFmt formatCode="0.0000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8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7565018"/>
        <c:crossesAt val="1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787217931243374"/>
          <c:y val="0.395776468898147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8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  <c:userShapes r:id="rId1"/>
</c:chartSpace>
</file>

<file path=xl/ctrlProps/ctrlProps10.xml><?xml version="1.0" encoding="utf-8"?>
<formControlPr xmlns="http://schemas.microsoft.com/office/spreadsheetml/2009/9/main" objectType="Button" lockText="1"/>
</file>

<file path=xl/ctrlProps/ctrlProps11.xml><?xml version="1.0" encoding="utf-8"?>
<formControlPr xmlns="http://schemas.microsoft.com/office/spreadsheetml/2009/9/main" objectType="Button" lockText="1"/>
</file>

<file path=xl/ctrlProps/ctrlProps12.xml><?xml version="1.0" encoding="utf-8"?>
<formControlPr xmlns="http://schemas.microsoft.com/office/spreadsheetml/2009/9/main" objectType="Button" lockText="1"/>
</file>

<file path=xl/ctrlProps/ctrlProps13.xml><?xml version="1.0" encoding="utf-8"?>
<formControlPr xmlns="http://schemas.microsoft.com/office/spreadsheetml/2009/9/main" objectType="Button" lockText="1"/>
</file>

<file path=xl/ctrlProps/ctrlProps14.xml><?xml version="1.0" encoding="utf-8"?>
<formControlPr xmlns="http://schemas.microsoft.com/office/spreadsheetml/2009/9/main" objectType="Button" lockText="1"/>
</file>

<file path=xl/ctrlProps/ctrlProps15.xml><?xml version="1.0" encoding="utf-8"?>
<formControlPr xmlns="http://schemas.microsoft.com/office/spreadsheetml/2009/9/main" objectType="Button" lockText="1"/>
</file>

<file path=xl/ctrlProps/ctrlProps16.xml><?xml version="1.0" encoding="utf-8"?>
<formControlPr xmlns="http://schemas.microsoft.com/office/spreadsheetml/2009/9/main" objectType="Button" lockText="1"/>
</file>

<file path=xl/ctrlProps/ctrlProps17.xml><?xml version="1.0" encoding="utf-8"?>
<formControlPr xmlns="http://schemas.microsoft.com/office/spreadsheetml/2009/9/main" objectType="Button" lockText="1"/>
</file>

<file path=xl/ctrlProps/ctrlProps18.xml><?xml version="1.0" encoding="utf-8"?>
<formControlPr xmlns="http://schemas.microsoft.com/office/spreadsheetml/2009/9/main" objectType="Button" lockText="1"/>
</file>

<file path=xl/ctrlProps/ctrlProps20.xml><?xml version="1.0" encoding="utf-8"?>
<formControlPr xmlns="http://schemas.microsoft.com/office/spreadsheetml/2009/9/main" objectType="Button" lockText="1"/>
</file>

<file path=xl/ctrlProps/ctrlProps21.xml><?xml version="1.0" encoding="utf-8"?>
<formControlPr xmlns="http://schemas.microsoft.com/office/spreadsheetml/2009/9/main" objectType="Button" lockText="1"/>
</file>

<file path=xl/ctrlProps/ctrlProps22.xml><?xml version="1.0" encoding="utf-8"?>
<formControlPr xmlns="http://schemas.microsoft.com/office/spreadsheetml/2009/9/main" objectType="Button" lockText="1"/>
</file>

<file path=xl/ctrlProps/ctrlProps24.xml><?xml version="1.0" encoding="utf-8"?>
<formControlPr xmlns="http://schemas.microsoft.com/office/spreadsheetml/2009/9/main" objectType="Button" lockText="1"/>
</file>

<file path=xl/ctrlProps/ctrlProps25.xml><?xml version="1.0" encoding="utf-8"?>
<formControlPr xmlns="http://schemas.microsoft.com/office/spreadsheetml/2009/9/main" objectType="Button" lockText="1"/>
</file>

<file path=xl/ctrlProps/ctrlProps27.xml><?xml version="1.0" encoding="utf-8"?>
<formControlPr xmlns="http://schemas.microsoft.com/office/spreadsheetml/2009/9/main" objectType="Button" lockText="1"/>
</file>

<file path=xl/ctrlProps/ctrlProps28.xml><?xml version="1.0" encoding="utf-8"?>
<formControlPr xmlns="http://schemas.microsoft.com/office/spreadsheetml/2009/9/main" objectType="Button" lockText="1"/>
</file>

<file path=xl/ctrlProps/ctrlProps30.xml><?xml version="1.0" encoding="utf-8"?>
<formControlPr xmlns="http://schemas.microsoft.com/office/spreadsheetml/2009/9/main" objectType="Button" lockText="1"/>
</file>

<file path=xl/ctrlProps/ctrlProps31.xml><?xml version="1.0" encoding="utf-8"?>
<formControlPr xmlns="http://schemas.microsoft.com/office/spreadsheetml/2009/9/main" objectType="Button" lockText="1"/>
</file>

<file path=xl/ctrlProps/ctrlProps32.xml><?xml version="1.0" encoding="utf-8"?>
<formControlPr xmlns="http://schemas.microsoft.com/office/spreadsheetml/2009/9/main" objectType="CheckBox" autoLine="false" print="true" lockText="1" noThreeD="1"/>
</file>

<file path=xl/ctrlProps/ctrlProps33.xml><?xml version="1.0" encoding="utf-8"?>
<formControlPr xmlns="http://schemas.microsoft.com/office/spreadsheetml/2009/9/main" objectType="CheckBox" autoLine="false" print="true" lockText="1" noThreeD="1"/>
</file>

<file path=xl/ctrlProps/ctrlProps34.xml><?xml version="1.0" encoding="utf-8"?>
<formControlPr xmlns="http://schemas.microsoft.com/office/spreadsheetml/2009/9/main" objectType="CheckBox" autoLine="false" print="true" lockText="1" noThreeD="1"/>
</file>

<file path=xl/ctrlProps/ctrlProps35.xml><?xml version="1.0" encoding="utf-8"?>
<formControlPr xmlns="http://schemas.microsoft.com/office/spreadsheetml/2009/9/main" objectType="CheckBox" autoLine="false" print="true" lockText="1" noThreeD="1"/>
</file>

<file path=xl/ctrlProps/ctrlProps36.xml><?xml version="1.0" encoding="utf-8"?>
<formControlPr xmlns="http://schemas.microsoft.com/office/spreadsheetml/2009/9/main" objectType="CheckBox" autoLine="false" print="true" lockText="1" noThreeD="1"/>
</file>

<file path=xl/ctrlProps/ctrlProps37.xml><?xml version="1.0" encoding="utf-8"?>
<formControlPr xmlns="http://schemas.microsoft.com/office/spreadsheetml/2009/9/main" objectType="CheckBox" autoLine="false" print="true" lockText="1" noThreeD="1"/>
</file>

<file path=xl/ctrlProps/ctrlProps38.xml><?xml version="1.0" encoding="utf-8"?>
<formControlPr xmlns="http://schemas.microsoft.com/office/spreadsheetml/2009/9/main" objectType="CheckBox" autoLine="false" print="true" lockText="1" noThreeD="1"/>
</file>

<file path=xl/ctrlProps/ctrlProps39.xml><?xml version="1.0" encoding="utf-8"?>
<formControlPr xmlns="http://schemas.microsoft.com/office/spreadsheetml/2009/9/main" objectType="CheckBox" autoLine="false" print="true" lockText="1" noThreeD="1"/>
</file>

<file path=xl/ctrlProps/ctrlProps4.xml><?xml version="1.0" encoding="utf-8"?>
<formControlPr xmlns="http://schemas.microsoft.com/office/spreadsheetml/2009/9/main" objectType="Button" lockText="1"/>
</file>

<file path=xl/ctrlProps/ctrlProps40.xml><?xml version="1.0" encoding="utf-8"?>
<formControlPr xmlns="http://schemas.microsoft.com/office/spreadsheetml/2009/9/main" objectType="CheckBox" autoLine="false" print="true" lockText="1" noThreeD="1"/>
</file>

<file path=xl/ctrlProps/ctrlProps41.xml><?xml version="1.0" encoding="utf-8"?>
<formControlPr xmlns="http://schemas.microsoft.com/office/spreadsheetml/2009/9/main" objectType="CheckBox" autoLine="false" print="true" lockText="1" noThreeD="1"/>
</file>

<file path=xl/ctrlProps/ctrlProps42.xml><?xml version="1.0" encoding="utf-8"?>
<formControlPr xmlns="http://schemas.microsoft.com/office/spreadsheetml/2009/9/main" objectType="CheckBox" autoLine="false" print="true" lockText="1" noThreeD="1"/>
</file>

<file path=xl/ctrlProps/ctrlProps43.xml><?xml version="1.0" encoding="utf-8"?>
<formControlPr xmlns="http://schemas.microsoft.com/office/spreadsheetml/2009/9/main" objectType="CheckBox" autoLine="false" print="true" lockText="1" noThreeD="1"/>
</file>

<file path=xl/ctrlProps/ctrlProps44.xml><?xml version="1.0" encoding="utf-8"?>
<formControlPr xmlns="http://schemas.microsoft.com/office/spreadsheetml/2009/9/main" objectType="CheckBox" autoLine="false" print="true" lockText="1" noThreeD="1"/>
</file>

<file path=xl/ctrlProps/ctrlProps45.xml><?xml version="1.0" encoding="utf-8"?>
<formControlPr xmlns="http://schemas.microsoft.com/office/spreadsheetml/2009/9/main" objectType="CheckBox" autoLine="false" print="true" lockText="1" noThreeD="1"/>
</file>

<file path=xl/ctrlProps/ctrlProps46.xml><?xml version="1.0" encoding="utf-8"?>
<formControlPr xmlns="http://schemas.microsoft.com/office/spreadsheetml/2009/9/main" objectType="CheckBox" autoLine="false" print="true" lockText="1" noThreeD="1"/>
</file>

<file path=xl/ctrlProps/ctrlProps47.xml><?xml version="1.0" encoding="utf-8"?>
<formControlPr xmlns="http://schemas.microsoft.com/office/spreadsheetml/2009/9/main" objectType="CheckBox" autoLine="false" print="true" lockText="1" noThreeD="1"/>
</file>

<file path=xl/ctrlProps/ctrlProps48.xml><?xml version="1.0" encoding="utf-8"?>
<formControlPr xmlns="http://schemas.microsoft.com/office/spreadsheetml/2009/9/main" objectType="CheckBox" autoLine="false" print="true" lockText="1" noThreeD="1"/>
</file>

<file path=xl/ctrlProps/ctrlProps49.xml><?xml version="1.0" encoding="utf-8"?>
<formControlPr xmlns="http://schemas.microsoft.com/office/spreadsheetml/2009/9/main" objectType="CheckBox" autoLine="false" print="true" lockText="1" noThreeD="1"/>
</file>

<file path=xl/ctrlProps/ctrlProps5.xml><?xml version="1.0" encoding="utf-8"?>
<formControlPr xmlns="http://schemas.microsoft.com/office/spreadsheetml/2009/9/main" objectType="Button" lockText="1"/>
</file>

<file path=xl/ctrlProps/ctrlProps50.xml><?xml version="1.0" encoding="utf-8"?>
<formControlPr xmlns="http://schemas.microsoft.com/office/spreadsheetml/2009/9/main" objectType="CheckBox" autoLine="false" print="true" lockText="1" noThreeD="1"/>
</file>

<file path=xl/ctrlProps/ctrlProps51.xml><?xml version="1.0" encoding="utf-8"?>
<formControlPr xmlns="http://schemas.microsoft.com/office/spreadsheetml/2009/9/main" objectType="CheckBox" autoLine="false" print="true" lockText="1" noThreeD="1"/>
</file>

<file path=xl/ctrlProps/ctrlProps52.xml><?xml version="1.0" encoding="utf-8"?>
<formControlPr xmlns="http://schemas.microsoft.com/office/spreadsheetml/2009/9/main" objectType="CheckBox" autoLine="false" print="true" lockText="1" noThreeD="1"/>
</file>

<file path=xl/ctrlProps/ctrlProps53.xml><?xml version="1.0" encoding="utf-8"?>
<formControlPr xmlns="http://schemas.microsoft.com/office/spreadsheetml/2009/9/main" objectType="CheckBox" autoLine="false" print="true" lockText="1" noThreeD="1"/>
</file>

<file path=xl/ctrlProps/ctrlProps54.xml><?xml version="1.0" encoding="utf-8"?>
<formControlPr xmlns="http://schemas.microsoft.com/office/spreadsheetml/2009/9/main" objectType="CheckBox" autoLine="false" print="true" lockText="1" noThreeD="1"/>
</file>

<file path=xl/ctrlProps/ctrlProps55.xml><?xml version="1.0" encoding="utf-8"?>
<formControlPr xmlns="http://schemas.microsoft.com/office/spreadsheetml/2009/9/main" objectType="CheckBox" autoLine="false" print="true" lockText="1" noThreeD="1"/>
</file>

<file path=xl/ctrlProps/ctrlProps57.xml><?xml version="1.0" encoding="utf-8"?>
<formControlPr xmlns="http://schemas.microsoft.com/office/spreadsheetml/2009/9/main" objectType="Button" lockText="1"/>
</file>

<file path=xl/ctrlProps/ctrlProps58.xml><?xml version="1.0" encoding="utf-8"?>
<formControlPr xmlns="http://schemas.microsoft.com/office/spreadsheetml/2009/9/main" objectType="Button" lockText="1"/>
</file>

<file path=xl/ctrlProps/ctrlProps59.xml><?xml version="1.0" encoding="utf-8"?>
<formControlPr xmlns="http://schemas.microsoft.com/office/spreadsheetml/2009/9/main" objectType="CheckBox" autoLine="false" print="true" lockText="1" noThreeD="1"/>
</file>

<file path=xl/ctrlProps/ctrlProps6.xml><?xml version="1.0" encoding="utf-8"?>
<formControlPr xmlns="http://schemas.microsoft.com/office/spreadsheetml/2009/9/main" objectType="CheckBox" autoLine="false" print="true" fmlaLink="EP!$A$2" lockText="1" noThreeD="1"/>
</file>

<file path=xl/ctrlProps/ctrlProps60.xml><?xml version="1.0" encoding="utf-8"?>
<formControlPr xmlns="http://schemas.microsoft.com/office/spreadsheetml/2009/9/main" objectType="CheckBox" autoLine="false" print="true" lockText="1" noThreeD="1"/>
</file>

<file path=xl/ctrlProps/ctrlProps61.xml><?xml version="1.0" encoding="utf-8"?>
<formControlPr xmlns="http://schemas.microsoft.com/office/spreadsheetml/2009/9/main" objectType="CheckBox" autoLine="false" print="true" lockText="1" noThreeD="1"/>
</file>

<file path=xl/ctrlProps/ctrlProps62.xml><?xml version="1.0" encoding="utf-8"?>
<formControlPr xmlns="http://schemas.microsoft.com/office/spreadsheetml/2009/9/main" objectType="CheckBox" autoLine="false" print="true" lockText="1" noThreeD="1"/>
</file>

<file path=xl/ctrlProps/ctrlProps63.xml><?xml version="1.0" encoding="utf-8"?>
<formControlPr xmlns="http://schemas.microsoft.com/office/spreadsheetml/2009/9/main" objectType="CheckBox" autoLine="false" print="true" lockText="1" noThreeD="1"/>
</file>

<file path=xl/ctrlProps/ctrlProps64.xml><?xml version="1.0" encoding="utf-8"?>
<formControlPr xmlns="http://schemas.microsoft.com/office/spreadsheetml/2009/9/main" objectType="CheckBox" autoLine="false" print="true" lockText="1" noThreeD="1"/>
</file>

<file path=xl/ctrlProps/ctrlProps65.xml><?xml version="1.0" encoding="utf-8"?>
<formControlPr xmlns="http://schemas.microsoft.com/office/spreadsheetml/2009/9/main" objectType="CheckBox" autoLine="false" print="true" lockText="1" noThreeD="1"/>
</file>

<file path=xl/ctrlProps/ctrlProps66.xml><?xml version="1.0" encoding="utf-8"?>
<formControlPr xmlns="http://schemas.microsoft.com/office/spreadsheetml/2009/9/main" objectType="CheckBox" autoLine="false" print="true" lockText="1" noThreeD="1"/>
</file>

<file path=xl/ctrlProps/ctrlProps67.xml><?xml version="1.0" encoding="utf-8"?>
<formControlPr xmlns="http://schemas.microsoft.com/office/spreadsheetml/2009/9/main" objectType="CheckBox" autoLine="false" print="true" lockText="1" noThreeD="1"/>
</file>

<file path=xl/ctrlProps/ctrlProps68.xml><?xml version="1.0" encoding="utf-8"?>
<formControlPr xmlns="http://schemas.microsoft.com/office/spreadsheetml/2009/9/main" objectType="CheckBox" autoLine="false" print="true" lockText="1" noThreeD="1"/>
</file>

<file path=xl/ctrlProps/ctrlProps69.xml><?xml version="1.0" encoding="utf-8"?>
<formControlPr xmlns="http://schemas.microsoft.com/office/spreadsheetml/2009/9/main" objectType="CheckBox" autoLine="false" print="true" lockText="1" noThreeD="1"/>
</file>

<file path=xl/ctrlProps/ctrlProps7.xml><?xml version="1.0" encoding="utf-8"?>
<formControlPr xmlns="http://schemas.microsoft.com/office/spreadsheetml/2009/9/main" objectType="Button" lockText="1"/>
</file>

<file path=xl/ctrlProps/ctrlProps70.xml><?xml version="1.0" encoding="utf-8"?>
<formControlPr xmlns="http://schemas.microsoft.com/office/spreadsheetml/2009/9/main" objectType="CheckBox" autoLine="false" print="true" lockText="1" noThreeD="1"/>
</file>

<file path=xl/ctrlProps/ctrlProps71.xml><?xml version="1.0" encoding="utf-8"?>
<formControlPr xmlns="http://schemas.microsoft.com/office/spreadsheetml/2009/9/main" objectType="CheckBox" autoLine="false" print="true" lockText="1" noThreeD="1"/>
</file>

<file path=xl/ctrlProps/ctrlProps73.xml><?xml version="1.0" encoding="utf-8"?>
<formControlPr xmlns="http://schemas.microsoft.com/office/spreadsheetml/2009/9/main" objectType="Button" lockText="1"/>
</file>

<file path=xl/ctrlProps/ctrlProps74.xml><?xml version="1.0" encoding="utf-8"?>
<formControlPr xmlns="http://schemas.microsoft.com/office/spreadsheetml/2009/9/main" objectType="Button" lockText="1"/>
</file>

<file path=xl/ctrlProps/ctrlProps9.xml><?xml version="1.0" encoding="utf-8"?>
<formControlPr xmlns="http://schemas.microsoft.com/office/spreadsheetml/2009/9/main" objectType="Button" lockText="1"/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1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5</xdr:col>
      <xdr:colOff>9360</xdr:colOff>
      <xdr:row>28</xdr:row>
      <xdr:rowOff>0</xdr:rowOff>
    </xdr:from>
    <xdr:to>
      <xdr:col>14</xdr:col>
      <xdr:colOff>19440</xdr:colOff>
      <xdr:row>45</xdr:row>
      <xdr:rowOff>76680</xdr:rowOff>
    </xdr:to>
    <xdr:graphicFrame>
      <xdr:nvGraphicFramePr>
        <xdr:cNvPr id="0" name="Chart 1"/>
        <xdr:cNvGraphicFramePr/>
      </xdr:nvGraphicFramePr>
      <xdr:xfrm>
        <a:off x="4300560" y="4057560"/>
        <a:ext cx="4753800" cy="25056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0</xdr:colOff>
          <xdr:row>1</xdr:row>
          <xdr:rowOff>0</xdr:rowOff>
        </xdr:from>
        <xdr:to>
          <xdr:col>69</xdr:col>
          <xdr:colOff>65520</xdr:colOff>
          <xdr:row>26</xdr:row>
          <xdr:rowOff>66960</xdr:rowOff>
        </xdr:to>
        <xdr:sp>
          <xdr:nvSpPr>
            <xdr:cNvPr id="0" name="Dialog Frame 1" descr="Calculation Parameter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Calculation Parameters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57</xdr:col>
          <xdr:colOff>0</xdr:colOff>
          <xdr:row>15</xdr:row>
          <xdr:rowOff>0</xdr:rowOff>
        </xdr:from>
        <xdr:to>
          <xdr:col>66</xdr:col>
          <xdr:colOff>65520</xdr:colOff>
          <xdr:row>17</xdr:row>
          <xdr:rowOff>66600</xdr:rowOff>
        </xdr:to>
        <xdr:sp>
          <xdr:nvSpPr>
            <xdr:cNvPr id="1001" name="Button 2" descr="OK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OK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57</xdr:col>
          <xdr:colOff>0</xdr:colOff>
          <xdr:row>20</xdr:row>
          <xdr:rowOff>0</xdr:rowOff>
        </xdr:from>
        <xdr:to>
          <xdr:col>66</xdr:col>
          <xdr:colOff>65520</xdr:colOff>
          <xdr:row>22</xdr:row>
          <xdr:rowOff>66600</xdr:rowOff>
        </xdr:to>
        <xdr:sp>
          <xdr:nvSpPr>
            <xdr:cNvPr id="1002" name="Button 3" descr="Cancel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Cancel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0</xdr:colOff>
          <xdr:row>5</xdr:row>
          <xdr:rowOff>0</xdr:rowOff>
        </xdr:from>
        <xdr:to>
          <xdr:col>40</xdr:col>
          <xdr:colOff>65520</xdr:colOff>
          <xdr:row>9</xdr:row>
          <xdr:rowOff>28440</xdr:rowOff>
        </xdr:to>
        <xdr:sp>
          <xdr:nvSpPr>
            <xdr:cNvPr id="0" name="Label 5" descr="Set Optimization iterations    (default = 25)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Set Optimization iterations    (default = 25)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0</xdr:colOff>
          <xdr:row>12</xdr:row>
          <xdr:rowOff>0</xdr:rowOff>
        </xdr:from>
        <xdr:to>
          <xdr:col>39</xdr:col>
          <xdr:colOff>65160</xdr:colOff>
          <xdr:row>16</xdr:row>
          <xdr:rowOff>28800</xdr:rowOff>
        </xdr:to>
        <xdr:sp>
          <xdr:nvSpPr>
            <xdr:cNvPr id="0" name="Label 6" descr="Set Optimization precision  (default = 1)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Set Optimization precision  (default = 1)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43</xdr:col>
          <xdr:colOff>0</xdr:colOff>
          <xdr:row>20</xdr:row>
          <xdr:rowOff>0</xdr:rowOff>
        </xdr:from>
        <xdr:to>
          <xdr:col>52</xdr:col>
          <xdr:colOff>360</xdr:colOff>
          <xdr:row>22</xdr:row>
          <xdr:rowOff>66600</xdr:rowOff>
        </xdr:to>
        <xdr:sp>
          <xdr:nvSpPr>
            <xdr:cNvPr id="1003" name="Button 8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0</xdr:colOff>
          <xdr:row>19</xdr:row>
          <xdr:rowOff>0</xdr:rowOff>
        </xdr:from>
        <xdr:to>
          <xdr:col>39</xdr:col>
          <xdr:colOff>65160</xdr:colOff>
          <xdr:row>23</xdr:row>
          <xdr:rowOff>28440</xdr:rowOff>
        </xdr:to>
        <xdr:sp>
          <xdr:nvSpPr>
            <xdr:cNvPr id="0" name="Label 9" descr="Reset Excel calculation parameter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Reset Excel calculation parameters</a:t>
              </a:r>
            </a:p>
          </xdr:txBody>
        </xdr:sp>
        <xdr:clientData/>
      </xdr:twoCellAnchor>
    </mc:Choice>
  </mc:AlternateContent>
</xdr:wsDr>
</file>

<file path=xl/drawings/drawing2.xml><?xml version="1.0" encoding="utf-8"?>
<c:userShapes xmlns:cdr="http://schemas.openxmlformats.org/drawingml/2006/chartDrawing" xmlns:a="http://schemas.openxmlformats.org/drawingml/2006/main" xmlns:c="http://schemas.openxmlformats.org/drawingml/2006/chart" xmlns:r="http://schemas.openxmlformats.org/officeDocument/2006/relationships">
  <cdr:relSizeAnchor>
    <cdr:from>
      <cdr:x>0.462517037710132</cdr:x>
      <cdr:y>0.489010199683953</cdr:y>
    </cdr:from>
    <cdr:to>
      <cdr:x>0.486748447675299</cdr:x>
      <cdr:y>0.550926591007039</cdr:y>
    </cdr:to>
    <cdr:sp>
      <cdr:nvSpPr>
        <cdr:cNvPr id="1" name="Text 1"/>
        <cdr:cNvSpPr/>
      </cdr:nvSpPr>
      <cdr:spPr>
        <a:xfrm>
          <a:off x="2198880" y="1225440"/>
          <a:ext cx="115200" cy="155160"/>
        </a:xfrm>
        <a:custGeom>
          <a:avLst/>
          <a:gdLst/>
          <a:ah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noFill/>
        <a:ln w="0">
          <a:noFill/>
        </a:ln>
      </cdr:spPr>
      <cdr:style>
        <a:lnRef idx="0"/>
        <a:fillRef idx="0"/>
        <a:effectRef idx="0"/>
        <a:fontRef idx="minor"/>
      </cdr:style>
      <cdr:txBody>
        <a:bodyPr lIns="20160" rIns="20160" tIns="20160" bIns="20160" anchor="ctr">
          <a:spAutoFit/>
        </a:bodyPr>
        <a:p>
          <a:pPr algn="ctr"/>
          <a:r>
            <a:rPr b="0" sz="800" strike="noStrike" u="none">
              <a:effectLst/>
              <a:uFillTx/>
              <a:latin typeface="Arial"/>
            </a:rPr>
            <a:t>`</a:t>
          </a:r>
          <a:endParaRPr b="0" sz="800" strike="noStrike" u="none">
            <a:effectLst/>
            <a:uFillTx/>
            <a:latin typeface="Times New Roman"/>
          </a:endParaRPr>
        </a:p>
      </cdr:txBody>
    </cdr:sp>
  </cdr:relSizeAnchor>
</c:userShapes>
</file>

<file path=xl/drawings/drawing2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28080</xdr:colOff>
          <xdr:row>1</xdr:row>
          <xdr:rowOff>57240</xdr:rowOff>
        </xdr:from>
        <xdr:to>
          <xdr:col>83</xdr:col>
          <xdr:colOff>360</xdr:colOff>
          <xdr:row>35</xdr:row>
          <xdr:rowOff>66960</xdr:rowOff>
        </xdr:to>
        <xdr:sp>
          <xdr:nvSpPr>
            <xdr:cNvPr id="0" name="Dialog Frame 1" descr="CF Model Input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CF Model Inputs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69</xdr:col>
          <xdr:colOff>28080</xdr:colOff>
          <xdr:row>19</xdr:row>
          <xdr:rowOff>56880</xdr:rowOff>
        </xdr:from>
        <xdr:to>
          <xdr:col>79</xdr:col>
          <xdr:colOff>28080</xdr:colOff>
          <xdr:row>22</xdr:row>
          <xdr:rowOff>56880</xdr:rowOff>
        </xdr:to>
        <xdr:sp>
          <xdr:nvSpPr>
            <xdr:cNvPr id="1001" name="Button 2" descr="OK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OK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69</xdr:col>
          <xdr:colOff>28080</xdr:colOff>
          <xdr:row>23</xdr:row>
          <xdr:rowOff>56880</xdr:rowOff>
        </xdr:from>
        <xdr:to>
          <xdr:col>79</xdr:col>
          <xdr:colOff>28080</xdr:colOff>
          <xdr:row>26</xdr:row>
          <xdr:rowOff>57240</xdr:rowOff>
        </xdr:to>
        <xdr:sp>
          <xdr:nvSpPr>
            <xdr:cNvPr id="1002" name="Button 3" descr="Cancel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Cancel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429840</xdr:colOff>
          <xdr:row>7</xdr:row>
          <xdr:rowOff>123840</xdr:rowOff>
        </xdr:from>
        <xdr:to>
          <xdr:col>2</xdr:col>
          <xdr:colOff>607680</xdr:colOff>
          <xdr:row>9</xdr:row>
          <xdr:rowOff>9720</xdr:rowOff>
        </xdr:to>
        <xdr:sp>
          <xdr:nvSpPr>
            <xdr:cNvPr id="0" name="Option Button 4" descr="Transaction Funds Flow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Transaction Funds Flow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392400</xdr:colOff>
          <xdr:row>11</xdr:row>
          <xdr:rowOff>75960</xdr:rowOff>
        </xdr:from>
        <xdr:to>
          <xdr:col>3</xdr:col>
          <xdr:colOff>24480</xdr:colOff>
          <xdr:row>13</xdr:row>
          <xdr:rowOff>360</xdr:rowOff>
        </xdr:to>
        <xdr:sp>
          <xdr:nvSpPr>
            <xdr:cNvPr id="0" name="Option Button 6" descr="Opening Balance Sheet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Opening Balance Sheet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392400</xdr:colOff>
          <xdr:row>12</xdr:row>
          <xdr:rowOff>133560</xdr:rowOff>
        </xdr:from>
        <xdr:to>
          <xdr:col>3</xdr:col>
          <xdr:colOff>230040</xdr:colOff>
          <xdr:row>14</xdr:row>
          <xdr:rowOff>57240</xdr:rowOff>
        </xdr:to>
        <xdr:sp>
          <xdr:nvSpPr>
            <xdr:cNvPr id="0" name="Option Button 7" descr="Working Capital/Other B/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Working Capital/Other B/S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392400</xdr:colOff>
          <xdr:row>14</xdr:row>
          <xdr:rowOff>47520</xdr:rowOff>
        </xdr:from>
        <xdr:to>
          <xdr:col>2</xdr:col>
          <xdr:colOff>243360</xdr:colOff>
          <xdr:row>15</xdr:row>
          <xdr:rowOff>114480</xdr:rowOff>
        </xdr:to>
        <xdr:sp>
          <xdr:nvSpPr>
            <xdr:cNvPr id="0" name="Option Button 8" descr="Borrowing Bas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Borrowing Base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420480</xdr:colOff>
          <xdr:row>9</xdr:row>
          <xdr:rowOff>9720</xdr:rowOff>
        </xdr:from>
        <xdr:to>
          <xdr:col>2</xdr:col>
          <xdr:colOff>598320</xdr:colOff>
          <xdr:row>10</xdr:row>
          <xdr:rowOff>66600</xdr:rowOff>
        </xdr:to>
        <xdr:sp>
          <xdr:nvSpPr>
            <xdr:cNvPr id="0" name="Option Button 9" descr="Transaction Fee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Transaction Fees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439200</xdr:colOff>
          <xdr:row>2</xdr:row>
          <xdr:rowOff>57240</xdr:rowOff>
        </xdr:from>
        <xdr:to>
          <xdr:col>3</xdr:col>
          <xdr:colOff>5760</xdr:colOff>
          <xdr:row>3</xdr:row>
          <xdr:rowOff>104760</xdr:rowOff>
        </xdr:to>
        <xdr:sp>
          <xdr:nvSpPr>
            <xdr:cNvPr id="0" name="Option Button 10" descr="General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General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444600</xdr:colOff>
          <xdr:row>3</xdr:row>
          <xdr:rowOff>47520</xdr:rowOff>
        </xdr:from>
        <xdr:to>
          <xdr:col>6</xdr:col>
          <xdr:colOff>236880</xdr:colOff>
          <xdr:row>4</xdr:row>
          <xdr:rowOff>104760</xdr:rowOff>
        </xdr:to>
        <xdr:sp>
          <xdr:nvSpPr>
            <xdr:cNvPr id="0" name="Option Button 14" descr="Repayment Schedul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Repayment Schedule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444600</xdr:colOff>
          <xdr:row>4</xdr:row>
          <xdr:rowOff>95400</xdr:rowOff>
        </xdr:from>
        <xdr:to>
          <xdr:col>6</xdr:col>
          <xdr:colOff>40680</xdr:colOff>
          <xdr:row>5</xdr:row>
          <xdr:rowOff>162000</xdr:rowOff>
        </xdr:to>
        <xdr:sp>
          <xdr:nvSpPr>
            <xdr:cNvPr id="0" name="Option Button 15" descr="Interest Rate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Interest Rates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444600</xdr:colOff>
          <xdr:row>7</xdr:row>
          <xdr:rowOff>152280</xdr:rowOff>
        </xdr:from>
        <xdr:to>
          <xdr:col>6</xdr:col>
          <xdr:colOff>236880</xdr:colOff>
          <xdr:row>9</xdr:row>
          <xdr:rowOff>38160</xdr:rowOff>
        </xdr:to>
        <xdr:sp>
          <xdr:nvSpPr>
            <xdr:cNvPr id="0" name="Option Button 17" descr="Other Income Data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Other Income Data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444600</xdr:colOff>
          <xdr:row>10</xdr:row>
          <xdr:rowOff>75960</xdr:rowOff>
        </xdr:from>
        <xdr:to>
          <xdr:col>6</xdr:col>
          <xdr:colOff>302400</xdr:colOff>
          <xdr:row>11</xdr:row>
          <xdr:rowOff>142560</xdr:rowOff>
        </xdr:to>
        <xdr:sp>
          <xdr:nvSpPr>
            <xdr:cNvPr id="0" name="Option Button 18" descr="ESOP Item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ESOP Items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444600</xdr:colOff>
          <xdr:row>11</xdr:row>
          <xdr:rowOff>133200</xdr:rowOff>
        </xdr:from>
        <xdr:to>
          <xdr:col>6</xdr:col>
          <xdr:colOff>106200</xdr:colOff>
          <xdr:row>13</xdr:row>
          <xdr:rowOff>57240</xdr:rowOff>
        </xdr:to>
        <xdr:sp>
          <xdr:nvSpPr>
            <xdr:cNvPr id="0" name="Option Button 19" descr="Tax Item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Tax Items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18720</xdr:colOff>
          <xdr:row>8</xdr:row>
          <xdr:rowOff>37800</xdr:rowOff>
        </xdr:from>
        <xdr:to>
          <xdr:col>27</xdr:col>
          <xdr:colOff>19080</xdr:colOff>
          <xdr:row>11</xdr:row>
          <xdr:rowOff>9720</xdr:rowOff>
        </xdr:to>
        <xdr:sp>
          <xdr:nvSpPr>
            <xdr:cNvPr id="0" name="Label 26" descr="Transaction Items: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Transaction Items: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23</xdr:row>
          <xdr:rowOff>0</xdr:rowOff>
        </xdr:from>
        <xdr:to>
          <xdr:col>25</xdr:col>
          <xdr:colOff>65520</xdr:colOff>
          <xdr:row>25</xdr:row>
          <xdr:rowOff>38160</xdr:rowOff>
        </xdr:to>
        <xdr:sp>
          <xdr:nvSpPr>
            <xdr:cNvPr id="0" name="Label 27" descr="Balance Sheet Items: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Balance Sheet Items: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35</xdr:col>
          <xdr:colOff>28080</xdr:colOff>
          <xdr:row>5</xdr:row>
          <xdr:rowOff>56880</xdr:rowOff>
        </xdr:from>
        <xdr:to>
          <xdr:col>53</xdr:col>
          <xdr:colOff>28080</xdr:colOff>
          <xdr:row>8</xdr:row>
          <xdr:rowOff>28440</xdr:rowOff>
        </xdr:to>
        <xdr:sp>
          <xdr:nvSpPr>
            <xdr:cNvPr id="0" name="Label 28" descr="Debt Items: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Debt Items: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35</xdr:col>
          <xdr:colOff>28080</xdr:colOff>
          <xdr:row>14</xdr:row>
          <xdr:rowOff>56880</xdr:rowOff>
        </xdr:from>
        <xdr:to>
          <xdr:col>54</xdr:col>
          <xdr:colOff>28080</xdr:colOff>
          <xdr:row>17</xdr:row>
          <xdr:rowOff>28440</xdr:rowOff>
        </xdr:to>
        <xdr:sp>
          <xdr:nvSpPr>
            <xdr:cNvPr id="0" name="Label 29" descr="Cash Flow Items: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Cash Flow Items: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444600</xdr:colOff>
          <xdr:row>9</xdr:row>
          <xdr:rowOff>28440</xdr:rowOff>
        </xdr:from>
        <xdr:to>
          <xdr:col>6</xdr:col>
          <xdr:colOff>106200</xdr:colOff>
          <xdr:row>10</xdr:row>
          <xdr:rowOff>85680</xdr:rowOff>
        </xdr:to>
        <xdr:sp>
          <xdr:nvSpPr>
            <xdr:cNvPr id="0" name="Option Button 30" descr="Asset Sale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Asset Sales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498600</xdr:colOff>
          <xdr:row>3</xdr:row>
          <xdr:rowOff>47520</xdr:rowOff>
        </xdr:from>
        <xdr:to>
          <xdr:col>8</xdr:col>
          <xdr:colOff>555840</xdr:colOff>
          <xdr:row>4</xdr:row>
          <xdr:rowOff>104760</xdr:rowOff>
        </xdr:to>
        <xdr:sp>
          <xdr:nvSpPr>
            <xdr:cNvPr id="0" name="Option Button 31" descr="Returns Analysi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Returns Analysis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498600</xdr:colOff>
          <xdr:row>4</xdr:row>
          <xdr:rowOff>104760</xdr:rowOff>
        </xdr:from>
        <xdr:to>
          <xdr:col>8</xdr:col>
          <xdr:colOff>621360</xdr:colOff>
          <xdr:row>6</xdr:row>
          <xdr:rowOff>9720</xdr:rowOff>
        </xdr:to>
        <xdr:sp>
          <xdr:nvSpPr>
            <xdr:cNvPr id="0" name="Option Button 32" descr="DCF Valuation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DCF Valuation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62</xdr:col>
          <xdr:colOff>28080</xdr:colOff>
          <xdr:row>5</xdr:row>
          <xdr:rowOff>56880</xdr:rowOff>
        </xdr:from>
        <xdr:to>
          <xdr:col>80</xdr:col>
          <xdr:colOff>28440</xdr:colOff>
          <xdr:row>8</xdr:row>
          <xdr:rowOff>28440</xdr:rowOff>
        </xdr:to>
        <xdr:sp>
          <xdr:nvSpPr>
            <xdr:cNvPr id="0" name="Label 33" descr="Analyses: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Analyses: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429840</xdr:colOff>
          <xdr:row>4</xdr:row>
          <xdr:rowOff>66960</xdr:rowOff>
        </xdr:from>
        <xdr:to>
          <xdr:col>2</xdr:col>
          <xdr:colOff>336600</xdr:colOff>
          <xdr:row>5</xdr:row>
          <xdr:rowOff>133200</xdr:rowOff>
        </xdr:to>
        <xdr:sp>
          <xdr:nvSpPr>
            <xdr:cNvPr id="0" name="Option Button 40" descr="Transaction Date: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Transaction Date:</a:t>
              </a:r>
            </a:p>
          </xdr:txBody>
        </xdr:sp>
        <xdr:clientData/>
      </xdr:twoCellAnchor>
    </mc:Choice>
  </mc:AlternateContent>
</xdr:wsDr>
</file>

<file path=xl/drawings/drawing26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0</xdr:colOff>
          <xdr:row>5</xdr:row>
          <xdr:rowOff>0</xdr:rowOff>
        </xdr:from>
        <xdr:to>
          <xdr:col>53</xdr:col>
          <xdr:colOff>65520</xdr:colOff>
          <xdr:row>33</xdr:row>
          <xdr:rowOff>66600</xdr:rowOff>
        </xdr:to>
        <xdr:sp>
          <xdr:nvSpPr>
            <xdr:cNvPr id="0" name="Dialog Frame 1" descr="Go To...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Go To...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40</xdr:col>
          <xdr:colOff>0</xdr:colOff>
          <xdr:row>25</xdr:row>
          <xdr:rowOff>0</xdr:rowOff>
        </xdr:from>
        <xdr:to>
          <xdr:col>49</xdr:col>
          <xdr:colOff>65520</xdr:colOff>
          <xdr:row>27</xdr:row>
          <xdr:rowOff>66600</xdr:rowOff>
        </xdr:to>
        <xdr:sp>
          <xdr:nvSpPr>
            <xdr:cNvPr id="1001" name="Button 2" descr="OK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OK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40</xdr:col>
          <xdr:colOff>0</xdr:colOff>
          <xdr:row>29</xdr:row>
          <xdr:rowOff>0</xdr:rowOff>
        </xdr:from>
        <xdr:to>
          <xdr:col>49</xdr:col>
          <xdr:colOff>65520</xdr:colOff>
          <xdr:row>31</xdr:row>
          <xdr:rowOff>66960</xdr:rowOff>
        </xdr:to>
        <xdr:sp>
          <xdr:nvSpPr>
            <xdr:cNvPr id="1002" name="Button 3" descr="Cancel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Cancel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434880</xdr:colOff>
          <xdr:row>3</xdr:row>
          <xdr:rowOff>57240</xdr:rowOff>
        </xdr:from>
        <xdr:to>
          <xdr:col>3</xdr:col>
          <xdr:colOff>416880</xdr:colOff>
          <xdr:row>4</xdr:row>
          <xdr:rowOff>114480</xdr:rowOff>
        </xdr:to>
        <xdr:sp>
          <xdr:nvSpPr>
            <xdr:cNvPr id="0" name="Option Button 4" descr="Overview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Overview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434880</xdr:colOff>
          <xdr:row>4</xdr:row>
          <xdr:rowOff>104760</xdr:rowOff>
        </xdr:from>
        <xdr:to>
          <xdr:col>3</xdr:col>
          <xdr:colOff>416880</xdr:colOff>
          <xdr:row>6</xdr:row>
          <xdr:rowOff>9720</xdr:rowOff>
        </xdr:to>
        <xdr:sp>
          <xdr:nvSpPr>
            <xdr:cNvPr id="0" name="Option Button 5" descr="Income Statement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Income Statement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434880</xdr:colOff>
          <xdr:row>6</xdr:row>
          <xdr:rowOff>0</xdr:rowOff>
        </xdr:from>
        <xdr:to>
          <xdr:col>3</xdr:col>
          <xdr:colOff>482040</xdr:colOff>
          <xdr:row>8</xdr:row>
          <xdr:rowOff>9360</xdr:rowOff>
        </xdr:to>
        <xdr:sp>
          <xdr:nvSpPr>
            <xdr:cNvPr id="0" name="Option Button 6" descr="Common Sized I/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Common Sized I/S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434880</xdr:colOff>
          <xdr:row>8</xdr:row>
          <xdr:rowOff>0</xdr:rowOff>
        </xdr:from>
        <xdr:to>
          <xdr:col>4</xdr:col>
          <xdr:colOff>75960</xdr:colOff>
          <xdr:row>9</xdr:row>
          <xdr:rowOff>47880</xdr:rowOff>
        </xdr:to>
        <xdr:sp>
          <xdr:nvSpPr>
            <xdr:cNvPr id="0" name="Option Button 7" descr="Sources and Use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Sources and Uses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434880</xdr:colOff>
          <xdr:row>9</xdr:row>
          <xdr:rowOff>38160</xdr:rowOff>
        </xdr:from>
        <xdr:to>
          <xdr:col>3</xdr:col>
          <xdr:colOff>547560</xdr:colOff>
          <xdr:row>10</xdr:row>
          <xdr:rowOff>95400</xdr:rowOff>
        </xdr:to>
        <xdr:sp>
          <xdr:nvSpPr>
            <xdr:cNvPr id="0" name="Option Button 8" descr="Cash Flow Statement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Cash Flow Statement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434880</xdr:colOff>
          <xdr:row>10</xdr:row>
          <xdr:rowOff>85680</xdr:rowOff>
        </xdr:from>
        <xdr:to>
          <xdr:col>3</xdr:col>
          <xdr:colOff>547560</xdr:colOff>
          <xdr:row>12</xdr:row>
          <xdr:rowOff>9720</xdr:rowOff>
        </xdr:to>
        <xdr:sp>
          <xdr:nvSpPr>
            <xdr:cNvPr id="0" name="Option Button 9" descr="Balance Sheet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Balance Sheet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434880</xdr:colOff>
          <xdr:row>12</xdr:row>
          <xdr:rowOff>0</xdr:rowOff>
        </xdr:from>
        <xdr:to>
          <xdr:col>3</xdr:col>
          <xdr:colOff>547560</xdr:colOff>
          <xdr:row>13</xdr:row>
          <xdr:rowOff>66960</xdr:rowOff>
        </xdr:to>
        <xdr:sp>
          <xdr:nvSpPr>
            <xdr:cNvPr id="0" name="Option Button 10" descr="Capitalization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Capitalization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434880</xdr:colOff>
          <xdr:row>13</xdr:row>
          <xdr:rowOff>57240</xdr:rowOff>
        </xdr:from>
        <xdr:to>
          <xdr:col>3</xdr:col>
          <xdr:colOff>482040</xdr:colOff>
          <xdr:row>14</xdr:row>
          <xdr:rowOff>123840</xdr:rowOff>
        </xdr:to>
        <xdr:sp>
          <xdr:nvSpPr>
            <xdr:cNvPr id="0" name="Option Button 11" descr="Income Taxe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Income Taxes</a:t>
              </a:r>
            </a:p>
          </xdr:txBody>
        </xdr:sp>
        <xdr:clientData/>
      </xdr:twoCellAnchor>
    </mc:Choice>
  </mc:AlternateContent>
</xdr:wsDr>
</file>

<file path=xl/drawings/drawing29.xml><?xml version="1.0" encoding="UTF-8" standalone="yes"?>
<xdr:wsDr xmlns:xdr="http://schemas.openxmlformats.org/drawingml/2006/spreadsheetDrawing" xmlns:a="http://schemas.openxmlformats.org/drawingml/2006/main" xmlns:r="http://schemas.openxmlformats.org/officeDocument/2006/relationships"><mc:AlternateContent xmlns:mc="http://schemas.openxmlformats.org/markup-compatibility/2006"><mc:Choice xmlns:a14="http://schemas.microsoft.com/office/drawing/2010/main" Requires="a14"><xdr:twoCellAnchor editAs="oneCell"><xdr:from><xdr:col>5</xdr:col><xdr:colOff>37440</xdr:colOff><xdr:row>3</xdr:row><xdr:rowOff>47520</xdr:rowOff></xdr:from><xdr:to><xdr:col>84</xdr:col><xdr:colOff>65520</xdr:colOff><xdr:row>41</xdr:row><xdr:rowOff>28440</xdr:rowOff></xdr:to><xdr:sp><xdr:nvSpPr><xdr:cNvPr id="0" name="Dialog Frame 1" descr="CF Model Print Menu" hidden="0"/><xdr:cNvSpPr/></xdr:nvSpPr><xdr:spPr><a:xfrm><a:off x="0" y="0"/><a:ext cx="0" cy="0"/></a:xfrm><a:prstGeom prst="rect"><a:avLst/></a:prstGeom></xdr:spPr><xdr:txBody><a:bodyPr anchor="ctr"><a:noAutofit/></a:bodyPr><a:p><a:r><a:t>CF Model Print Menu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66</xdr:col><xdr:colOff>28080</xdr:colOff><xdr:row>21</xdr:row><xdr:rowOff>47880</xdr:rowOff></xdr:from><xdr:to><xdr:col>76</xdr:col><xdr:colOff>28080</xdr:colOff><xdr:row>24</xdr:row><xdr:rowOff>47520</xdr:rowOff></xdr:to><xdr:sp><xdr:nvSpPr><xdr:cNvPr id="1001" name="Button 2" descr="OK" hidden="0"/><xdr:cNvSpPr/></xdr:nvSpPr><xdr:spPr><a:xfrm><a:off x="0" y="0"/><a:ext cx="0" cy="0"/></a:xfrm><a:prstGeom prst="rect"><a:avLst/></a:prstGeom></xdr:spPr><xdr:txBody><a:bodyPr anchor="ctr"><a:noAutofit/></a:bodyPr><a:p><a:r><a:t>OK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66</xdr:col><xdr:colOff>28080</xdr:colOff><xdr:row>26</xdr:row><xdr:rowOff>28800</xdr:rowOff></xdr:from><xdr:to><xdr:col>76</xdr:col><xdr:colOff>28080</xdr:colOff><xdr:row>29</xdr:row><xdr:rowOff>28800</xdr:rowOff></xdr:to><xdr:sp><xdr:nvSpPr><xdr:cNvPr id="1002" name="Button 3" descr="Cancel" hidden="0"/><xdr:cNvSpPr/></xdr:nvSpPr><xdr:spPr><a:xfrm><a:off x="0" y="0"/><a:ext cx="0" cy="0"/></a:xfrm><a:prstGeom prst="rect"><a:avLst/></a:prstGeom></xdr:spPr><xdr:txBody><a:bodyPr anchor="ctr"><a:noAutofit/></a:bodyPr><a:p><a:r><a:t>Cancel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9</xdr:col><xdr:colOff>9360</xdr:colOff><xdr:row>7</xdr:row><xdr:rowOff>47880</xdr:rowOff></xdr:from><xdr:to><xdr:col>29</xdr:col><xdr:colOff>9360</xdr:colOff><xdr:row>10</xdr:row><xdr:rowOff>57240</xdr:rowOff></xdr:to><xdr:sp><xdr:nvSpPr><xdr:cNvPr id="1003" name="Check Box 4" descr="Input Assumptions" hidden="0"/><xdr:cNvSpPr/></xdr:nvSpPr><xdr:spPr><a:xfrm><a:off x="0" y="0"/><a:ext cx="0" cy="0"/></a:xfrm><a:prstGeom prst="rect"><a:avLst/></a:prstGeom></xdr:spPr><xdr:txBody><a:bodyPr anchor="ctr"><a:noAutofit/></a:bodyPr><a:p><a:r><a:t>Input Assumptions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11</xdr:col><xdr:colOff>9360</xdr:colOff><xdr:row>10</xdr:row><xdr:rowOff>47520</xdr:rowOff></xdr:from><xdr:to><xdr:col>37</xdr:col><xdr:colOff>9360</xdr:colOff><xdr:row>13</xdr:row><xdr:rowOff>56880</xdr:rowOff></xdr:to><xdr:sp><xdr:nvSpPr><xdr:cNvPr id="1004" name="Check Box 5" descr="Transaction Funds Flow" hidden="0"/><xdr:cNvSpPr/></xdr:nvSpPr><xdr:spPr><a:xfrm><a:off x="0" y="0"/><a:ext cx="0" cy="0"/></a:xfrm><a:prstGeom prst="rect"><a:avLst/></a:prstGeom></xdr:spPr><xdr:txBody><a:bodyPr anchor="ctr"><a:noAutofit/></a:bodyPr><a:p><a:r><a:t>Transaction Funds Flow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11</xdr:col><xdr:colOff>9360</xdr:colOff><xdr:row>21</xdr:row><xdr:rowOff>47880</xdr:rowOff></xdr:from><xdr:to><xdr:col>35</xdr:col><xdr:colOff>9360</xdr:colOff><xdr:row>24</xdr:row><xdr:rowOff>56880</xdr:rowOff></xdr:to><xdr:sp><xdr:nvSpPr><xdr:cNvPr id="1005" name="Check Box 6" descr="Debt Repayment" hidden="0"/><xdr:cNvSpPr/></xdr:nvSpPr><xdr:spPr><a:xfrm><a:off x="0" y="0"/><a:ext cx="0" cy="0"/></a:xfrm><a:prstGeom prst="rect"><a:avLst/></a:prstGeom></xdr:spPr><xdr:txBody><a:bodyPr anchor="ctr"><a:noAutofit/></a:bodyPr><a:p><a:r><a:t>Debt Repayment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11</xdr:col><xdr:colOff>9360</xdr:colOff><xdr:row>24</xdr:row><xdr:rowOff>47520</xdr:rowOff></xdr:from><xdr:to><xdr:col>34</xdr:col><xdr:colOff>9360</xdr:colOff><xdr:row>27</xdr:row><xdr:rowOff>56880</xdr:rowOff></xdr:to><xdr:sp><xdr:nvSpPr><xdr:cNvPr id="1006" name="Check Box 7" descr="Interest Rates" hidden="0"/><xdr:cNvSpPr/></xdr:nvSpPr><xdr:spPr><a:xfrm><a:off x="0" y="0"/><a:ext cx="0" cy="0"/></a:xfrm><a:prstGeom prst="rect"><a:avLst/></a:prstGeom></xdr:spPr><xdr:txBody><a:bodyPr anchor="ctr"><a:noAutofit/></a:bodyPr><a:p><a:r><a:t>Interest Rates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11</xdr:col><xdr:colOff>9360</xdr:colOff><xdr:row>16</xdr:row><xdr:rowOff>47880</xdr:rowOff></xdr:from><xdr:to><xdr:col>36</xdr:col><xdr:colOff>9360</xdr:colOff><xdr:row>19</xdr:row><xdr:rowOff>56880</xdr:rowOff></xdr:to><xdr:sp><xdr:nvSpPr><xdr:cNvPr id="1007" name="Check Box 8" descr="Working Capital/" hidden="0"/><xdr:cNvSpPr/></xdr:nvSpPr><xdr:spPr><a:xfrm><a:off x="0" y="0"/><a:ext cx="0" cy="0"/></a:xfrm><a:prstGeom prst="rect"><a:avLst/></a:prstGeom></xdr:spPr><xdr:txBody><a:bodyPr anchor="ctr"><a:noAutofit/></a:bodyPr><a:p><a:r><a:t>Working Capital/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11</xdr:col><xdr:colOff>9360</xdr:colOff><xdr:row>36</xdr:row><xdr:rowOff>47520</xdr:rowOff></xdr:from><xdr:to><xdr:col>32</xdr:col><xdr:colOff>9360</xdr:colOff><xdr:row>39</xdr:row><xdr:rowOff>57240</xdr:rowOff></xdr:to><xdr:sp><xdr:nvSpPr><xdr:cNvPr id="1008" name="Check Box 10" descr="Tax Assumptions" hidden="0"/><xdr:cNvSpPr/></xdr:nvSpPr><xdr:spPr><a:xfrm><a:off x="0" y="0"/><a:ext cx="0" cy="0"/></a:xfrm><a:prstGeom prst="rect"><a:avLst/></a:prstGeom></xdr:spPr><xdr:txBody><a:bodyPr anchor="ctr"><a:noAutofit/></a:bodyPr><a:p><a:r><a:t>Tax Assumptions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34</xdr:col><xdr:colOff>9360</xdr:colOff><xdr:row>7</xdr:row><xdr:rowOff>47880</xdr:rowOff></xdr:from><xdr:to><xdr:col>57</xdr:col><xdr:colOff>9360</xdr:colOff><xdr:row>10</xdr:row><xdr:rowOff>57240</xdr:rowOff></xdr:to><xdr:sp><xdr:nvSpPr><xdr:cNvPr id="1009" name="Check Box 11" descr="Financial Statements" hidden="0"/><xdr:cNvSpPr/></xdr:nvSpPr><xdr:spPr><a:xfrm><a:off x="0" y="0"/><a:ext cx="0" cy="0"/></a:xfrm><a:prstGeom prst="rect"><a:avLst/></a:prstGeom></xdr:spPr><xdr:txBody><a:bodyPr anchor="ctr"><a:noAutofit/></a:bodyPr><a:p><a:r><a:t>Financial Statements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36</xdr:col><xdr:colOff>9000</xdr:colOff><xdr:row>10</xdr:row><xdr:rowOff>47520</xdr:rowOff></xdr:from><xdr:to><xdr:col>57</xdr:col><xdr:colOff>9360</xdr:colOff><xdr:row>13</xdr:row><xdr:rowOff>56880</xdr:rowOff></xdr:to><xdr:sp><xdr:nvSpPr><xdr:cNvPr id="1010" name="Check Box 12" descr="Overview" hidden="0"/><xdr:cNvSpPr/></xdr:nvSpPr><xdr:spPr><a:xfrm><a:off x="0" y="0"/><a:ext cx="0" cy="0"/></a:xfrm><a:prstGeom prst="rect"><a:avLst/></a:prstGeom></xdr:spPr><xdr:txBody><a:bodyPr anchor="ctr"><a:noAutofit/></a:bodyPr><a:p><a:r><a:t>Overview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36</xdr:col><xdr:colOff>9000</xdr:colOff><xdr:row>13</xdr:row><xdr:rowOff>47520</xdr:rowOff></xdr:from><xdr:to><xdr:col>58</xdr:col><xdr:colOff>9720</xdr:colOff><xdr:row>16</xdr:row><xdr:rowOff>57240</xdr:rowOff></xdr:to><xdr:sp><xdr:nvSpPr><xdr:cNvPr id="1011" name="Check Box 13" descr="Income Statement" hidden="0"/><xdr:cNvSpPr/></xdr:nvSpPr><xdr:spPr><a:xfrm><a:off x="0" y="0"/><a:ext cx="0" cy="0"/></a:xfrm><a:prstGeom prst="rect"><a:avLst/></a:prstGeom></xdr:spPr><xdr:txBody><a:bodyPr anchor="ctr"><a:noAutofit/></a:bodyPr><a:p><a:r><a:t>Income Statement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36</xdr:col><xdr:colOff>9000</xdr:colOff><xdr:row>16</xdr:row><xdr:rowOff>57240</xdr:rowOff></xdr:from><xdr:to><xdr:col>58</xdr:col><xdr:colOff>9720</xdr:colOff><xdr:row>19</xdr:row><xdr:rowOff>66600</xdr:rowOff></xdr:to><xdr:sp><xdr:nvSpPr><xdr:cNvPr id="1012" name="Check Box 14" descr="Common Sized I/S" hidden="0"/><xdr:cNvSpPr/></xdr:nvSpPr><xdr:spPr><a:xfrm><a:off x="0" y="0"/><a:ext cx="0" cy="0"/></a:xfrm><a:prstGeom prst="rect"><a:avLst/></a:prstGeom></xdr:spPr><xdr:txBody><a:bodyPr anchor="ctr"><a:noAutofit/></a:bodyPr><a:p><a:r><a:t>Common Sized I/S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36</xdr:col><xdr:colOff>9000</xdr:colOff><xdr:row>28</xdr:row><xdr:rowOff>47520</xdr:rowOff></xdr:from><xdr:to><xdr:col>57</xdr:col><xdr:colOff>9360</xdr:colOff><xdr:row>31</xdr:row><xdr:rowOff>57240</xdr:rowOff></xdr:to><xdr:sp><xdr:nvSpPr><xdr:cNvPr id="1013" name="Check Box 15" descr="Balance Sheet" hidden="0"/><xdr:cNvSpPr/></xdr:nvSpPr><xdr:spPr><a:xfrm><a:off x="0" y="0"/><a:ext cx="0" cy="0"/></a:xfrm><a:prstGeom prst="rect"><a:avLst/></a:prstGeom></xdr:spPr><xdr:txBody><a:bodyPr anchor="ctr"><a:noAutofit/></a:bodyPr><a:p><a:r><a:t>Balance Sheet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36</xdr:col><xdr:colOff>9000</xdr:colOff><xdr:row>22</xdr:row><xdr:rowOff>47520</xdr:rowOff></xdr:from><xdr:to><xdr:col>57</xdr:col><xdr:colOff>9360</xdr:colOff><xdr:row>25</xdr:row><xdr:rowOff>57240</xdr:rowOff></xdr:to><xdr:sp><xdr:nvSpPr><xdr:cNvPr id="1014" name="Check Box 16" descr="Cash Flow Statement" hidden="0"/><xdr:cNvSpPr/></xdr:nvSpPr><xdr:spPr><a:xfrm><a:off x="0" y="0"/><a:ext cx="0" cy="0"/></a:xfrm><a:prstGeom prst="rect"><a:avLst/></a:prstGeom></xdr:spPr><xdr:txBody><a:bodyPr anchor="ctr"><a:noAutofit/></a:bodyPr><a:p><a:r><a:t>Cash Flow Statement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11</xdr:col><xdr:colOff>9360</xdr:colOff><xdr:row>33</xdr:row><xdr:rowOff>47520</xdr:rowOff></xdr:from><xdr:to><xdr:col>30</xdr:col><xdr:colOff>9360</xdr:colOff><xdr:row>36</xdr:row><xdr:rowOff>56880</xdr:rowOff></xdr:to><xdr:sp><xdr:nvSpPr><xdr:cNvPr id="1015" name="Check Box 17" descr="ESOP Assumptions" hidden="0"/><xdr:cNvSpPr/></xdr:nvSpPr><xdr:spPr><a:xfrm><a:off x="0" y="0"/><a:ext cx="0" cy="0"/></a:xfrm><a:prstGeom prst="rect"><a:avLst/></a:prstGeom></xdr:spPr><xdr:txBody><a:bodyPr anchor="ctr"><a:noAutofit/></a:bodyPr><a:p><a:r><a:t>ESOP Assumptions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36</xdr:col><xdr:colOff>9000</xdr:colOff><xdr:row>25</xdr:row><xdr:rowOff>47880</xdr:rowOff></xdr:from><xdr:to><xdr:col>59</xdr:col><xdr:colOff>9360</xdr:colOff><xdr:row>28</xdr:row><xdr:rowOff>56880</xdr:rowOff></xdr:to><xdr:sp><xdr:nvSpPr><xdr:cNvPr id="1016" name="Check Box 18" descr="Opening Balance Sheet" hidden="0"/><xdr:cNvSpPr/></xdr:nvSpPr><xdr:spPr><a:xfrm><a:off x="0" y="0"/><a:ext cx="0" cy="0"/></a:xfrm><a:prstGeom prst="rect"><a:avLst/></a:prstGeom></xdr:spPr><xdr:txBody><a:bodyPr anchor="ctr"><a:noAutofit/></a:bodyPr><a:p><a:r><a:t>Opening Balance Sheet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36</xdr:col><xdr:colOff>18360</xdr:colOff><xdr:row>31</xdr:row><xdr:rowOff>57240</xdr:rowOff></xdr:from><xdr:to><xdr:col>63</xdr:col><xdr:colOff>18720</xdr:colOff><xdr:row>34</xdr:row><xdr:rowOff>66600</xdr:rowOff></xdr:to><xdr:sp><xdr:nvSpPr><xdr:cNvPr id="1017" name="Check Box 19" descr="Capitalization" hidden="0"/><xdr:cNvSpPr/></xdr:nvSpPr><xdr:spPr><a:xfrm><a:off x="0" y="0"/><a:ext cx="0" cy="0"/></a:xfrm><a:prstGeom prst="rect"><a:avLst/></a:prstGeom></xdr:spPr><xdr:txBody><a:bodyPr anchor="ctr"><a:noAutofit/></a:bodyPr><a:p><a:r><a:t>Capitalization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36</xdr:col><xdr:colOff>9000</xdr:colOff><xdr:row>34</xdr:row><xdr:rowOff>47520</xdr:rowOff></xdr:from><xdr:to><xdr:col>59</xdr:col><xdr:colOff>9360</xdr:colOff><xdr:row>37</xdr:row><xdr:rowOff>56880</xdr:rowOff></xdr:to><xdr:sp><xdr:nvSpPr><xdr:cNvPr id="1018" name="Check Box 20" descr="Income Taxes" hidden="0"/><xdr:cNvSpPr/></xdr:nvSpPr><xdr:spPr><a:xfrm><a:off x="0" y="0"/><a:ext cx="0" cy="0"/></a:xfrm><a:prstGeom prst="rect"><a:avLst/></a:prstGeom></xdr:spPr><xdr:txBody><a:bodyPr anchor="ctr"><a:noAutofit/></a:bodyPr><a:p><a:r><a:t>Income Taxes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62</xdr:col><xdr:colOff>9360</xdr:colOff><xdr:row>7</xdr:row><xdr:rowOff>47880</xdr:rowOff></xdr:from><xdr:to><xdr:col>80</xdr:col><xdr:colOff>9720</xdr:colOff><xdr:row>10</xdr:row><xdr:rowOff>57240</xdr:rowOff></xdr:to><xdr:sp><xdr:nvSpPr><xdr:cNvPr id="1019" name="Check Box 21" descr="Other Analyses" hidden="0"/><xdr:cNvSpPr/></xdr:nvSpPr><xdr:spPr><a:xfrm><a:off x="0" y="0"/><a:ext cx="0" cy="0"/></a:xfrm><a:prstGeom prst="rect"><a:avLst/></a:prstGeom></xdr:spPr><xdr:txBody><a:bodyPr anchor="ctr"><a:noAutofit/></a:bodyPr><a:p><a:r><a:t>Other Analyses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64</xdr:col><xdr:colOff>9000</xdr:colOff><xdr:row>10</xdr:row><xdr:rowOff>47520</xdr:rowOff></xdr:from><xdr:to><xdr:col>82</xdr:col><xdr:colOff>9360</xdr:colOff><xdr:row>13</xdr:row><xdr:rowOff>56880</xdr:rowOff></xdr:to><xdr:sp><xdr:nvSpPr><xdr:cNvPr id="1020" name="Check Box 22" descr="Returns Analysis" hidden="0"/><xdr:cNvSpPr/></xdr:nvSpPr><xdr:spPr><a:xfrm><a:off x="0" y="0"/><a:ext cx="0" cy="0"/></a:xfrm><a:prstGeom prst="rect"><a:avLst/></a:prstGeom></xdr:spPr><xdr:txBody><a:bodyPr anchor="ctr"><a:noAutofit/></a:bodyPr><a:p><a:r><a:t>Returns Analysis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64</xdr:col><xdr:colOff>9000</xdr:colOff><xdr:row>13</xdr:row><xdr:rowOff>47520</xdr:rowOff></xdr:from><xdr:to><xdr:col>82</xdr:col><xdr:colOff>9360</xdr:colOff><xdr:row>16</xdr:row><xdr:rowOff>57240</xdr:rowOff></xdr:to><xdr:sp><xdr:nvSpPr><xdr:cNvPr id="1021" name="Check Box 23" descr="DCF Analysis" hidden="0"/><xdr:cNvSpPr/></xdr:nvSpPr><xdr:spPr><a:xfrm><a:off x="0" y="0"/><a:ext cx="0" cy="0"/></a:xfrm><a:prstGeom prst="rect"><a:avLst/></a:prstGeom></xdr:spPr><xdr:txBody><a:bodyPr anchor="ctr"><a:noAutofit/></a:bodyPr><a:p><a:r><a:t>DCF Analysis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62</xdr:col><xdr:colOff>9360</xdr:colOff><xdr:row>17</xdr:row><xdr:rowOff>47520</xdr:rowOff></xdr:from><xdr:to><xdr:col>79</xdr:col><xdr:colOff>9360</xdr:colOff><xdr:row>20</xdr:row><xdr:rowOff>57240</xdr:rowOff></xdr:to><xdr:sp><xdr:nvSpPr><xdr:cNvPr id="1022" name="Check Box 24" descr="Print Everything" hidden="0"/><xdr:cNvSpPr/></xdr:nvSpPr><xdr:spPr><a:xfrm><a:off x="0" y="0"/><a:ext cx="0" cy="0"/></a:xfrm><a:prstGeom prst="rect"><a:avLst/></a:prstGeom></xdr:spPr><xdr:txBody><a:bodyPr anchor="ctr"><a:noAutofit/></a:bodyPr><a:p><a:r><a:t>Print Everything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11</xdr:col><xdr:colOff>9360</xdr:colOff><xdr:row>13</xdr:row><xdr:rowOff>47520</xdr:rowOff></xdr:from><xdr:to><xdr:col>33</xdr:col><xdr:colOff>9720</xdr:colOff><xdr:row>16</xdr:row><xdr:rowOff>57240</xdr:rowOff></xdr:to><xdr:sp><xdr:nvSpPr><xdr:cNvPr id="1023" name="Check Box 27" descr="Transaction Fees" hidden="0"/><xdr:cNvSpPr/></xdr:nvSpPr><xdr:spPr><a:xfrm><a:off x="0" y="0"/><a:ext cx="0" cy="0"/></a:xfrm><a:prstGeom prst="rect"><a:avLst/></a:prstGeom></xdr:spPr><xdr:txBody><a:bodyPr anchor="ctr"><a:noAutofit/></a:bodyPr><a:p><a:r><a:t>Transaction Fees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11</xdr:col><xdr:colOff>9360</xdr:colOff><xdr:row>27</xdr:row><xdr:rowOff>47520</xdr:rowOff></xdr:from><xdr:to><xdr:col>32</xdr:col><xdr:colOff>9360</xdr:colOff><xdr:row>30</xdr:row><xdr:rowOff>57240</xdr:rowOff></xdr:to><xdr:sp><xdr:nvSpPr><xdr:cNvPr id="1024" name="Check Box 29" descr="Other Income Items" hidden="0"/><xdr:cNvSpPr/></xdr:nvSpPr><xdr:spPr><a:xfrm><a:off x="0" y="0"/><a:ext cx="0" cy="0"/></a:xfrm><a:prstGeom prst="rect"><a:avLst/></a:prstGeom></xdr:spPr><xdr:txBody><a:bodyPr anchor="ctr"><a:noAutofit/></a:bodyPr><a:p><a:r><a:t>Other Income Items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11</xdr:col><xdr:colOff>18720</xdr:colOff><xdr:row>30</xdr:row><xdr:rowOff>47880</xdr:rowOff></xdr:from><xdr:to><xdr:col>30</xdr:col><xdr:colOff>19080</xdr:colOff><xdr:row>33</xdr:row><xdr:rowOff>56880</xdr:rowOff></xdr:to><xdr:sp><xdr:nvSpPr><xdr:cNvPr id="1025" name="Check Box 30" descr="Asset Sales" hidden="0"/><xdr:cNvSpPr/></xdr:nvSpPr><xdr:spPr><a:xfrm><a:off x="0" y="0"/><a:ext cx="0" cy="0"/></a:xfrm><a:prstGeom prst="rect"><a:avLst/></a:prstGeom></xdr:spPr><xdr:txBody><a:bodyPr anchor="ctr"><a:noAutofit/></a:bodyPr><a:p><a:r><a:t>Asset Sales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36</xdr:col><xdr:colOff>9000</xdr:colOff><xdr:row>19</xdr:row><xdr:rowOff>47520</xdr:rowOff></xdr:from><xdr:to><xdr:col>55</xdr:col><xdr:colOff>9720</xdr:colOff><xdr:row>22</xdr:row><xdr:rowOff>56880</xdr:rowOff></xdr:to><xdr:sp><xdr:nvSpPr><xdr:cNvPr id="1026" name="Check Box 31" descr="Sources &amp; Uses" hidden="0"/><xdr:cNvSpPr/></xdr:nvSpPr><xdr:spPr><a:xfrm><a:off x="0" y="0"/><a:ext cx="0" cy="0"/></a:xfrm><a:prstGeom prst="rect"><a:avLst/></a:prstGeom></xdr:spPr><xdr:txBody><a:bodyPr anchor="ctr"><a:noAutofit/></a:bodyPr><a:p><a:r><a:t>Sources & Uses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14</xdr:col><xdr:colOff>9000</xdr:colOff><xdr:row>18</xdr:row><xdr:rowOff>47520</xdr:rowOff></xdr:from><xdr:to><xdr:col>29</xdr:col><xdr:colOff>9360</xdr:colOff><xdr:row>21</xdr:row><xdr:rowOff>19080</xdr:rowOff></xdr:to><xdr:sp><xdr:nvSpPr><xdr:cNvPr id="0" name="Label 32" descr="Borrowing Base" hidden="0"/><xdr:cNvSpPr/></xdr:nvSpPr><xdr:spPr><a:xfrm><a:off x="0" y="0"/><a:ext cx="0" cy="0"/></a:xfrm><a:prstGeom prst="rect"><a:avLst/></a:prstGeom></xdr:spPr><xdr:txBody><a:bodyPr anchor="ctr"><a:noAutofit/></a:bodyPr><a:p><a:r><a:t>Borrowing Base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62</xdr:col><xdr:colOff>28080</xdr:colOff><xdr:row>30</xdr:row><xdr:rowOff>57240</xdr:rowOff></xdr:from><xdr:to><xdr:col>81</xdr:col><xdr:colOff>28080</xdr:colOff><xdr:row>35</xdr:row><xdr:rowOff>19080</xdr:rowOff></xdr:to><xdr:sp><xdr:nvSpPr><xdr:cNvPr id="0" name="Label 33" descr="Print delay in seconds&#10;(default = 6)" hidden="0"/><xdr:cNvSpPr/></xdr:nvSpPr><xdr:spPr><a:xfrm><a:off x="0" y="0"/><a:ext cx="0" cy="0"/></a:xfrm><a:prstGeom prst="rect"><a:avLst/></a:prstGeom></xdr:spPr><xdr:txBody><a:bodyPr anchor="ctr"><a:noAutofit/></a:bodyPr><a:p><a:r><a:t>Print delay in seconds
(default = 6)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61</xdr:col><xdr:colOff>55800</xdr:colOff><xdr:row>30</xdr:row><xdr:rowOff>57240</xdr:rowOff></xdr:from><xdr:to><xdr:col>81</xdr:col><xdr:colOff>46800</xdr:colOff><xdr:row>39</xdr:row><xdr:rowOff>19080</xdr:rowOff></xdr:to><xdr:sp><xdr:nvSpPr><xdr:cNvPr id="0" name="Group Box 35" descr="" hidden="0"/><xdr:cNvSpPr/></xdr:nvSpPr><xdr:spPr><a:xfrm><a:off x="0" y="0"/><a:ext cx="0" cy="0"/></a:xfrm><a:prstGeom prst="rect"><a:avLst/></a:prstGeom></xdr:spPr><xdr:txBody><a:bodyPr anchor="ctr"><a:noAutofit/></a:bodyPr><a:p><a:r><a:t></a:t></a:r></a:p></xdr:txBody></xdr:sp><xdr:clientData/></xdr:twoCellAnchor></mc:Choice></mc:AlternateContent>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1</xdr:col>
          <xdr:colOff>720</xdr:colOff>
          <xdr:row>1</xdr:row>
          <xdr:rowOff>0</xdr:rowOff>
        </xdr:to>
        <xdr:sp>
          <xdr:nvSpPr>
            <xdr:cNvPr id="1001" name="Button 5" descr="Print...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Print...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0</xdr:row>
          <xdr:rowOff>0</xdr:rowOff>
        </xdr:from>
        <xdr:to>
          <xdr:col>2</xdr:col>
          <xdr:colOff>720</xdr:colOff>
          <xdr:row>1</xdr:row>
          <xdr:rowOff>0</xdr:rowOff>
        </xdr:to>
        <xdr:sp>
          <xdr:nvSpPr>
            <xdr:cNvPr id="1002" name="Button 6" descr="Go To...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Go To...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9360</xdr:colOff>
          <xdr:row>1</xdr:row>
          <xdr:rowOff>9720</xdr:rowOff>
        </xdr:from>
        <xdr:to>
          <xdr:col>2</xdr:col>
          <xdr:colOff>179640</xdr:colOff>
          <xdr:row>2</xdr:row>
          <xdr:rowOff>56880</xdr:rowOff>
        </xdr:to>
        <xdr:sp>
          <xdr:nvSpPr>
            <xdr:cNvPr id="1003" name="Check Box 7" descr="Include Going Concern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Include Going Concern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94320</xdr:colOff>
          <xdr:row>826</xdr:row>
          <xdr:rowOff>123840</xdr:rowOff>
        </xdr:from>
        <xdr:to>
          <xdr:col>7</xdr:col>
          <xdr:colOff>-55800</xdr:colOff>
          <xdr:row>827</xdr:row>
          <xdr:rowOff>142920</xdr:rowOff>
        </xdr:to>
        <xdr:sp>
          <xdr:nvSpPr>
            <xdr:cNvPr id="1004" name="Button 19" descr="Test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Test</a:t>
              </a:r>
            </a:p>
          </xdr:txBody>
        </xdr:sp>
        <xdr:clientData/>
      </xdr:twoCellAnchor>
    </mc:Choice>
  </mc:AlternateContent>
</xdr:wsDr>
</file>

<file path=xl/drawings/drawing56.xml><?xml version="1.0" encoding="UTF-8" standalone="yes"?>
<xdr:wsDr xmlns:xdr="http://schemas.openxmlformats.org/drawingml/2006/spreadsheetDrawing" xmlns:a="http://schemas.openxmlformats.org/drawingml/2006/main" xmlns:r="http://schemas.openxmlformats.org/officeDocument/2006/relationships"><mc:AlternateContent xmlns:mc="http://schemas.openxmlformats.org/markup-compatibility/2006"><mc:Choice xmlns:a14="http://schemas.microsoft.com/office/drawing/2010/main" Requires="a14"><xdr:twoCellAnchor editAs="oneCell"><xdr:from><xdr:col>23</xdr:col><xdr:colOff>0</xdr:colOff><xdr:row>0</xdr:row><xdr:rowOff>0</xdr:rowOff></xdr:from><xdr:to><xdr:col>64</xdr:col><xdr:colOff>65160</xdr:colOff><xdr:row>43</xdr:row><xdr:rowOff>66600</xdr:rowOff></xdr:to><xdr:sp><xdr:nvSpPr><xdr:cNvPr id="0" name="Dialog Frame 1" descr="Oil &amp; Gas Print Selection" hidden="0"/><xdr:cNvSpPr/></xdr:nvSpPr><xdr:spPr><a:xfrm><a:off x="0" y="0"/><a:ext cx="0" cy="0"/></a:xfrm><a:prstGeom prst="rect"><a:avLst/></a:prstGeom></xdr:spPr><xdr:txBody><a:bodyPr anchor="ctr"><a:noAutofit/></a:bodyPr><a:p><a:r><a:t>Oil & Gas Print Selection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53</xdr:col><xdr:colOff>0</xdr:colOff><xdr:row>35</xdr:row><xdr:rowOff>0</xdr:rowOff></xdr:from><xdr:to><xdr:col>62</xdr:col><xdr:colOff>65520</xdr:colOff><xdr:row>37</xdr:row><xdr:rowOff>66600</xdr:rowOff></xdr:to><xdr:sp><xdr:nvSpPr><xdr:cNvPr id="1001" name="Button 2" descr="OK" hidden="0"/><xdr:cNvSpPr/></xdr:nvSpPr><xdr:spPr><a:xfrm><a:off x="0" y="0"/><a:ext cx="0" cy="0"/></a:xfrm><a:prstGeom prst="rect"><a:avLst/></a:prstGeom></xdr:spPr><xdr:txBody><a:bodyPr anchor="ctr"><a:noAutofit/></a:bodyPr><a:p><a:r><a:t>OK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53</xdr:col><xdr:colOff>0</xdr:colOff><xdr:row>39</xdr:row><xdr:rowOff>0</xdr:rowOff></xdr:from><xdr:to><xdr:col>62</xdr:col><xdr:colOff>65520</xdr:colOff><xdr:row>41</xdr:row><xdr:rowOff>66600</xdr:rowOff></xdr:to><xdr:sp><xdr:nvSpPr><xdr:cNvPr id="1002" name="Button 3" descr="Cancel" hidden="0"/><xdr:cNvSpPr/></xdr:nvSpPr><xdr:spPr><a:xfrm><a:off x="0" y="0"/><a:ext cx="0" cy="0"/></a:xfrm><a:prstGeom prst="rect"><a:avLst/></a:prstGeom></xdr:spPr><xdr:txBody><a:bodyPr anchor="ctr"><a:noAutofit/></a:bodyPr><a:p><a:r><a:t>Cancel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25</xdr:col><xdr:colOff>0</xdr:colOff><xdr:row>4</xdr:row><xdr:rowOff>0</xdr:rowOff></xdr:from><xdr:to><xdr:col>52</xdr:col><xdr:colOff>360</xdr:colOff><xdr:row>7</xdr:row><xdr:rowOff>9720</xdr:rowOff></xdr:to><xdr:sp><xdr:nvSpPr><xdr:cNvPr id="1003" name="Check Box 4" descr="Print Everything" hidden="0"/><xdr:cNvSpPr/></xdr:nvSpPr><xdr:spPr><a:xfrm><a:off x="0" y="0"/><a:ext cx="0" cy="0"/></a:xfrm><a:prstGeom prst="rect"><a:avLst/></a:prstGeom></xdr:spPr><xdr:txBody><a:bodyPr anchor="ctr"><a:noAutofit/></a:bodyPr><a:p><a:r><a:t>Print Everything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27</xdr:col><xdr:colOff>0</xdr:colOff><xdr:row>13</xdr:row><xdr:rowOff>0</xdr:rowOff></xdr:from><xdr:to><xdr:col>52</xdr:col><xdr:colOff>360</xdr:colOff><xdr:row>16</xdr:row><xdr:rowOff>9720</xdr:rowOff></xdr:to><xdr:sp><xdr:nvSpPr><xdr:cNvPr id="1004" name="Check Box 5" descr="Depreciation Parameters" hidden="0"/><xdr:cNvSpPr/></xdr:nvSpPr><xdr:spPr><a:xfrm><a:off x="0" y="0"/><a:ext cx="0" cy="0"/></a:xfrm><a:prstGeom prst="rect"><a:avLst/></a:prstGeom></xdr:spPr><xdr:txBody><a:bodyPr anchor="ctr"><a:noAutofit/></a:bodyPr><a:p><a:r><a:t>Depreciation Parameters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27</xdr:col><xdr:colOff>0</xdr:colOff><xdr:row>7</xdr:row><xdr:rowOff>0</xdr:rowOff></xdr:from><xdr:to><xdr:col>52</xdr:col><xdr:colOff>360</xdr:colOff><xdr:row>10</xdr:row><xdr:rowOff>9720</xdr:rowOff></xdr:to><xdr:sp><xdr:nvSpPr><xdr:cNvPr id="1005" name="Check Box 6" descr="Capital Expenditure Input" hidden="0"/><xdr:cNvSpPr/></xdr:nvSpPr><xdr:spPr><a:xfrm><a:off x="0" y="0"/><a:ext cx="0" cy="0"/></a:xfrm><a:prstGeom prst="rect"><a:avLst/></a:prstGeom></xdr:spPr><xdr:txBody><a:bodyPr anchor="ctr"><a:noAutofit/></a:bodyPr><a:p><a:r><a:t>Capital Expenditure Input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27</xdr:col><xdr:colOff>0</xdr:colOff><xdr:row>16</xdr:row><xdr:rowOff>0</xdr:rowOff></xdr:from><xdr:to><xdr:col>53</xdr:col><xdr:colOff>65520</xdr:colOff><xdr:row>19</xdr:row><xdr:rowOff>9720</xdr:rowOff></xdr:to><xdr:sp><xdr:nvSpPr><xdr:cNvPr id="1006" name="Check Box 7" descr="Depreciation Schedule" hidden="0"/><xdr:cNvSpPr/></xdr:nvSpPr><xdr:spPr><a:xfrm><a:off x="0" y="0"/><a:ext cx="0" cy="0"/></a:xfrm><a:prstGeom prst="rect"><a:avLst/></a:prstGeom></xdr:spPr><xdr:txBody><a:bodyPr anchor="ctr"><a:noAutofit/></a:bodyPr><a:p><a:r><a:t>Depreciation Schedule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27</xdr:col><xdr:colOff>0</xdr:colOff><xdr:row>22</xdr:row><xdr:rowOff>0</xdr:rowOff></xdr:from><xdr:to><xdr:col>49</xdr:col><xdr:colOff>65520</xdr:colOff><xdr:row>25</xdr:row><xdr:rowOff>9720</xdr:rowOff></xdr:to><xdr:sp><xdr:nvSpPr><xdr:cNvPr id="1007" name="Check Box 8" descr="Fixed Asset Summary" hidden="0"/><xdr:cNvSpPr/></xdr:nvSpPr><xdr:spPr><a:xfrm><a:off x="0" y="0"/><a:ext cx="0" cy="0"/></a:xfrm><a:prstGeom prst="rect"><a:avLst/></a:prstGeom></xdr:spPr><xdr:txBody><a:bodyPr anchor="ctr"><a:noAutofit/></a:bodyPr><a:p><a:r><a:t>Fixed Asset Summary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27</xdr:col><xdr:colOff>0</xdr:colOff><xdr:row>25</xdr:row><xdr:rowOff>0</xdr:rowOff></xdr:from><xdr:to><xdr:col>47</xdr:col><xdr:colOff>65520</xdr:colOff><xdr:row>28</xdr:row><xdr:rowOff>9720</xdr:rowOff></xdr:to><xdr:sp><xdr:nvSpPr><xdr:cNvPr id="1008" name="Check Box 9" descr="Escalation Factors" hidden="0"/><xdr:cNvSpPr/></xdr:nvSpPr><xdr:spPr><a:xfrm><a:off x="0" y="0"/><a:ext cx="0" cy="0"/></a:xfrm><a:prstGeom prst="rect"><a:avLst/></a:prstGeom></xdr:spPr><xdr:txBody><a:bodyPr anchor="ctr"><a:noAutofit/></a:bodyPr><a:p><a:r><a:t>Escalation Factors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27</xdr:col><xdr:colOff>0</xdr:colOff><xdr:row>31</xdr:row><xdr:rowOff>0</xdr:rowOff></xdr:from><xdr:to><xdr:col>58</xdr:col><xdr:colOff>360</xdr:colOff><xdr:row>34</xdr:row><xdr:rowOff>9720</xdr:rowOff></xdr:to><xdr:sp><xdr:nvSpPr><xdr:cNvPr id="1009" name="Check Box 10" descr="Oil &amp; Gas Volumes and Revenue" hidden="0"/><xdr:cNvSpPr/></xdr:nvSpPr><xdr:spPr><a:xfrm><a:off x="0" y="0"/><a:ext cx="0" cy="0"/></a:xfrm><a:prstGeom prst="rect"><a:avLst/></a:prstGeom></xdr:spPr><xdr:txBody><a:bodyPr anchor="ctr"><a:noAutofit/></a:bodyPr><a:p><a:r><a:t>Oil & Gas Volumes and Revenue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27</xdr:col><xdr:colOff>0</xdr:colOff><xdr:row>37</xdr:row><xdr:rowOff>0</xdr:rowOff></xdr:from><xdr:to><xdr:col>52</xdr:col><xdr:colOff>360</xdr:colOff><xdr:row>40</xdr:row><xdr:rowOff>9720</xdr:rowOff></xdr:to><xdr:sp><xdr:nvSpPr><xdr:cNvPr id="1010" name="Check Box 11" descr="Expense Items" hidden="0"/><xdr:cNvSpPr/></xdr:nvSpPr><xdr:spPr><a:xfrm><a:off x="0" y="0"/><a:ext cx="0" cy="0"/></a:xfrm><a:prstGeom prst="rect"><a:avLst/></a:prstGeom></xdr:spPr><xdr:txBody><a:bodyPr anchor="ctr"><a:noAutofit/></a:bodyPr><a:p><a:r><a:t>Expense Items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27</xdr:col><xdr:colOff>0</xdr:colOff><xdr:row>19</xdr:row><xdr:rowOff>0</xdr:rowOff></xdr:from><xdr:to><xdr:col>49</xdr:col><xdr:colOff>65520</xdr:colOff><xdr:row>22</xdr:row><xdr:rowOff>9360</xdr:rowOff></xdr:to><xdr:sp><xdr:nvSpPr><xdr:cNvPr id="1011" name="Check Box 12" descr="Depletion Analysis" hidden="0"/><xdr:cNvSpPr/></xdr:nvSpPr><xdr:spPr><a:xfrm><a:off x="0" y="0"/><a:ext cx="0" cy="0"/></a:xfrm><a:prstGeom prst="rect"><a:avLst/></a:prstGeom></xdr:spPr><xdr:txBody><a:bodyPr anchor="ctr"><a:noAutofit/></a:bodyPr><a:p><a:r><a:t>Depletion Analysis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27</xdr:col><xdr:colOff>0</xdr:colOff><xdr:row>28</xdr:row><xdr:rowOff>0</xdr:rowOff></xdr:from><xdr:to><xdr:col>49</xdr:col><xdr:colOff>360</xdr:colOff><xdr:row>31</xdr:row><xdr:rowOff>9720</xdr:rowOff></xdr:to><xdr:sp><xdr:nvSpPr><xdr:cNvPr id="1012" name="Check Box 13" descr="Oil &amp; Gas Prices" hidden="0"/><xdr:cNvSpPr/></xdr:nvSpPr><xdr:spPr><a:xfrm><a:off x="0" y="0"/><a:ext cx="0" cy="0"/></a:xfrm><a:prstGeom prst="rect"><a:avLst/></a:prstGeom></xdr:spPr><xdr:txBody><a:bodyPr anchor="ctr"><a:noAutofit/></a:bodyPr><a:p><a:r><a:t>Oil & Gas Prices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27</xdr:col><xdr:colOff>0</xdr:colOff><xdr:row>10</xdr:row><xdr:rowOff>0</xdr:rowOff></xdr:from><xdr:to><xdr:col>58</xdr:col><xdr:colOff>360</xdr:colOff><xdr:row>13</xdr:row><xdr:rowOff>9360</xdr:rowOff></xdr:to><xdr:sp><xdr:nvSpPr><xdr:cNvPr id="1013" name="Check Box 14" descr="Capital Expenditure Simulation" hidden="0"/><xdr:cNvSpPr/></xdr:nvSpPr><xdr:spPr><a:xfrm><a:off x="0" y="0"/><a:ext cx="0" cy="0"/></a:xfrm><a:prstGeom prst="rect"><a:avLst/></a:prstGeom></xdr:spPr><xdr:txBody><a:bodyPr anchor="ctr"><a:noAutofit/></a:bodyPr><a:p><a:r><a:t>Capital Expenditure Simulation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27</xdr:col><xdr:colOff>0</xdr:colOff><xdr:row>34</xdr:row><xdr:rowOff>0</xdr:rowOff></xdr:from><xdr:to><xdr:col>49</xdr:col><xdr:colOff>65520</xdr:colOff><xdr:row>37</xdr:row><xdr:rowOff>9360</xdr:rowOff></xdr:to><xdr:sp><xdr:nvSpPr><xdr:cNvPr id="1014" name="Check Box 15" descr="Oil &amp; Gas Summary" hidden="0"/><xdr:cNvSpPr/></xdr:nvSpPr><xdr:spPr><a:xfrm><a:off x="0" y="0"/><a:ext cx="0" cy="0"/></a:xfrm><a:prstGeom prst="rect"><a:avLst/></a:prstGeom></xdr:spPr><xdr:txBody><a:bodyPr anchor="ctr"><a:noAutofit/></a:bodyPr><a:p><a:r><a:t>Oil & Gas Summary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27</xdr:col><xdr:colOff>0</xdr:colOff><xdr:row>40</xdr:row><xdr:rowOff>0</xdr:rowOff></xdr:from><xdr:to><xdr:col>49</xdr:col><xdr:colOff>360</xdr:colOff><xdr:row>43</xdr:row><xdr:rowOff>9720</xdr:rowOff></xdr:to><xdr:sp><xdr:nvSpPr><xdr:cNvPr id="1015" name="Check Box 16" descr="Calculation of Multiple" hidden="0"/><xdr:cNvSpPr/></xdr:nvSpPr><xdr:spPr><a:xfrm><a:off x="0" y="0"/><a:ext cx="0" cy="0"/></a:xfrm><a:prstGeom prst="rect"><a:avLst/></a:prstGeom></xdr:spPr><xdr:txBody><a:bodyPr anchor="ctr"><a:noAutofit/></a:bodyPr><a:p><a:r><a:t>Calculation of Multiple</a:t></a:r></a:p></xdr:txBody></xdr:sp><xdr:clientData/></xdr:twoCellAnchor></mc:Choice></mc:AlternateContent></xdr:wsDr>
</file>

<file path=xl/drawings/drawing7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0</xdr:colOff>
          <xdr:row>3</xdr:row>
          <xdr:rowOff>0</xdr:rowOff>
        </xdr:from>
        <xdr:to>
          <xdr:col>75</xdr:col>
          <xdr:colOff>65520</xdr:colOff>
          <xdr:row>22</xdr:row>
          <xdr:rowOff>56880</xdr:rowOff>
        </xdr:to>
        <xdr:sp>
          <xdr:nvSpPr>
            <xdr:cNvPr id="0" name="Dialog Frame 1" descr="Go To...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Go To...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63</xdr:col>
          <xdr:colOff>0</xdr:colOff>
          <xdr:row>11</xdr:row>
          <xdr:rowOff>0</xdr:rowOff>
        </xdr:from>
        <xdr:to>
          <xdr:col>72</xdr:col>
          <xdr:colOff>65520</xdr:colOff>
          <xdr:row>13</xdr:row>
          <xdr:rowOff>66600</xdr:rowOff>
        </xdr:to>
        <xdr:sp>
          <xdr:nvSpPr>
            <xdr:cNvPr id="1001" name="Button 2" descr="OK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OK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63</xdr:col>
          <xdr:colOff>0</xdr:colOff>
          <xdr:row>15</xdr:row>
          <xdr:rowOff>0</xdr:rowOff>
        </xdr:from>
        <xdr:to>
          <xdr:col>72</xdr:col>
          <xdr:colOff>65520</xdr:colOff>
          <xdr:row>17</xdr:row>
          <xdr:rowOff>66600</xdr:rowOff>
        </xdr:to>
        <xdr:sp>
          <xdr:nvSpPr>
            <xdr:cNvPr id="1002" name="Button 3" descr="Cancel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Cancel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401400</xdr:colOff>
          <xdr:row>2</xdr:row>
          <xdr:rowOff>152280</xdr:rowOff>
        </xdr:from>
        <xdr:to>
          <xdr:col>6</xdr:col>
          <xdr:colOff>28440</xdr:colOff>
          <xdr:row>8</xdr:row>
          <xdr:rowOff>114480</xdr:rowOff>
        </xdr:to>
        <xdr:sp>
          <xdr:nvSpPr>
            <xdr:cNvPr id="0" name="List Box 5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</xdr:wsDr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1</xdr:col>
          <xdr:colOff>9720</xdr:colOff>
          <xdr:row>1</xdr:row>
          <xdr:rowOff>0</xdr:rowOff>
        </xdr:to>
        <xdr:sp>
          <xdr:nvSpPr>
            <xdr:cNvPr id="1001" name="Button 15" descr="Print...&#10;Print...&#10;Print&#10;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Print...
Print...
Print
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9000</xdr:colOff>
          <xdr:row>0</xdr:row>
          <xdr:rowOff>0</xdr:rowOff>
        </xdr:from>
        <xdr:to>
          <xdr:col>2</xdr:col>
          <xdr:colOff>360</xdr:colOff>
          <xdr:row>1</xdr:row>
          <xdr:rowOff>0</xdr:rowOff>
        </xdr:to>
        <xdr:sp>
          <xdr:nvSpPr>
            <xdr:cNvPr id="1002" name="Button 35" descr="Go To...&#10;&#10;Mov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Go To...
Move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9000</xdr:colOff>
          <xdr:row>1</xdr:row>
          <xdr:rowOff>0</xdr:rowOff>
        </xdr:from>
        <xdr:to>
          <xdr:col>2</xdr:col>
          <xdr:colOff>360</xdr:colOff>
          <xdr:row>2</xdr:row>
          <xdr:rowOff>0</xdr:rowOff>
        </xdr:to>
        <xdr:sp>
          <xdr:nvSpPr>
            <xdr:cNvPr id="1003" name="Button 37" descr="Optimiz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Optimize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1</xdr:row>
          <xdr:rowOff>0</xdr:rowOff>
        </xdr:from>
        <xdr:to>
          <xdr:col>1</xdr:col>
          <xdr:colOff>9720</xdr:colOff>
          <xdr:row>2</xdr:row>
          <xdr:rowOff>0</xdr:rowOff>
        </xdr:to>
        <xdr:sp>
          <xdr:nvSpPr>
            <xdr:cNvPr id="1004" name="Button 38" descr="Set Calc...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Set Calc...</a:t>
              </a:r>
            </a:p>
          </xdr:txBody>
        </xdr:sp>
        <xdr:clientData/>
      </xdr:twoCellAnchor>
    </mc:Choice>
  </mc:AlternateContent>
  <xdr:twoCellAnchor editAs="oneCell">
    <xdr:from>
      <xdr:col>15</xdr:col>
      <xdr:colOff>207000</xdr:colOff>
      <xdr:row>390</xdr:row>
      <xdr:rowOff>76680</xdr:rowOff>
    </xdr:from>
    <xdr:to>
      <xdr:col>16</xdr:col>
      <xdr:colOff>404640</xdr:colOff>
      <xdr:row>395</xdr:row>
      <xdr:rowOff>76320</xdr:rowOff>
    </xdr:to>
    <xdr:sp>
      <xdr:nvSpPr>
        <xdr:cNvPr id="2" name="Text 48"/>
        <xdr:cNvSpPr/>
      </xdr:nvSpPr>
      <xdr:spPr>
        <a:xfrm>
          <a:off x="9087480" y="55902600"/>
          <a:ext cx="752760" cy="7142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0" lang="en-US" sz="800" strike="noStrike" u="none">
              <a:effectLst/>
              <a:uFillTx/>
              <a:latin typeface="Arial"/>
            </a:rPr>
            <a:t>*Not to exceed total cash balances.</a:t>
          </a:r>
          <a:endParaRPr b="0" lang="en-US" sz="800" strike="noStrike" u="none">
            <a:effectLst/>
            <a:uFillTx/>
            <a:latin typeface="Times New Roman"/>
          </a:endParaRPr>
        </a:p>
        <a:p>
          <a:pPr algn="ctr"/>
          <a:r>
            <a:rPr b="0" lang="en-US" sz="800" strike="noStrike" u="none">
              <a:effectLst/>
              <a:uFillTx/>
              <a:latin typeface="Arial"/>
            </a:rPr>
            <a:t>Default value equal to $0.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460800</xdr:colOff>
          <xdr:row>872</xdr:row>
          <xdr:rowOff>123840</xdr:rowOff>
        </xdr:from>
        <xdr:to>
          <xdr:col>4</xdr:col>
          <xdr:colOff>9720</xdr:colOff>
          <xdr:row>874</xdr:row>
          <xdr:rowOff>133200</xdr:rowOff>
        </xdr:to>
        <xdr:sp>
          <xdr:nvSpPr>
            <xdr:cNvPr id="1005" name="Button 53" descr="Run Year 3 Tabl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Run Year 3 Table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0</xdr:colOff>
          <xdr:row>873</xdr:row>
          <xdr:rowOff>0</xdr:rowOff>
        </xdr:from>
        <xdr:to>
          <xdr:col>12</xdr:col>
          <xdr:colOff>360</xdr:colOff>
          <xdr:row>875</xdr:row>
          <xdr:rowOff>9360</xdr:rowOff>
        </xdr:to>
        <xdr:sp>
          <xdr:nvSpPr>
            <xdr:cNvPr id="1006" name="Button 54" descr="Run Year 5 Tabl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Run Year 5 Table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2</xdr:row>
          <xdr:rowOff>0</xdr:rowOff>
        </xdr:from>
        <xdr:to>
          <xdr:col>1</xdr:col>
          <xdr:colOff>9720</xdr:colOff>
          <xdr:row>3</xdr:row>
          <xdr:rowOff>0</xdr:rowOff>
        </xdr:to>
        <xdr:sp>
          <xdr:nvSpPr>
            <xdr:cNvPr id="1007" name="Button 59" descr="Clear Ref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Clear Refs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0</xdr:row>
          <xdr:rowOff>0</xdr:rowOff>
        </xdr:from>
        <xdr:to>
          <xdr:col>3</xdr:col>
          <xdr:colOff>720</xdr:colOff>
          <xdr:row>1</xdr:row>
          <xdr:rowOff>0</xdr:rowOff>
        </xdr:to>
        <xdr:sp>
          <xdr:nvSpPr>
            <xdr:cNvPr id="1008" name="Button 61" descr="Inputs...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Inputs...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329400</xdr:colOff>
          <xdr:row>775</xdr:row>
          <xdr:rowOff>9360</xdr:rowOff>
        </xdr:from>
        <xdr:to>
          <xdr:col>4</xdr:col>
          <xdr:colOff>423720</xdr:colOff>
          <xdr:row>776</xdr:row>
          <xdr:rowOff>114480</xdr:rowOff>
        </xdr:to>
        <xdr:sp>
          <xdr:nvSpPr>
            <xdr:cNvPr id="1009" name="Button 63" descr="Compute Int. Rat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Compute Int. Rate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329400</xdr:colOff>
          <xdr:row>775</xdr:row>
          <xdr:rowOff>9360</xdr:rowOff>
        </xdr:from>
        <xdr:to>
          <xdr:col>4</xdr:col>
          <xdr:colOff>423720</xdr:colOff>
          <xdr:row>776</xdr:row>
          <xdr:rowOff>114480</xdr:rowOff>
        </xdr:to>
        <xdr:sp>
          <xdr:nvSpPr>
            <xdr:cNvPr id="1010" name="Button 66" descr="Compute Int. Rat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Compute Int. Rate</a:t>
              </a:r>
            </a:p>
          </xdr:txBody>
        </xdr:sp>
        <xdr:clientData/>
      </xdr:twoCellAnchor>
    </mc:Choice>
  </mc:AlternateContent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0.xml.rels><?xml version="1.0" encoding="UTF-8"?>
<Relationships xmlns="http://schemas.openxmlformats.org/package/2006/relationships"><Relationship Id="rId1" Type="http://schemas.openxmlformats.org/officeDocument/2006/relationships/drawing" Target="../drawings/drawing26.xml"/><Relationship Id="rId2" Type="http://schemas.openxmlformats.org/officeDocument/2006/relationships/vmlDrawing" Target="../drawings/vmlDrawing7.vml"/><Relationship Id="rId3" Type="http://schemas.openxmlformats.org/officeDocument/2006/relationships/ctrlProp" Target="../ctrlProps/ctrlProps27.xml"/><Relationship Id="rId4" Type="http://schemas.openxmlformats.org/officeDocument/2006/relationships/ctrlProp" Target="../ctrlProps/ctrlProps28.xml"/>
</Relationships>
</file>

<file path=xl/worksheets/_rels/sheet11.xml.rels><?xml version="1.0" encoding="UTF-8"?>
<Relationships xmlns="http://schemas.openxmlformats.org/package/2006/relationships"><Relationship Id="rId1" Type="http://schemas.openxmlformats.org/officeDocument/2006/relationships/drawing" Target="../drawings/drawing29.xml"/><Relationship Id="rId2" Type="http://schemas.openxmlformats.org/officeDocument/2006/relationships/vmlDrawing" Target="../drawings/vmlDrawing8.vml"/><Relationship Id="rId3" Type="http://schemas.openxmlformats.org/officeDocument/2006/relationships/ctrlProp" Target="../ctrlProps/ctrlProps30.xml"/><Relationship Id="rId4" Type="http://schemas.openxmlformats.org/officeDocument/2006/relationships/ctrlProp" Target="../ctrlProps/ctrlProps31.xml"/><Relationship Id="rId5" Type="http://schemas.openxmlformats.org/officeDocument/2006/relationships/ctrlProp" Target="../ctrlProps/ctrlProps32.xml"/><Relationship Id="rId6" Type="http://schemas.openxmlformats.org/officeDocument/2006/relationships/ctrlProp" Target="../ctrlProps/ctrlProps33.xml"/><Relationship Id="rId7" Type="http://schemas.openxmlformats.org/officeDocument/2006/relationships/ctrlProp" Target="../ctrlProps/ctrlProps34.xml"/><Relationship Id="rId8" Type="http://schemas.openxmlformats.org/officeDocument/2006/relationships/ctrlProp" Target="../ctrlProps/ctrlProps35.xml"/><Relationship Id="rId9" Type="http://schemas.openxmlformats.org/officeDocument/2006/relationships/ctrlProp" Target="../ctrlProps/ctrlProps36.xml"/><Relationship Id="rId10" Type="http://schemas.openxmlformats.org/officeDocument/2006/relationships/ctrlProp" Target="../ctrlProps/ctrlProps37.xml"/><Relationship Id="rId11" Type="http://schemas.openxmlformats.org/officeDocument/2006/relationships/ctrlProp" Target="../ctrlProps/ctrlProps38.xml"/><Relationship Id="rId12" Type="http://schemas.openxmlformats.org/officeDocument/2006/relationships/ctrlProp" Target="../ctrlProps/ctrlProps39.xml"/><Relationship Id="rId13" Type="http://schemas.openxmlformats.org/officeDocument/2006/relationships/ctrlProp" Target="../ctrlProps/ctrlProps40.xml"/><Relationship Id="rId14" Type="http://schemas.openxmlformats.org/officeDocument/2006/relationships/ctrlProp" Target="../ctrlProps/ctrlProps41.xml"/><Relationship Id="rId15" Type="http://schemas.openxmlformats.org/officeDocument/2006/relationships/ctrlProp" Target="../ctrlProps/ctrlProps42.xml"/><Relationship Id="rId16" Type="http://schemas.openxmlformats.org/officeDocument/2006/relationships/ctrlProp" Target="../ctrlProps/ctrlProps43.xml"/><Relationship Id="rId17" Type="http://schemas.openxmlformats.org/officeDocument/2006/relationships/ctrlProp" Target="../ctrlProps/ctrlProps44.xml"/><Relationship Id="rId18" Type="http://schemas.openxmlformats.org/officeDocument/2006/relationships/ctrlProp" Target="../ctrlProps/ctrlProps45.xml"/><Relationship Id="rId19" Type="http://schemas.openxmlformats.org/officeDocument/2006/relationships/ctrlProp" Target="../ctrlProps/ctrlProps46.xml"/><Relationship Id="rId20" Type="http://schemas.openxmlformats.org/officeDocument/2006/relationships/ctrlProp" Target="../ctrlProps/ctrlProps47.xml"/><Relationship Id="rId21" Type="http://schemas.openxmlformats.org/officeDocument/2006/relationships/ctrlProp" Target="../ctrlProps/ctrlProps48.xml"/><Relationship Id="rId22" Type="http://schemas.openxmlformats.org/officeDocument/2006/relationships/ctrlProp" Target="../ctrlProps/ctrlProps49.xml"/><Relationship Id="rId23" Type="http://schemas.openxmlformats.org/officeDocument/2006/relationships/ctrlProp" Target="../ctrlProps/ctrlProps50.xml"/><Relationship Id="rId24" Type="http://schemas.openxmlformats.org/officeDocument/2006/relationships/ctrlProp" Target="../ctrlProps/ctrlProps51.xml"/><Relationship Id="rId25" Type="http://schemas.openxmlformats.org/officeDocument/2006/relationships/ctrlProp" Target="../ctrlProps/ctrlProps52.xml"/><Relationship Id="rId26" Type="http://schemas.openxmlformats.org/officeDocument/2006/relationships/ctrlProp" Target="../ctrlProps/ctrlProps53.xml"/><Relationship Id="rId27" Type="http://schemas.openxmlformats.org/officeDocument/2006/relationships/ctrlProp" Target="../ctrlProps/ctrlProps54.xml"/><Relationship Id="rId28" Type="http://schemas.openxmlformats.org/officeDocument/2006/relationships/ctrlProp" Target="../ctrlProps/ctrlProps55.xml"/>
</Relationships>
</file>

<file path=xl/worksheets/_rels/sheet12.xml.rels><?xml version="1.0" encoding="UTF-8"?>
<Relationships xmlns="http://schemas.openxmlformats.org/package/2006/relationships"><Relationship Id="rId1" Type="http://schemas.openxmlformats.org/officeDocument/2006/relationships/drawing" Target="../drawings/drawing56.xml"/><Relationship Id="rId2" Type="http://schemas.openxmlformats.org/officeDocument/2006/relationships/vmlDrawing" Target="../drawings/vmlDrawing9.vml"/><Relationship Id="rId3" Type="http://schemas.openxmlformats.org/officeDocument/2006/relationships/ctrlProp" Target="../ctrlProps/ctrlProps57.xml"/><Relationship Id="rId4" Type="http://schemas.openxmlformats.org/officeDocument/2006/relationships/ctrlProp" Target="../ctrlProps/ctrlProps58.xml"/><Relationship Id="rId5" Type="http://schemas.openxmlformats.org/officeDocument/2006/relationships/ctrlProp" Target="../ctrlProps/ctrlProps59.xml"/><Relationship Id="rId6" Type="http://schemas.openxmlformats.org/officeDocument/2006/relationships/ctrlProp" Target="../ctrlProps/ctrlProps60.xml"/><Relationship Id="rId7" Type="http://schemas.openxmlformats.org/officeDocument/2006/relationships/ctrlProp" Target="../ctrlProps/ctrlProps61.xml"/><Relationship Id="rId8" Type="http://schemas.openxmlformats.org/officeDocument/2006/relationships/ctrlProp" Target="../ctrlProps/ctrlProps62.xml"/><Relationship Id="rId9" Type="http://schemas.openxmlformats.org/officeDocument/2006/relationships/ctrlProp" Target="../ctrlProps/ctrlProps63.xml"/><Relationship Id="rId10" Type="http://schemas.openxmlformats.org/officeDocument/2006/relationships/ctrlProp" Target="../ctrlProps/ctrlProps64.xml"/><Relationship Id="rId11" Type="http://schemas.openxmlformats.org/officeDocument/2006/relationships/ctrlProp" Target="../ctrlProps/ctrlProps65.xml"/><Relationship Id="rId12" Type="http://schemas.openxmlformats.org/officeDocument/2006/relationships/ctrlProp" Target="../ctrlProps/ctrlProps66.xml"/><Relationship Id="rId13" Type="http://schemas.openxmlformats.org/officeDocument/2006/relationships/ctrlProp" Target="../ctrlProps/ctrlProps67.xml"/><Relationship Id="rId14" Type="http://schemas.openxmlformats.org/officeDocument/2006/relationships/ctrlProp" Target="../ctrlProps/ctrlProps68.xml"/><Relationship Id="rId15" Type="http://schemas.openxmlformats.org/officeDocument/2006/relationships/ctrlProp" Target="../ctrlProps/ctrlProps69.xml"/><Relationship Id="rId16" Type="http://schemas.openxmlformats.org/officeDocument/2006/relationships/ctrlProp" Target="../ctrlProps/ctrlProps70.xml"/><Relationship Id="rId17" Type="http://schemas.openxmlformats.org/officeDocument/2006/relationships/ctrlProp" Target="../ctrlProps/ctrlProps71.xml"/>
</Relationships>
</file>

<file path=xl/worksheets/_rels/sheet13.xml.rels><?xml version="1.0" encoding="UTF-8"?>
<Relationships xmlns="http://schemas.openxmlformats.org/package/2006/relationships"><Relationship Id="rId1" Type="http://schemas.openxmlformats.org/officeDocument/2006/relationships/drawing" Target="../drawings/drawing72.xml"/><Relationship Id="rId2" Type="http://schemas.openxmlformats.org/officeDocument/2006/relationships/vmlDrawing" Target="../drawings/vmlDrawing10.vml"/><Relationship Id="rId3" Type="http://schemas.openxmlformats.org/officeDocument/2006/relationships/ctrlProp" Target="../ctrlProps/ctrlProps73.xml"/><Relationship Id="rId4" Type="http://schemas.openxmlformats.org/officeDocument/2006/relationships/ctrlProp" Target="../ctrlProps/ctrlProps74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comments" Target="../comments2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comments" Target="../comments3.xml"/><Relationship Id="rId2" Type="http://schemas.openxmlformats.org/officeDocument/2006/relationships/vmlDrawing" Target="../drawings/vmlDrawing2.v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comments" Target="../comments4.xml"/><Relationship Id="rId2" Type="http://schemas.openxmlformats.org/officeDocument/2006/relationships/drawing" Target="../drawings/drawing3.xml"/><Relationship Id="rId3" Type="http://schemas.openxmlformats.org/officeDocument/2006/relationships/vmlDrawing" Target="../drawings/vmlDrawing3.vml"/><Relationship Id="rId4" Type="http://schemas.openxmlformats.org/officeDocument/2006/relationships/ctrlProp" Target="../ctrlProps/ctrlProps4.xml"/><Relationship Id="rId5" Type="http://schemas.openxmlformats.org/officeDocument/2006/relationships/ctrlProp" Target="../ctrlProps/ctrlProps5.xml"/><Relationship Id="rId6" Type="http://schemas.openxmlformats.org/officeDocument/2006/relationships/ctrlProp" Target="../ctrlProps/ctrlProps6.xml"/><Relationship Id="rId7" Type="http://schemas.openxmlformats.org/officeDocument/2006/relationships/ctrlProp" Target="../ctrlProps/ctrlProps7.xml"/>
</Relationships>
</file>

<file path=xl/worksheets/_rels/sheet5.xml.rels><?xml version="1.0" encoding="UTF-8"?>
<Relationships xmlns="http://schemas.openxmlformats.org/package/2006/relationships"><Relationship Id="rId1" Type="http://schemas.openxmlformats.org/officeDocument/2006/relationships/comments" Target="../comments5.xml"/><Relationship Id="rId2" Type="http://schemas.openxmlformats.org/officeDocument/2006/relationships/drawing" Target="../drawings/drawing8.xml"/><Relationship Id="rId3" Type="http://schemas.openxmlformats.org/officeDocument/2006/relationships/vmlDrawing" Target="../drawings/vmlDrawing4.vml"/><Relationship Id="rId4" Type="http://schemas.openxmlformats.org/officeDocument/2006/relationships/ctrlProp" Target="../ctrlProps/ctrlProps9.xml"/><Relationship Id="rId5" Type="http://schemas.openxmlformats.org/officeDocument/2006/relationships/ctrlProp" Target="../ctrlProps/ctrlProps10.xml"/><Relationship Id="rId6" Type="http://schemas.openxmlformats.org/officeDocument/2006/relationships/ctrlProp" Target="../ctrlProps/ctrlProps11.xml"/><Relationship Id="rId7" Type="http://schemas.openxmlformats.org/officeDocument/2006/relationships/ctrlProp" Target="../ctrlProps/ctrlProps12.xml"/><Relationship Id="rId8" Type="http://schemas.openxmlformats.org/officeDocument/2006/relationships/ctrlProp" Target="../ctrlProps/ctrlProps13.xml"/><Relationship Id="rId9" Type="http://schemas.openxmlformats.org/officeDocument/2006/relationships/ctrlProp" Target="../ctrlProps/ctrlProps14.xml"/><Relationship Id="rId10" Type="http://schemas.openxmlformats.org/officeDocument/2006/relationships/ctrlProp" Target="../ctrlProps/ctrlProps15.xml"/><Relationship Id="rId11" Type="http://schemas.openxmlformats.org/officeDocument/2006/relationships/ctrlProp" Target="../ctrlProps/ctrlProps16.xml"/><Relationship Id="rId12" Type="http://schemas.openxmlformats.org/officeDocument/2006/relationships/ctrlProp" Target="../ctrlProps/ctrlProps17.xml"/><Relationship Id="rId13" Type="http://schemas.openxmlformats.org/officeDocument/2006/relationships/ctrlProp" Target="../ctrlProps/ctrlProps18.xml"/>
</Relationships>
</file>

<file path=xl/worksheets/_rels/sheet8.xml.rels><?xml version="1.0" encoding="UTF-8"?>
<Relationships xmlns="http://schemas.openxmlformats.org/package/2006/relationships"><Relationship Id="rId1" Type="http://schemas.openxmlformats.org/officeDocument/2006/relationships/drawing" Target="../drawings/drawing19.xml"/><Relationship Id="rId2" Type="http://schemas.openxmlformats.org/officeDocument/2006/relationships/vmlDrawing" Target="../drawings/vmlDrawing5.vml"/><Relationship Id="rId3" Type="http://schemas.openxmlformats.org/officeDocument/2006/relationships/ctrlProp" Target="../ctrlProps/ctrlProps20.xml"/><Relationship Id="rId4" Type="http://schemas.openxmlformats.org/officeDocument/2006/relationships/ctrlProp" Target="../ctrlProps/ctrlProps21.xml"/><Relationship Id="rId5" Type="http://schemas.openxmlformats.org/officeDocument/2006/relationships/ctrlProp" Target="../ctrlProps/ctrlProps22.xml"/>
</Relationships>
</file>

<file path=xl/worksheets/_rels/sheet9.xml.rels><?xml version="1.0" encoding="UTF-8"?>
<Relationships xmlns="http://schemas.openxmlformats.org/package/2006/relationships"><Relationship Id="rId1" Type="http://schemas.openxmlformats.org/officeDocument/2006/relationships/drawing" Target="../drawings/drawing23.xml"/><Relationship Id="rId2" Type="http://schemas.openxmlformats.org/officeDocument/2006/relationships/vmlDrawing" Target="../drawings/vmlDrawing6.vml"/><Relationship Id="rId3" Type="http://schemas.openxmlformats.org/officeDocument/2006/relationships/ctrlProp" Target="../ctrlProps/ctrlProps24.xml"/><Relationship Id="rId4" Type="http://schemas.openxmlformats.org/officeDocument/2006/relationships/ctrlProp" Target="../ctrlProps/ctrlProps25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310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328125" defaultRowHeight="12.75" customHeight="true" zeroHeight="false" outlineLevelRow="0" outlineLevelCol="0"/>
  <cols>
    <col collapsed="false" customWidth="false" hidden="false" outlineLevel="0" max="6" min="1" style="1" width="9.33"/>
    <col collapsed="false" customWidth="true" hidden="false" outlineLevel="0" max="7" min="7" style="2" width="2.5"/>
    <col collapsed="false" customWidth="true" hidden="false" outlineLevel="0" max="44" min="8" style="1" width="10.65"/>
    <col collapsed="false" customWidth="false" hidden="false" outlineLevel="0" max="257" min="45" style="3" width="9.33"/>
  </cols>
  <sheetData>
    <row r="1" customFormat="false" ht="11.25" hidden="false" customHeight="false" outlineLevel="0" collapsed="false">
      <c r="A1" s="4" t="s">
        <v>0</v>
      </c>
      <c r="B1" s="5"/>
      <c r="C1" s="5"/>
      <c r="D1" s="5"/>
      <c r="E1" s="5"/>
      <c r="F1" s="5"/>
      <c r="G1" s="6"/>
      <c r="H1" s="5"/>
      <c r="I1" s="7" t="s">
        <v>1</v>
      </c>
      <c r="J1" s="8" t="s">
        <v>2</v>
      </c>
      <c r="K1" s="9"/>
      <c r="L1" s="10"/>
      <c r="M1" s="5"/>
      <c r="N1" s="5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5"/>
      <c r="AS1" s="12"/>
      <c r="AT1" s="12"/>
      <c r="AU1" s="12"/>
      <c r="AV1" s="12"/>
      <c r="AW1" s="12"/>
      <c r="AX1" s="12"/>
      <c r="AY1" s="12"/>
      <c r="AZ1" s="12"/>
      <c r="BA1" s="12"/>
      <c r="BB1" s="12"/>
      <c r="BC1" s="12"/>
      <c r="BD1" s="12"/>
      <c r="BE1" s="12"/>
      <c r="BF1" s="12"/>
      <c r="BG1" s="12"/>
      <c r="BH1" s="12"/>
      <c r="BI1" s="12"/>
      <c r="BJ1" s="12"/>
      <c r="BK1" s="12"/>
      <c r="BL1" s="12"/>
      <c r="BM1" s="12"/>
      <c r="BN1" s="12"/>
      <c r="BO1" s="12"/>
      <c r="BP1" s="12"/>
      <c r="BQ1" s="12"/>
      <c r="BR1" s="12"/>
      <c r="BS1" s="12"/>
      <c r="BT1" s="12"/>
      <c r="BU1" s="12"/>
      <c r="BV1" s="12"/>
      <c r="BW1" s="12"/>
      <c r="BX1" s="12"/>
      <c r="BY1" s="12"/>
      <c r="BZ1" s="12"/>
      <c r="CA1" s="12"/>
      <c r="CB1" s="12"/>
      <c r="CC1" s="12"/>
      <c r="CD1" s="12"/>
      <c r="CE1" s="12"/>
      <c r="CF1" s="12"/>
      <c r="CG1" s="12"/>
      <c r="CH1" s="12"/>
      <c r="CI1" s="12"/>
      <c r="CJ1" s="12"/>
      <c r="CK1" s="12"/>
      <c r="CL1" s="12"/>
      <c r="CM1" s="12"/>
      <c r="CN1" s="12"/>
      <c r="CO1" s="12"/>
      <c r="CP1" s="12"/>
      <c r="CQ1" s="12"/>
      <c r="CR1" s="12"/>
      <c r="CS1" s="12"/>
      <c r="CT1" s="12"/>
      <c r="CU1" s="12"/>
      <c r="CV1" s="12"/>
      <c r="CW1" s="12"/>
      <c r="CX1" s="12"/>
      <c r="CY1" s="12"/>
      <c r="CZ1" s="12"/>
      <c r="DA1" s="12"/>
      <c r="DB1" s="12"/>
      <c r="DC1" s="12"/>
      <c r="DD1" s="12"/>
      <c r="DE1" s="12"/>
      <c r="DF1" s="12"/>
      <c r="DG1" s="12"/>
      <c r="DH1" s="12"/>
      <c r="DI1" s="12"/>
      <c r="DJ1" s="12"/>
      <c r="DK1" s="12"/>
      <c r="DL1" s="12"/>
      <c r="DM1" s="12"/>
      <c r="DN1" s="12"/>
      <c r="DO1" s="12"/>
      <c r="DP1" s="12"/>
      <c r="DQ1" s="12"/>
      <c r="DR1" s="12"/>
      <c r="DS1" s="12"/>
      <c r="DT1" s="12"/>
      <c r="DU1" s="12"/>
      <c r="DV1" s="12"/>
      <c r="DW1" s="12"/>
      <c r="DX1" s="12"/>
      <c r="DY1" s="12"/>
      <c r="DZ1" s="12"/>
      <c r="EA1" s="12"/>
      <c r="EB1" s="12"/>
      <c r="EC1" s="12"/>
      <c r="ED1" s="12"/>
      <c r="EE1" s="12"/>
      <c r="EF1" s="12"/>
      <c r="EG1" s="12"/>
      <c r="EH1" s="12"/>
      <c r="EI1" s="12"/>
      <c r="EJ1" s="12"/>
      <c r="EK1" s="12"/>
      <c r="EL1" s="12"/>
      <c r="EM1" s="12"/>
      <c r="EN1" s="12"/>
      <c r="EO1" s="12"/>
      <c r="EP1" s="12"/>
      <c r="EQ1" s="12"/>
      <c r="ER1" s="12"/>
      <c r="ES1" s="12"/>
      <c r="ET1" s="12"/>
      <c r="EU1" s="12"/>
      <c r="EV1" s="12"/>
      <c r="EW1" s="12"/>
      <c r="EX1" s="12"/>
      <c r="EY1" s="12"/>
      <c r="EZ1" s="12"/>
      <c r="FA1" s="12"/>
      <c r="FB1" s="12"/>
      <c r="FC1" s="12"/>
      <c r="FD1" s="12"/>
      <c r="FE1" s="12"/>
      <c r="FF1" s="12"/>
      <c r="FG1" s="12"/>
      <c r="FH1" s="12"/>
      <c r="FI1" s="12"/>
      <c r="FJ1" s="12"/>
      <c r="FK1" s="12"/>
      <c r="FL1" s="12"/>
      <c r="FM1" s="12"/>
      <c r="FN1" s="12"/>
      <c r="FO1" s="12"/>
      <c r="FP1" s="12"/>
      <c r="FQ1" s="12"/>
      <c r="FR1" s="12"/>
      <c r="FS1" s="12"/>
      <c r="FT1" s="12"/>
      <c r="FU1" s="12"/>
      <c r="FV1" s="12"/>
      <c r="FW1" s="12"/>
      <c r="FX1" s="12"/>
      <c r="FY1" s="12"/>
      <c r="FZ1" s="12"/>
      <c r="GA1" s="12"/>
      <c r="GB1" s="12"/>
      <c r="GC1" s="12"/>
      <c r="GD1" s="12"/>
      <c r="GE1" s="12"/>
      <c r="GF1" s="12"/>
      <c r="GG1" s="12"/>
      <c r="GH1" s="12"/>
      <c r="GI1" s="12"/>
      <c r="GJ1" s="12"/>
      <c r="GK1" s="12"/>
      <c r="GL1" s="12"/>
      <c r="GM1" s="12"/>
      <c r="GN1" s="12"/>
      <c r="GO1" s="12"/>
      <c r="GP1" s="12"/>
      <c r="GQ1" s="12"/>
      <c r="GR1" s="12"/>
      <c r="GS1" s="12"/>
      <c r="GT1" s="12"/>
      <c r="GU1" s="12"/>
      <c r="GV1" s="12"/>
      <c r="GW1" s="12"/>
      <c r="GX1" s="12"/>
      <c r="GY1" s="12"/>
      <c r="GZ1" s="12"/>
      <c r="HA1" s="12"/>
      <c r="HB1" s="12"/>
      <c r="HC1" s="12"/>
      <c r="HD1" s="12"/>
      <c r="HE1" s="12"/>
      <c r="HF1" s="12"/>
      <c r="HG1" s="12"/>
      <c r="HH1" s="12"/>
      <c r="HI1" s="12"/>
      <c r="HJ1" s="12"/>
      <c r="HK1" s="12"/>
      <c r="HL1" s="12"/>
      <c r="HM1" s="12"/>
      <c r="HN1" s="12"/>
      <c r="HO1" s="12"/>
      <c r="HP1" s="12"/>
      <c r="HQ1" s="12"/>
      <c r="HR1" s="12"/>
      <c r="HS1" s="12"/>
      <c r="HT1" s="12"/>
      <c r="HU1" s="12"/>
      <c r="HV1" s="12"/>
      <c r="HW1" s="12"/>
      <c r="HX1" s="12"/>
      <c r="HY1" s="12"/>
      <c r="HZ1" s="12"/>
      <c r="IA1" s="12"/>
      <c r="IB1" s="12"/>
      <c r="IC1" s="12"/>
      <c r="ID1" s="12"/>
      <c r="IE1" s="12"/>
      <c r="IF1" s="12"/>
      <c r="IG1" s="12"/>
      <c r="IH1" s="12"/>
      <c r="II1" s="12"/>
      <c r="IJ1" s="12"/>
      <c r="IK1" s="12"/>
      <c r="IL1" s="12"/>
      <c r="IM1" s="12"/>
      <c r="IN1" s="12"/>
      <c r="IO1" s="12"/>
      <c r="IP1" s="12"/>
      <c r="IQ1" s="12"/>
      <c r="IR1" s="12"/>
      <c r="IS1" s="12"/>
      <c r="IT1" s="12"/>
      <c r="IU1" s="12"/>
      <c r="IV1" s="12"/>
      <c r="IW1" s="12"/>
    </row>
    <row r="2" customFormat="false" ht="11.25" hidden="false" customHeight="false" outlineLevel="0" collapsed="false">
      <c r="A2" s="13"/>
      <c r="B2" s="5"/>
      <c r="C2" s="5"/>
      <c r="D2" s="5"/>
      <c r="E2" s="5"/>
      <c r="F2" s="5"/>
      <c r="G2" s="6"/>
      <c r="H2" s="14"/>
      <c r="I2" s="9"/>
      <c r="J2" s="15"/>
      <c r="K2" s="9"/>
      <c r="L2" s="5"/>
      <c r="M2" s="5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  <c r="AI2" s="11"/>
      <c r="AJ2" s="11"/>
      <c r="AK2" s="11"/>
      <c r="AL2" s="11"/>
      <c r="AM2" s="11"/>
      <c r="AN2" s="11"/>
      <c r="AO2" s="11"/>
      <c r="AP2" s="11"/>
      <c r="AQ2" s="11"/>
      <c r="AR2" s="5"/>
      <c r="AS2" s="12"/>
      <c r="AT2" s="12"/>
      <c r="AU2" s="12"/>
      <c r="AV2" s="12"/>
      <c r="AW2" s="12"/>
      <c r="AX2" s="12"/>
      <c r="AY2" s="12"/>
      <c r="AZ2" s="12"/>
      <c r="BA2" s="12"/>
      <c r="BB2" s="12"/>
      <c r="BC2" s="12"/>
      <c r="BD2" s="12"/>
      <c r="BE2" s="12"/>
      <c r="BF2" s="12"/>
      <c r="BG2" s="12"/>
      <c r="BH2" s="12"/>
      <c r="BI2" s="12"/>
      <c r="BJ2" s="12"/>
      <c r="BK2" s="12"/>
      <c r="BL2" s="12"/>
      <c r="BM2" s="12"/>
      <c r="BN2" s="12"/>
      <c r="BO2" s="12"/>
      <c r="BP2" s="12"/>
      <c r="BQ2" s="12"/>
      <c r="BR2" s="12"/>
      <c r="BS2" s="12"/>
      <c r="BT2" s="12"/>
      <c r="BU2" s="12"/>
      <c r="BV2" s="12"/>
      <c r="BW2" s="12"/>
      <c r="BX2" s="12"/>
      <c r="BY2" s="12"/>
      <c r="BZ2" s="12"/>
      <c r="CA2" s="12"/>
      <c r="CB2" s="12"/>
      <c r="CC2" s="12"/>
      <c r="CD2" s="12"/>
      <c r="CE2" s="12"/>
      <c r="CF2" s="12"/>
      <c r="CG2" s="12"/>
      <c r="CH2" s="12"/>
      <c r="CI2" s="12"/>
      <c r="CJ2" s="12"/>
      <c r="CK2" s="12"/>
      <c r="CL2" s="12"/>
      <c r="CM2" s="12"/>
      <c r="CN2" s="12"/>
      <c r="CO2" s="12"/>
      <c r="CP2" s="12"/>
      <c r="CQ2" s="12"/>
      <c r="CR2" s="12"/>
      <c r="CS2" s="12"/>
      <c r="CT2" s="12"/>
      <c r="CU2" s="12"/>
      <c r="CV2" s="12"/>
      <c r="CW2" s="12"/>
      <c r="CX2" s="12"/>
      <c r="CY2" s="12"/>
      <c r="CZ2" s="12"/>
      <c r="DA2" s="12"/>
      <c r="DB2" s="12"/>
      <c r="DC2" s="12"/>
      <c r="DD2" s="12"/>
      <c r="DE2" s="12"/>
      <c r="DF2" s="12"/>
      <c r="DG2" s="12"/>
      <c r="DH2" s="12"/>
      <c r="DI2" s="12"/>
      <c r="DJ2" s="12"/>
      <c r="DK2" s="12"/>
      <c r="DL2" s="12"/>
      <c r="DM2" s="12"/>
      <c r="DN2" s="12"/>
      <c r="DO2" s="12"/>
      <c r="DP2" s="12"/>
      <c r="DQ2" s="12"/>
      <c r="DR2" s="12"/>
      <c r="DS2" s="12"/>
      <c r="DT2" s="12"/>
      <c r="DU2" s="12"/>
      <c r="DV2" s="12"/>
      <c r="DW2" s="12"/>
      <c r="DX2" s="12"/>
      <c r="DY2" s="12"/>
      <c r="DZ2" s="12"/>
      <c r="EA2" s="12"/>
      <c r="EB2" s="12"/>
      <c r="EC2" s="12"/>
      <c r="ED2" s="12"/>
      <c r="EE2" s="12"/>
      <c r="EF2" s="12"/>
      <c r="EG2" s="12"/>
      <c r="EH2" s="12"/>
      <c r="EI2" s="12"/>
      <c r="EJ2" s="12"/>
      <c r="EK2" s="12"/>
      <c r="EL2" s="12"/>
      <c r="EM2" s="12"/>
      <c r="EN2" s="12"/>
      <c r="EO2" s="12"/>
      <c r="EP2" s="12"/>
      <c r="EQ2" s="12"/>
      <c r="ER2" s="12"/>
      <c r="ES2" s="12"/>
      <c r="ET2" s="12"/>
      <c r="EU2" s="12"/>
      <c r="EV2" s="12"/>
      <c r="EW2" s="12"/>
      <c r="EX2" s="12"/>
      <c r="EY2" s="12"/>
      <c r="EZ2" s="12"/>
      <c r="FA2" s="12"/>
      <c r="FB2" s="12"/>
      <c r="FC2" s="12"/>
      <c r="FD2" s="12"/>
      <c r="FE2" s="12"/>
      <c r="FF2" s="12"/>
      <c r="FG2" s="12"/>
      <c r="FH2" s="12"/>
      <c r="FI2" s="12"/>
      <c r="FJ2" s="12"/>
      <c r="FK2" s="12"/>
      <c r="FL2" s="12"/>
      <c r="FM2" s="12"/>
      <c r="FN2" s="12"/>
      <c r="FO2" s="12"/>
      <c r="FP2" s="12"/>
      <c r="FQ2" s="12"/>
      <c r="FR2" s="12"/>
      <c r="FS2" s="12"/>
      <c r="FT2" s="12"/>
      <c r="FU2" s="12"/>
      <c r="FV2" s="12"/>
      <c r="FW2" s="12"/>
      <c r="FX2" s="12"/>
      <c r="FY2" s="12"/>
      <c r="FZ2" s="12"/>
      <c r="GA2" s="12"/>
      <c r="GB2" s="12"/>
      <c r="GC2" s="12"/>
      <c r="GD2" s="12"/>
      <c r="GE2" s="12"/>
      <c r="GF2" s="12"/>
      <c r="GG2" s="12"/>
      <c r="GH2" s="12"/>
      <c r="GI2" s="12"/>
      <c r="GJ2" s="12"/>
      <c r="GK2" s="12"/>
      <c r="GL2" s="12"/>
      <c r="GM2" s="12"/>
      <c r="GN2" s="12"/>
      <c r="GO2" s="12"/>
      <c r="GP2" s="12"/>
      <c r="GQ2" s="12"/>
      <c r="GR2" s="12"/>
      <c r="GS2" s="12"/>
      <c r="GT2" s="12"/>
      <c r="GU2" s="12"/>
      <c r="GV2" s="12"/>
      <c r="GW2" s="12"/>
      <c r="GX2" s="12"/>
      <c r="GY2" s="12"/>
      <c r="GZ2" s="12"/>
      <c r="HA2" s="12"/>
      <c r="HB2" s="12"/>
      <c r="HC2" s="12"/>
      <c r="HD2" s="12"/>
      <c r="HE2" s="12"/>
      <c r="HF2" s="12"/>
      <c r="HG2" s="12"/>
      <c r="HH2" s="12"/>
      <c r="HI2" s="12"/>
      <c r="HJ2" s="12"/>
      <c r="HK2" s="12"/>
      <c r="HL2" s="12"/>
      <c r="HM2" s="12"/>
      <c r="HN2" s="12"/>
      <c r="HO2" s="12"/>
      <c r="HP2" s="12"/>
      <c r="HQ2" s="12"/>
      <c r="HR2" s="12"/>
      <c r="HS2" s="12"/>
      <c r="HT2" s="12"/>
      <c r="HU2" s="12"/>
      <c r="HV2" s="12"/>
      <c r="HW2" s="12"/>
      <c r="HX2" s="12"/>
      <c r="HY2" s="12"/>
      <c r="HZ2" s="12"/>
      <c r="IA2" s="12"/>
      <c r="IB2" s="12"/>
      <c r="IC2" s="12"/>
      <c r="ID2" s="12"/>
      <c r="IE2" s="12"/>
      <c r="IF2" s="12"/>
      <c r="IG2" s="12"/>
      <c r="IH2" s="12"/>
      <c r="II2" s="12"/>
      <c r="IJ2" s="12"/>
      <c r="IK2" s="12"/>
      <c r="IL2" s="12"/>
      <c r="IM2" s="12"/>
      <c r="IN2" s="12"/>
      <c r="IO2" s="12"/>
      <c r="IP2" s="12"/>
      <c r="IQ2" s="12"/>
      <c r="IR2" s="12"/>
      <c r="IS2" s="12"/>
      <c r="IT2" s="12"/>
      <c r="IU2" s="12"/>
      <c r="IV2" s="12"/>
      <c r="IW2" s="12"/>
    </row>
    <row r="3" customFormat="false" ht="11.25" hidden="false" customHeight="false" outlineLevel="0" collapsed="false">
      <c r="A3" s="5"/>
      <c r="B3" s="5"/>
      <c r="C3" s="5"/>
      <c r="D3" s="5"/>
      <c r="E3" s="5"/>
      <c r="F3" s="5"/>
      <c r="G3" s="6"/>
      <c r="H3" s="14"/>
      <c r="I3" s="9"/>
      <c r="J3" s="15"/>
      <c r="K3" s="9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11"/>
      <c r="AD3" s="11"/>
      <c r="AE3" s="11"/>
      <c r="AF3" s="11"/>
      <c r="AG3" s="11"/>
      <c r="AH3" s="11"/>
      <c r="AI3" s="11"/>
      <c r="AJ3" s="11"/>
      <c r="AK3" s="11"/>
      <c r="AL3" s="11"/>
      <c r="AM3" s="11"/>
      <c r="AN3" s="11"/>
      <c r="AO3" s="11"/>
      <c r="AP3" s="11"/>
      <c r="AQ3" s="11"/>
      <c r="AR3" s="5"/>
      <c r="AS3" s="12"/>
      <c r="AT3" s="12"/>
      <c r="AU3" s="12"/>
      <c r="AV3" s="12"/>
      <c r="AW3" s="12"/>
      <c r="AX3" s="12"/>
      <c r="AY3" s="12"/>
      <c r="AZ3" s="12"/>
      <c r="BA3" s="12"/>
      <c r="BB3" s="12"/>
      <c r="BC3" s="12"/>
      <c r="BD3" s="12"/>
      <c r="BE3" s="12"/>
      <c r="BF3" s="12"/>
      <c r="BG3" s="12"/>
      <c r="BH3" s="12"/>
      <c r="BI3" s="12"/>
      <c r="BJ3" s="12"/>
      <c r="BK3" s="12"/>
      <c r="BL3" s="12"/>
      <c r="BM3" s="12"/>
      <c r="BN3" s="12"/>
      <c r="BO3" s="12"/>
      <c r="BP3" s="12"/>
      <c r="BQ3" s="12"/>
      <c r="BR3" s="12"/>
      <c r="BS3" s="12"/>
      <c r="BT3" s="12"/>
      <c r="BU3" s="12"/>
      <c r="BV3" s="12"/>
      <c r="BW3" s="12"/>
      <c r="BX3" s="12"/>
      <c r="BY3" s="12"/>
      <c r="BZ3" s="12"/>
      <c r="CA3" s="12"/>
      <c r="CB3" s="12"/>
      <c r="CC3" s="12"/>
      <c r="CD3" s="12"/>
      <c r="CE3" s="12"/>
      <c r="CF3" s="12"/>
      <c r="CG3" s="12"/>
      <c r="CH3" s="12"/>
      <c r="CI3" s="12"/>
      <c r="CJ3" s="12"/>
      <c r="CK3" s="12"/>
      <c r="CL3" s="12"/>
      <c r="CM3" s="12"/>
      <c r="CN3" s="12"/>
      <c r="CO3" s="12"/>
      <c r="CP3" s="12"/>
      <c r="CQ3" s="12"/>
      <c r="CR3" s="12"/>
      <c r="CS3" s="12"/>
      <c r="CT3" s="12"/>
      <c r="CU3" s="12"/>
      <c r="CV3" s="12"/>
      <c r="CW3" s="12"/>
      <c r="CX3" s="12"/>
      <c r="CY3" s="12"/>
      <c r="CZ3" s="12"/>
      <c r="DA3" s="12"/>
      <c r="DB3" s="12"/>
      <c r="DC3" s="12"/>
      <c r="DD3" s="12"/>
      <c r="DE3" s="12"/>
      <c r="DF3" s="12"/>
      <c r="DG3" s="12"/>
      <c r="DH3" s="12"/>
      <c r="DI3" s="12"/>
      <c r="DJ3" s="12"/>
      <c r="DK3" s="12"/>
      <c r="DL3" s="12"/>
      <c r="DM3" s="12"/>
      <c r="DN3" s="12"/>
      <c r="DO3" s="12"/>
      <c r="DP3" s="12"/>
      <c r="DQ3" s="12"/>
      <c r="DR3" s="12"/>
      <c r="DS3" s="12"/>
      <c r="DT3" s="12"/>
      <c r="DU3" s="12"/>
      <c r="DV3" s="12"/>
      <c r="DW3" s="12"/>
      <c r="DX3" s="12"/>
      <c r="DY3" s="12"/>
      <c r="DZ3" s="12"/>
      <c r="EA3" s="12"/>
      <c r="EB3" s="12"/>
      <c r="EC3" s="12"/>
      <c r="ED3" s="12"/>
      <c r="EE3" s="12"/>
      <c r="EF3" s="12"/>
      <c r="EG3" s="12"/>
      <c r="EH3" s="12"/>
      <c r="EI3" s="12"/>
      <c r="EJ3" s="12"/>
      <c r="EK3" s="12"/>
      <c r="EL3" s="12"/>
      <c r="EM3" s="12"/>
      <c r="EN3" s="12"/>
      <c r="EO3" s="12"/>
      <c r="EP3" s="12"/>
      <c r="EQ3" s="12"/>
      <c r="ER3" s="12"/>
      <c r="ES3" s="12"/>
      <c r="ET3" s="12"/>
      <c r="EU3" s="12"/>
      <c r="EV3" s="12"/>
      <c r="EW3" s="12"/>
      <c r="EX3" s="12"/>
      <c r="EY3" s="12"/>
      <c r="EZ3" s="12"/>
      <c r="FA3" s="12"/>
      <c r="FB3" s="12"/>
      <c r="FC3" s="12"/>
      <c r="FD3" s="12"/>
      <c r="FE3" s="12"/>
      <c r="FF3" s="12"/>
      <c r="FG3" s="12"/>
      <c r="FH3" s="12"/>
      <c r="FI3" s="12"/>
      <c r="FJ3" s="12"/>
      <c r="FK3" s="12"/>
      <c r="FL3" s="12"/>
      <c r="FM3" s="12"/>
      <c r="FN3" s="12"/>
      <c r="FO3" s="12"/>
      <c r="FP3" s="12"/>
      <c r="FQ3" s="12"/>
      <c r="FR3" s="12"/>
      <c r="FS3" s="12"/>
      <c r="FT3" s="12"/>
      <c r="FU3" s="12"/>
      <c r="FV3" s="12"/>
      <c r="FW3" s="12"/>
      <c r="FX3" s="12"/>
      <c r="FY3" s="12"/>
      <c r="FZ3" s="12"/>
      <c r="GA3" s="12"/>
      <c r="GB3" s="12"/>
      <c r="GC3" s="12"/>
      <c r="GD3" s="12"/>
      <c r="GE3" s="12"/>
      <c r="GF3" s="12"/>
      <c r="GG3" s="12"/>
      <c r="GH3" s="12"/>
      <c r="GI3" s="12"/>
      <c r="GJ3" s="12"/>
      <c r="GK3" s="12"/>
      <c r="GL3" s="12"/>
      <c r="GM3" s="12"/>
      <c r="GN3" s="12"/>
      <c r="GO3" s="12"/>
      <c r="GP3" s="12"/>
      <c r="GQ3" s="12"/>
      <c r="GR3" s="12"/>
      <c r="GS3" s="12"/>
      <c r="GT3" s="12"/>
      <c r="GU3" s="12"/>
      <c r="GV3" s="12"/>
      <c r="GW3" s="12"/>
      <c r="GX3" s="12"/>
      <c r="GY3" s="12"/>
      <c r="GZ3" s="12"/>
      <c r="HA3" s="12"/>
      <c r="HB3" s="12"/>
      <c r="HC3" s="12"/>
      <c r="HD3" s="12"/>
      <c r="HE3" s="12"/>
      <c r="HF3" s="12"/>
      <c r="HG3" s="12"/>
      <c r="HH3" s="12"/>
      <c r="HI3" s="12"/>
      <c r="HJ3" s="12"/>
      <c r="HK3" s="12"/>
      <c r="HL3" s="12"/>
      <c r="HM3" s="12"/>
      <c r="HN3" s="12"/>
      <c r="HO3" s="12"/>
      <c r="HP3" s="12"/>
      <c r="HQ3" s="12"/>
      <c r="HR3" s="12"/>
      <c r="HS3" s="12"/>
      <c r="HT3" s="12"/>
      <c r="HU3" s="12"/>
      <c r="HV3" s="12"/>
      <c r="HW3" s="12"/>
      <c r="HX3" s="12"/>
      <c r="HY3" s="12"/>
      <c r="HZ3" s="12"/>
      <c r="IA3" s="12"/>
      <c r="IB3" s="12"/>
      <c r="IC3" s="12"/>
      <c r="ID3" s="12"/>
      <c r="IE3" s="12"/>
      <c r="IF3" s="12"/>
      <c r="IG3" s="12"/>
      <c r="IH3" s="12"/>
      <c r="II3" s="12"/>
      <c r="IJ3" s="12"/>
      <c r="IK3" s="12"/>
      <c r="IL3" s="12"/>
      <c r="IM3" s="12"/>
      <c r="IN3" s="12"/>
      <c r="IO3" s="12"/>
      <c r="IP3" s="12"/>
      <c r="IQ3" s="12"/>
      <c r="IR3" s="12"/>
      <c r="IS3" s="12"/>
      <c r="IT3" s="12"/>
      <c r="IU3" s="12"/>
      <c r="IV3" s="12"/>
      <c r="IW3" s="12"/>
    </row>
    <row r="4" customFormat="false" ht="11.25" hidden="false" customHeight="false" outlineLevel="0" collapsed="false">
      <c r="A4" s="5"/>
      <c r="B4" s="16" t="s">
        <v>3</v>
      </c>
      <c r="C4" s="17" t="n">
        <v>35349</v>
      </c>
      <c r="D4" s="5"/>
      <c r="E4" s="16" t="s">
        <v>3</v>
      </c>
      <c r="F4" s="17" t="n">
        <v>35341</v>
      </c>
      <c r="G4" s="6"/>
      <c r="H4" s="14"/>
      <c r="I4" s="5"/>
      <c r="J4" s="5"/>
      <c r="K4" s="5"/>
      <c r="L4" s="10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1"/>
      <c r="AI4" s="11"/>
      <c r="AJ4" s="11"/>
      <c r="AK4" s="11"/>
      <c r="AL4" s="11"/>
      <c r="AM4" s="11"/>
      <c r="AN4" s="11"/>
      <c r="AO4" s="11"/>
      <c r="AP4" s="11"/>
      <c r="AQ4" s="11"/>
      <c r="AR4" s="5"/>
      <c r="AS4" s="12"/>
      <c r="AT4" s="12"/>
      <c r="AU4" s="12"/>
      <c r="AV4" s="12"/>
      <c r="AW4" s="12"/>
      <c r="AX4" s="12"/>
      <c r="AY4" s="12"/>
      <c r="AZ4" s="12"/>
      <c r="BA4" s="12"/>
      <c r="BB4" s="12"/>
      <c r="BC4" s="12"/>
      <c r="BD4" s="12"/>
      <c r="BE4" s="12"/>
      <c r="BF4" s="12"/>
      <c r="BG4" s="12"/>
      <c r="BH4" s="12"/>
      <c r="BI4" s="12"/>
      <c r="BJ4" s="12"/>
      <c r="BK4" s="12"/>
      <c r="BL4" s="12"/>
      <c r="BM4" s="12"/>
      <c r="BN4" s="12"/>
      <c r="BO4" s="12"/>
      <c r="BP4" s="12"/>
      <c r="BQ4" s="12"/>
      <c r="BR4" s="12"/>
      <c r="BS4" s="12"/>
      <c r="BT4" s="12"/>
      <c r="BU4" s="12"/>
      <c r="BV4" s="12"/>
      <c r="BW4" s="12"/>
      <c r="BX4" s="12"/>
      <c r="BY4" s="12"/>
      <c r="BZ4" s="12"/>
      <c r="CA4" s="12"/>
      <c r="CB4" s="12"/>
      <c r="CC4" s="12"/>
      <c r="CD4" s="12"/>
      <c r="CE4" s="12"/>
      <c r="CF4" s="12"/>
      <c r="CG4" s="12"/>
      <c r="CH4" s="12"/>
      <c r="CI4" s="12"/>
      <c r="CJ4" s="12"/>
      <c r="CK4" s="12"/>
      <c r="CL4" s="12"/>
      <c r="CM4" s="12"/>
      <c r="CN4" s="12"/>
      <c r="CO4" s="12"/>
      <c r="CP4" s="12"/>
      <c r="CQ4" s="12"/>
      <c r="CR4" s="12"/>
      <c r="CS4" s="12"/>
      <c r="CT4" s="12"/>
      <c r="CU4" s="12"/>
      <c r="CV4" s="12"/>
      <c r="CW4" s="12"/>
      <c r="CX4" s="12"/>
      <c r="CY4" s="12"/>
      <c r="CZ4" s="12"/>
      <c r="DA4" s="12"/>
      <c r="DB4" s="12"/>
      <c r="DC4" s="12"/>
      <c r="DD4" s="12"/>
      <c r="DE4" s="12"/>
      <c r="DF4" s="12"/>
      <c r="DG4" s="12"/>
      <c r="DH4" s="12"/>
      <c r="DI4" s="12"/>
      <c r="DJ4" s="12"/>
      <c r="DK4" s="12"/>
      <c r="DL4" s="12"/>
      <c r="DM4" s="12"/>
      <c r="DN4" s="12"/>
      <c r="DO4" s="12"/>
      <c r="DP4" s="12"/>
      <c r="DQ4" s="12"/>
      <c r="DR4" s="12"/>
      <c r="DS4" s="12"/>
      <c r="DT4" s="12"/>
      <c r="DU4" s="12"/>
      <c r="DV4" s="12"/>
      <c r="DW4" s="12"/>
      <c r="DX4" s="12"/>
      <c r="DY4" s="12"/>
      <c r="DZ4" s="12"/>
      <c r="EA4" s="12"/>
      <c r="EB4" s="12"/>
      <c r="EC4" s="12"/>
      <c r="ED4" s="12"/>
      <c r="EE4" s="12"/>
      <c r="EF4" s="12"/>
      <c r="EG4" s="12"/>
      <c r="EH4" s="12"/>
      <c r="EI4" s="12"/>
      <c r="EJ4" s="12"/>
      <c r="EK4" s="12"/>
      <c r="EL4" s="12"/>
      <c r="EM4" s="12"/>
      <c r="EN4" s="12"/>
      <c r="EO4" s="12"/>
      <c r="EP4" s="12"/>
      <c r="EQ4" s="12"/>
      <c r="ER4" s="12"/>
      <c r="ES4" s="12"/>
      <c r="ET4" s="12"/>
      <c r="EU4" s="12"/>
      <c r="EV4" s="12"/>
      <c r="EW4" s="12"/>
      <c r="EX4" s="12"/>
      <c r="EY4" s="12"/>
      <c r="EZ4" s="12"/>
      <c r="FA4" s="12"/>
      <c r="FB4" s="12"/>
      <c r="FC4" s="12"/>
      <c r="FD4" s="12"/>
      <c r="FE4" s="12"/>
      <c r="FF4" s="12"/>
      <c r="FG4" s="12"/>
      <c r="FH4" s="12"/>
      <c r="FI4" s="12"/>
      <c r="FJ4" s="12"/>
      <c r="FK4" s="12"/>
      <c r="FL4" s="12"/>
      <c r="FM4" s="12"/>
      <c r="FN4" s="12"/>
      <c r="FO4" s="12"/>
      <c r="FP4" s="12"/>
      <c r="FQ4" s="12"/>
      <c r="FR4" s="12"/>
      <c r="FS4" s="12"/>
      <c r="FT4" s="12"/>
      <c r="FU4" s="12"/>
      <c r="FV4" s="12"/>
      <c r="FW4" s="12"/>
      <c r="FX4" s="12"/>
      <c r="FY4" s="12"/>
      <c r="FZ4" s="12"/>
      <c r="GA4" s="12"/>
      <c r="GB4" s="12"/>
      <c r="GC4" s="12"/>
      <c r="GD4" s="12"/>
      <c r="GE4" s="12"/>
      <c r="GF4" s="12"/>
      <c r="GG4" s="12"/>
      <c r="GH4" s="12"/>
      <c r="GI4" s="12"/>
      <c r="GJ4" s="12"/>
      <c r="GK4" s="12"/>
      <c r="GL4" s="12"/>
      <c r="GM4" s="12"/>
      <c r="GN4" s="12"/>
      <c r="GO4" s="12"/>
      <c r="GP4" s="12"/>
      <c r="GQ4" s="12"/>
      <c r="GR4" s="12"/>
      <c r="GS4" s="12"/>
      <c r="GT4" s="12"/>
      <c r="GU4" s="12"/>
      <c r="GV4" s="12"/>
      <c r="GW4" s="12"/>
      <c r="GX4" s="12"/>
      <c r="GY4" s="12"/>
      <c r="GZ4" s="12"/>
      <c r="HA4" s="12"/>
      <c r="HB4" s="12"/>
      <c r="HC4" s="12"/>
      <c r="HD4" s="12"/>
      <c r="HE4" s="12"/>
      <c r="HF4" s="12"/>
      <c r="HG4" s="12"/>
      <c r="HH4" s="12"/>
      <c r="HI4" s="12"/>
      <c r="HJ4" s="12"/>
      <c r="HK4" s="12"/>
      <c r="HL4" s="12"/>
      <c r="HM4" s="12"/>
      <c r="HN4" s="12"/>
      <c r="HO4" s="12"/>
      <c r="HP4" s="12"/>
      <c r="HQ4" s="12"/>
      <c r="HR4" s="12"/>
      <c r="HS4" s="12"/>
      <c r="HT4" s="12"/>
      <c r="HU4" s="12"/>
      <c r="HV4" s="12"/>
      <c r="HW4" s="12"/>
      <c r="HX4" s="12"/>
      <c r="HY4" s="12"/>
      <c r="HZ4" s="12"/>
      <c r="IA4" s="12"/>
      <c r="IB4" s="12"/>
      <c r="IC4" s="12"/>
      <c r="ID4" s="12"/>
      <c r="IE4" s="12"/>
      <c r="IF4" s="12"/>
      <c r="IG4" s="12"/>
      <c r="IH4" s="12"/>
      <c r="II4" s="12"/>
      <c r="IJ4" s="12"/>
      <c r="IK4" s="12"/>
      <c r="IL4" s="12"/>
      <c r="IM4" s="12"/>
      <c r="IN4" s="12"/>
      <c r="IO4" s="12"/>
      <c r="IP4" s="12"/>
      <c r="IQ4" s="12"/>
      <c r="IR4" s="12"/>
      <c r="IS4" s="12"/>
      <c r="IT4" s="12"/>
      <c r="IU4" s="12"/>
      <c r="IV4" s="12"/>
      <c r="IW4" s="12"/>
    </row>
    <row r="5" customFormat="false" ht="11.25" hidden="false" customHeight="false" outlineLevel="0" collapsed="false">
      <c r="A5" s="14" t="s">
        <v>4</v>
      </c>
      <c r="B5" s="18" t="s">
        <v>5</v>
      </c>
      <c r="C5" s="18" t="s">
        <v>6</v>
      </c>
      <c r="D5" s="14" t="s">
        <v>7</v>
      </c>
      <c r="E5" s="18" t="s">
        <v>5</v>
      </c>
      <c r="F5" s="18" t="s">
        <v>6</v>
      </c>
      <c r="G5" s="6"/>
      <c r="H5" s="14" t="s">
        <v>4</v>
      </c>
      <c r="I5" s="19" t="str">
        <f aca="false">$J$1</f>
        <v>mid</v>
      </c>
      <c r="J5" s="14" t="s">
        <v>7</v>
      </c>
      <c r="K5" s="19" t="str">
        <f aca="false">$J$1</f>
        <v>mid</v>
      </c>
      <c r="L5" s="10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  <c r="AC5" s="11"/>
      <c r="AD5" s="11"/>
      <c r="AE5" s="11"/>
      <c r="AF5" s="11"/>
      <c r="AG5" s="11"/>
      <c r="AH5" s="11"/>
      <c r="AI5" s="11"/>
      <c r="AJ5" s="11"/>
      <c r="AK5" s="11"/>
      <c r="AL5" s="11"/>
      <c r="AM5" s="11"/>
      <c r="AN5" s="11"/>
      <c r="AO5" s="11"/>
      <c r="AP5" s="11"/>
      <c r="AQ5" s="11"/>
      <c r="AR5" s="5"/>
      <c r="AS5" s="12"/>
      <c r="AT5" s="12"/>
      <c r="AU5" s="12"/>
      <c r="AV5" s="12"/>
      <c r="AW5" s="12"/>
      <c r="AX5" s="12"/>
      <c r="AY5" s="12"/>
      <c r="AZ5" s="12"/>
      <c r="BA5" s="12"/>
      <c r="BB5" s="12"/>
      <c r="BC5" s="12"/>
      <c r="BD5" s="12"/>
      <c r="BE5" s="12"/>
      <c r="BF5" s="12"/>
      <c r="BG5" s="12"/>
      <c r="BH5" s="12"/>
      <c r="BI5" s="12"/>
      <c r="BJ5" s="12"/>
      <c r="BK5" s="12"/>
      <c r="BL5" s="12"/>
      <c r="BM5" s="12"/>
      <c r="BN5" s="12"/>
      <c r="BO5" s="12"/>
      <c r="BP5" s="12"/>
      <c r="BQ5" s="12"/>
      <c r="BR5" s="12"/>
      <c r="BS5" s="12"/>
      <c r="BT5" s="12"/>
      <c r="BU5" s="12"/>
      <c r="BV5" s="12"/>
      <c r="BW5" s="12"/>
      <c r="BX5" s="12"/>
      <c r="BY5" s="12"/>
      <c r="BZ5" s="12"/>
      <c r="CA5" s="12"/>
      <c r="CB5" s="12"/>
      <c r="CC5" s="12"/>
      <c r="CD5" s="12"/>
      <c r="CE5" s="12"/>
      <c r="CF5" s="12"/>
      <c r="CG5" s="12"/>
      <c r="CH5" s="12"/>
      <c r="CI5" s="12"/>
      <c r="CJ5" s="12"/>
      <c r="CK5" s="12"/>
      <c r="CL5" s="12"/>
      <c r="CM5" s="12"/>
      <c r="CN5" s="12"/>
      <c r="CO5" s="12"/>
      <c r="CP5" s="12"/>
      <c r="CQ5" s="12"/>
      <c r="CR5" s="12"/>
      <c r="CS5" s="12"/>
      <c r="CT5" s="12"/>
      <c r="CU5" s="12"/>
      <c r="CV5" s="12"/>
      <c r="CW5" s="12"/>
      <c r="CX5" s="12"/>
      <c r="CY5" s="12"/>
      <c r="CZ5" s="12"/>
      <c r="DA5" s="12"/>
      <c r="DB5" s="12"/>
      <c r="DC5" s="12"/>
      <c r="DD5" s="12"/>
      <c r="DE5" s="12"/>
      <c r="DF5" s="12"/>
      <c r="DG5" s="12"/>
      <c r="DH5" s="12"/>
      <c r="DI5" s="12"/>
      <c r="DJ5" s="12"/>
      <c r="DK5" s="12"/>
      <c r="DL5" s="12"/>
      <c r="DM5" s="12"/>
      <c r="DN5" s="12"/>
      <c r="DO5" s="12"/>
      <c r="DP5" s="12"/>
      <c r="DQ5" s="12"/>
      <c r="DR5" s="12"/>
      <c r="DS5" s="12"/>
      <c r="DT5" s="12"/>
      <c r="DU5" s="12"/>
      <c r="DV5" s="12"/>
      <c r="DW5" s="12"/>
      <c r="DX5" s="12"/>
      <c r="DY5" s="12"/>
      <c r="DZ5" s="12"/>
      <c r="EA5" s="12"/>
      <c r="EB5" s="12"/>
      <c r="EC5" s="12"/>
      <c r="ED5" s="12"/>
      <c r="EE5" s="12"/>
      <c r="EF5" s="12"/>
      <c r="EG5" s="12"/>
      <c r="EH5" s="12"/>
      <c r="EI5" s="12"/>
      <c r="EJ5" s="12"/>
      <c r="EK5" s="12"/>
      <c r="EL5" s="12"/>
      <c r="EM5" s="12"/>
      <c r="EN5" s="12"/>
      <c r="EO5" s="12"/>
      <c r="EP5" s="12"/>
      <c r="EQ5" s="12"/>
      <c r="ER5" s="12"/>
      <c r="ES5" s="12"/>
      <c r="ET5" s="12"/>
      <c r="EU5" s="12"/>
      <c r="EV5" s="12"/>
      <c r="EW5" s="12"/>
      <c r="EX5" s="12"/>
      <c r="EY5" s="12"/>
      <c r="EZ5" s="12"/>
      <c r="FA5" s="12"/>
      <c r="FB5" s="12"/>
      <c r="FC5" s="12"/>
      <c r="FD5" s="12"/>
      <c r="FE5" s="12"/>
      <c r="FF5" s="12"/>
      <c r="FG5" s="12"/>
      <c r="FH5" s="12"/>
      <c r="FI5" s="12"/>
      <c r="FJ5" s="12"/>
      <c r="FK5" s="12"/>
      <c r="FL5" s="12"/>
      <c r="FM5" s="12"/>
      <c r="FN5" s="12"/>
      <c r="FO5" s="12"/>
      <c r="FP5" s="12"/>
      <c r="FQ5" s="12"/>
      <c r="FR5" s="12"/>
      <c r="FS5" s="12"/>
      <c r="FT5" s="12"/>
      <c r="FU5" s="12"/>
      <c r="FV5" s="12"/>
      <c r="FW5" s="12"/>
      <c r="FX5" s="12"/>
      <c r="FY5" s="12"/>
      <c r="FZ5" s="12"/>
      <c r="GA5" s="12"/>
      <c r="GB5" s="12"/>
      <c r="GC5" s="12"/>
      <c r="GD5" s="12"/>
      <c r="GE5" s="12"/>
      <c r="GF5" s="12"/>
      <c r="GG5" s="12"/>
      <c r="GH5" s="12"/>
      <c r="GI5" s="12"/>
      <c r="GJ5" s="12"/>
      <c r="GK5" s="12"/>
      <c r="GL5" s="12"/>
      <c r="GM5" s="12"/>
      <c r="GN5" s="12"/>
      <c r="GO5" s="12"/>
      <c r="GP5" s="12"/>
      <c r="GQ5" s="12"/>
      <c r="GR5" s="12"/>
      <c r="GS5" s="12"/>
      <c r="GT5" s="12"/>
      <c r="GU5" s="12"/>
      <c r="GV5" s="12"/>
      <c r="GW5" s="12"/>
      <c r="GX5" s="12"/>
      <c r="GY5" s="12"/>
      <c r="GZ5" s="12"/>
      <c r="HA5" s="12"/>
      <c r="HB5" s="12"/>
      <c r="HC5" s="12"/>
      <c r="HD5" s="12"/>
      <c r="HE5" s="12"/>
      <c r="HF5" s="12"/>
      <c r="HG5" s="12"/>
      <c r="HH5" s="12"/>
      <c r="HI5" s="12"/>
      <c r="HJ5" s="12"/>
      <c r="HK5" s="12"/>
      <c r="HL5" s="12"/>
      <c r="HM5" s="12"/>
      <c r="HN5" s="12"/>
      <c r="HO5" s="12"/>
      <c r="HP5" s="12"/>
      <c r="HQ5" s="12"/>
      <c r="HR5" s="12"/>
      <c r="HS5" s="12"/>
      <c r="HT5" s="12"/>
      <c r="HU5" s="12"/>
      <c r="HV5" s="12"/>
      <c r="HW5" s="12"/>
      <c r="HX5" s="12"/>
      <c r="HY5" s="12"/>
      <c r="HZ5" s="12"/>
      <c r="IA5" s="12"/>
      <c r="IB5" s="12"/>
      <c r="IC5" s="12"/>
      <c r="ID5" s="12"/>
      <c r="IE5" s="12"/>
      <c r="IF5" s="12"/>
      <c r="IG5" s="12"/>
      <c r="IH5" s="12"/>
      <c r="II5" s="12"/>
      <c r="IJ5" s="12"/>
      <c r="IK5" s="12"/>
      <c r="IL5" s="12"/>
      <c r="IM5" s="12"/>
      <c r="IN5" s="12"/>
      <c r="IO5" s="12"/>
      <c r="IP5" s="12"/>
      <c r="IQ5" s="12"/>
      <c r="IR5" s="12"/>
      <c r="IS5" s="12"/>
      <c r="IT5" s="12"/>
      <c r="IU5" s="12"/>
      <c r="IV5" s="12"/>
      <c r="IW5" s="12"/>
    </row>
    <row r="6" customFormat="false" ht="11.25" hidden="false" customHeight="false" outlineLevel="0" collapsed="false">
      <c r="A6" s="20" t="n">
        <f aca="true">NOW()</f>
        <v>45926.9848782904</v>
      </c>
      <c r="B6" s="21" t="n">
        <v>2.342</v>
      </c>
      <c r="C6" s="21" t="n">
        <v>2.347</v>
      </c>
      <c r="D6" s="22" t="n">
        <f aca="false">+A6</f>
        <v>45926.9848782904</v>
      </c>
      <c r="E6" s="21" t="n">
        <v>23.357</v>
      </c>
      <c r="F6" s="21" t="n">
        <v>23.387</v>
      </c>
      <c r="G6" s="6"/>
      <c r="H6" s="22" t="n">
        <f aca="false">A6</f>
        <v>45926.9848782904</v>
      </c>
      <c r="I6" s="23" t="n">
        <f aca="false">IF($J$1="bid",B6,C6)</f>
        <v>2.347</v>
      </c>
      <c r="J6" s="24" t="n">
        <f aca="false">D6</f>
        <v>45926.9848782904</v>
      </c>
      <c r="K6" s="23" t="n">
        <f aca="false">IF($J$1="bid",E6,F6)</f>
        <v>23.387</v>
      </c>
      <c r="L6" s="10" t="s">
        <v>8</v>
      </c>
      <c r="M6" s="5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  <c r="AG6" s="11"/>
      <c r="AH6" s="11"/>
      <c r="AI6" s="11"/>
      <c r="AJ6" s="11"/>
      <c r="AK6" s="11"/>
      <c r="AL6" s="11"/>
      <c r="AM6" s="11"/>
      <c r="AN6" s="11"/>
      <c r="AO6" s="11"/>
      <c r="AP6" s="11"/>
      <c r="AQ6" s="11"/>
      <c r="AR6" s="5"/>
      <c r="AS6" s="12"/>
      <c r="AT6" s="12"/>
      <c r="AU6" s="12"/>
      <c r="AV6" s="12"/>
      <c r="AW6" s="12"/>
      <c r="AX6" s="12"/>
      <c r="AY6" s="12"/>
      <c r="AZ6" s="12"/>
      <c r="BA6" s="12"/>
      <c r="BB6" s="12"/>
      <c r="BC6" s="12"/>
      <c r="BD6" s="12"/>
      <c r="BE6" s="12"/>
      <c r="BF6" s="12"/>
      <c r="BG6" s="12"/>
      <c r="BH6" s="12"/>
      <c r="BI6" s="12"/>
      <c r="BJ6" s="12"/>
      <c r="BK6" s="12"/>
      <c r="BL6" s="12"/>
      <c r="BM6" s="12"/>
      <c r="BN6" s="12"/>
      <c r="BO6" s="12"/>
      <c r="BP6" s="12"/>
      <c r="BQ6" s="12"/>
      <c r="BR6" s="12"/>
      <c r="BS6" s="12"/>
      <c r="BT6" s="12"/>
      <c r="BU6" s="12"/>
      <c r="BV6" s="12"/>
      <c r="BW6" s="12"/>
      <c r="BX6" s="12"/>
      <c r="BY6" s="12"/>
      <c r="BZ6" s="12"/>
      <c r="CA6" s="12"/>
      <c r="CB6" s="12"/>
      <c r="CC6" s="12"/>
      <c r="CD6" s="12"/>
      <c r="CE6" s="12"/>
      <c r="CF6" s="12"/>
      <c r="CG6" s="12"/>
      <c r="CH6" s="12"/>
      <c r="CI6" s="12"/>
      <c r="CJ6" s="12"/>
      <c r="CK6" s="12"/>
      <c r="CL6" s="12"/>
      <c r="CM6" s="12"/>
      <c r="CN6" s="12"/>
      <c r="CO6" s="12"/>
      <c r="CP6" s="12"/>
      <c r="CQ6" s="12"/>
      <c r="CR6" s="12"/>
      <c r="CS6" s="12"/>
      <c r="CT6" s="12"/>
      <c r="CU6" s="12"/>
      <c r="CV6" s="12"/>
      <c r="CW6" s="12"/>
      <c r="CX6" s="12"/>
      <c r="CY6" s="12"/>
      <c r="CZ6" s="12"/>
      <c r="DA6" s="12"/>
      <c r="DB6" s="12"/>
      <c r="DC6" s="12"/>
      <c r="DD6" s="12"/>
      <c r="DE6" s="12"/>
      <c r="DF6" s="12"/>
      <c r="DG6" s="12"/>
      <c r="DH6" s="12"/>
      <c r="DI6" s="12"/>
      <c r="DJ6" s="12"/>
      <c r="DK6" s="12"/>
      <c r="DL6" s="12"/>
      <c r="DM6" s="12"/>
      <c r="DN6" s="12"/>
      <c r="DO6" s="12"/>
      <c r="DP6" s="12"/>
      <c r="DQ6" s="12"/>
      <c r="DR6" s="12"/>
      <c r="DS6" s="12"/>
      <c r="DT6" s="12"/>
      <c r="DU6" s="12"/>
      <c r="DV6" s="12"/>
      <c r="DW6" s="12"/>
      <c r="DX6" s="12"/>
      <c r="DY6" s="12"/>
      <c r="DZ6" s="12"/>
      <c r="EA6" s="12"/>
      <c r="EB6" s="12"/>
      <c r="EC6" s="12"/>
      <c r="ED6" s="12"/>
      <c r="EE6" s="12"/>
      <c r="EF6" s="12"/>
      <c r="EG6" s="12"/>
      <c r="EH6" s="12"/>
      <c r="EI6" s="12"/>
      <c r="EJ6" s="12"/>
      <c r="EK6" s="12"/>
      <c r="EL6" s="12"/>
      <c r="EM6" s="12"/>
      <c r="EN6" s="12"/>
      <c r="EO6" s="12"/>
      <c r="EP6" s="12"/>
      <c r="EQ6" s="12"/>
      <c r="ER6" s="12"/>
      <c r="ES6" s="12"/>
      <c r="ET6" s="12"/>
      <c r="EU6" s="12"/>
      <c r="EV6" s="12"/>
      <c r="EW6" s="12"/>
      <c r="EX6" s="12"/>
      <c r="EY6" s="12"/>
      <c r="EZ6" s="12"/>
      <c r="FA6" s="12"/>
      <c r="FB6" s="12"/>
      <c r="FC6" s="12"/>
      <c r="FD6" s="12"/>
      <c r="FE6" s="12"/>
      <c r="FF6" s="12"/>
      <c r="FG6" s="12"/>
      <c r="FH6" s="12"/>
      <c r="FI6" s="12"/>
      <c r="FJ6" s="12"/>
      <c r="FK6" s="12"/>
      <c r="FL6" s="12"/>
      <c r="FM6" s="12"/>
      <c r="FN6" s="12"/>
      <c r="FO6" s="12"/>
      <c r="FP6" s="12"/>
      <c r="FQ6" s="12"/>
      <c r="FR6" s="12"/>
      <c r="FS6" s="12"/>
      <c r="FT6" s="12"/>
      <c r="FU6" s="12"/>
      <c r="FV6" s="12"/>
      <c r="FW6" s="12"/>
      <c r="FX6" s="12"/>
      <c r="FY6" s="12"/>
      <c r="FZ6" s="12"/>
      <c r="GA6" s="12"/>
      <c r="GB6" s="12"/>
      <c r="GC6" s="12"/>
      <c r="GD6" s="12"/>
      <c r="GE6" s="12"/>
      <c r="GF6" s="12"/>
      <c r="GG6" s="12"/>
      <c r="GH6" s="12"/>
      <c r="GI6" s="12"/>
      <c r="GJ6" s="12"/>
      <c r="GK6" s="12"/>
      <c r="GL6" s="12"/>
      <c r="GM6" s="12"/>
      <c r="GN6" s="12"/>
      <c r="GO6" s="12"/>
      <c r="GP6" s="12"/>
      <c r="GQ6" s="12"/>
      <c r="GR6" s="12"/>
      <c r="GS6" s="12"/>
      <c r="GT6" s="12"/>
      <c r="GU6" s="12"/>
      <c r="GV6" s="12"/>
      <c r="GW6" s="12"/>
      <c r="GX6" s="12"/>
      <c r="GY6" s="12"/>
      <c r="GZ6" s="12"/>
      <c r="HA6" s="12"/>
      <c r="HB6" s="12"/>
      <c r="HC6" s="12"/>
      <c r="HD6" s="12"/>
      <c r="HE6" s="12"/>
      <c r="HF6" s="12"/>
      <c r="HG6" s="12"/>
      <c r="HH6" s="12"/>
      <c r="HI6" s="12"/>
      <c r="HJ6" s="12"/>
      <c r="HK6" s="12"/>
      <c r="HL6" s="12"/>
      <c r="HM6" s="12"/>
      <c r="HN6" s="12"/>
      <c r="HO6" s="12"/>
      <c r="HP6" s="12"/>
      <c r="HQ6" s="12"/>
      <c r="HR6" s="12"/>
      <c r="HS6" s="12"/>
      <c r="HT6" s="12"/>
      <c r="HU6" s="12"/>
      <c r="HV6" s="12"/>
      <c r="HW6" s="12"/>
      <c r="HX6" s="12"/>
      <c r="HY6" s="12"/>
      <c r="HZ6" s="12"/>
      <c r="IA6" s="12"/>
      <c r="IB6" s="12"/>
      <c r="IC6" s="12"/>
      <c r="ID6" s="12"/>
      <c r="IE6" s="12"/>
      <c r="IF6" s="12"/>
      <c r="IG6" s="12"/>
      <c r="IH6" s="12"/>
      <c r="II6" s="12"/>
      <c r="IJ6" s="12"/>
      <c r="IK6" s="12"/>
      <c r="IL6" s="12"/>
      <c r="IM6" s="12"/>
      <c r="IN6" s="12"/>
      <c r="IO6" s="12"/>
      <c r="IP6" s="12"/>
      <c r="IQ6" s="12"/>
      <c r="IR6" s="12"/>
      <c r="IS6" s="12"/>
      <c r="IT6" s="12"/>
      <c r="IU6" s="12"/>
      <c r="IV6" s="12"/>
      <c r="IW6" s="12"/>
    </row>
    <row r="7" customFormat="false" ht="11.25" hidden="false" customHeight="false" outlineLevel="0" collapsed="false">
      <c r="A7" s="25" t="n">
        <f aca="false">DATE(YEAR(A6),MONTH(A6)+1,1)</f>
        <v>45931</v>
      </c>
      <c r="B7" s="21" t="n">
        <v>2.527</v>
      </c>
      <c r="C7" s="21" t="n">
        <v>2.532</v>
      </c>
      <c r="D7" s="25" t="n">
        <f aca="false">DATE(YEAR(D6),MONTH(D6)+1,1)</f>
        <v>45931</v>
      </c>
      <c r="E7" s="21" t="n">
        <v>22.75</v>
      </c>
      <c r="F7" s="21" t="n">
        <v>22.782</v>
      </c>
      <c r="G7" s="6"/>
      <c r="H7" s="22" t="n">
        <f aca="false">A7</f>
        <v>45931</v>
      </c>
      <c r="I7" s="23" t="n">
        <f aca="false">IF($J$1="bid",B7,C7)</f>
        <v>2.532</v>
      </c>
      <c r="J7" s="24" t="n">
        <f aca="false">D7</f>
        <v>45931</v>
      </c>
      <c r="K7" s="23" t="n">
        <f aca="false">IF($J$1="bid",E7,F7)</f>
        <v>22.782</v>
      </c>
      <c r="L7" s="10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1"/>
      <c r="AD7" s="11"/>
      <c r="AE7" s="11"/>
      <c r="AF7" s="11"/>
      <c r="AG7" s="11"/>
      <c r="AH7" s="11"/>
      <c r="AI7" s="11"/>
      <c r="AJ7" s="11"/>
      <c r="AK7" s="11"/>
      <c r="AL7" s="16" t="s">
        <v>9</v>
      </c>
      <c r="AM7" s="26" t="n">
        <v>0.02</v>
      </c>
      <c r="AN7" s="11"/>
      <c r="AO7" s="11"/>
      <c r="AP7" s="11"/>
      <c r="AQ7" s="11"/>
      <c r="AR7" s="5"/>
      <c r="AS7" s="12"/>
      <c r="AT7" s="12"/>
      <c r="AU7" s="12"/>
      <c r="AV7" s="12"/>
      <c r="AW7" s="12"/>
      <c r="AX7" s="12"/>
      <c r="AY7" s="12"/>
      <c r="AZ7" s="12"/>
      <c r="BA7" s="12"/>
      <c r="BB7" s="12"/>
      <c r="BC7" s="12"/>
      <c r="BD7" s="12"/>
      <c r="BE7" s="12"/>
      <c r="BF7" s="12"/>
      <c r="BG7" s="12"/>
      <c r="BH7" s="12"/>
      <c r="BI7" s="12"/>
      <c r="BJ7" s="12"/>
      <c r="BK7" s="12"/>
      <c r="BL7" s="12"/>
      <c r="BM7" s="12"/>
      <c r="BN7" s="12"/>
      <c r="BO7" s="12"/>
      <c r="BP7" s="12"/>
      <c r="BQ7" s="12"/>
      <c r="BR7" s="12"/>
      <c r="BS7" s="12"/>
      <c r="BT7" s="12"/>
      <c r="BU7" s="12"/>
      <c r="BV7" s="12"/>
      <c r="BW7" s="12"/>
      <c r="BX7" s="12"/>
      <c r="BY7" s="12"/>
      <c r="BZ7" s="12"/>
      <c r="CA7" s="12"/>
      <c r="CB7" s="12"/>
      <c r="CC7" s="12"/>
      <c r="CD7" s="12"/>
      <c r="CE7" s="12"/>
      <c r="CF7" s="12"/>
      <c r="CG7" s="12"/>
      <c r="CH7" s="12"/>
      <c r="CI7" s="12"/>
      <c r="CJ7" s="12"/>
      <c r="CK7" s="12"/>
      <c r="CL7" s="12"/>
      <c r="CM7" s="12"/>
      <c r="CN7" s="12"/>
      <c r="CO7" s="12"/>
      <c r="CP7" s="12"/>
      <c r="CQ7" s="12"/>
      <c r="CR7" s="12"/>
      <c r="CS7" s="12"/>
      <c r="CT7" s="12"/>
      <c r="CU7" s="12"/>
      <c r="CV7" s="12"/>
      <c r="CW7" s="12"/>
      <c r="CX7" s="12"/>
      <c r="CY7" s="12"/>
      <c r="CZ7" s="12"/>
      <c r="DA7" s="12"/>
      <c r="DB7" s="12"/>
      <c r="DC7" s="12"/>
      <c r="DD7" s="12"/>
      <c r="DE7" s="12"/>
      <c r="DF7" s="12"/>
      <c r="DG7" s="12"/>
      <c r="DH7" s="12"/>
      <c r="DI7" s="12"/>
      <c r="DJ7" s="12"/>
      <c r="DK7" s="12"/>
      <c r="DL7" s="12"/>
      <c r="DM7" s="12"/>
      <c r="DN7" s="12"/>
      <c r="DO7" s="12"/>
      <c r="DP7" s="12"/>
      <c r="DQ7" s="12"/>
      <c r="DR7" s="12"/>
      <c r="DS7" s="12"/>
      <c r="DT7" s="12"/>
      <c r="DU7" s="12"/>
      <c r="DV7" s="12"/>
      <c r="DW7" s="12"/>
      <c r="DX7" s="12"/>
      <c r="DY7" s="12"/>
      <c r="DZ7" s="12"/>
      <c r="EA7" s="12"/>
      <c r="EB7" s="12"/>
      <c r="EC7" s="12"/>
      <c r="ED7" s="12"/>
      <c r="EE7" s="12"/>
      <c r="EF7" s="12"/>
      <c r="EG7" s="12"/>
      <c r="EH7" s="12"/>
      <c r="EI7" s="12"/>
      <c r="EJ7" s="12"/>
      <c r="EK7" s="12"/>
      <c r="EL7" s="12"/>
      <c r="EM7" s="12"/>
      <c r="EN7" s="12"/>
      <c r="EO7" s="12"/>
      <c r="EP7" s="12"/>
      <c r="EQ7" s="12"/>
      <c r="ER7" s="12"/>
      <c r="ES7" s="12"/>
      <c r="ET7" s="12"/>
      <c r="EU7" s="12"/>
      <c r="EV7" s="12"/>
      <c r="EW7" s="12"/>
      <c r="EX7" s="12"/>
      <c r="EY7" s="12"/>
      <c r="EZ7" s="12"/>
      <c r="FA7" s="12"/>
      <c r="FB7" s="12"/>
      <c r="FC7" s="12"/>
      <c r="FD7" s="12"/>
      <c r="FE7" s="12"/>
      <c r="FF7" s="12"/>
      <c r="FG7" s="12"/>
      <c r="FH7" s="12"/>
      <c r="FI7" s="12"/>
      <c r="FJ7" s="12"/>
      <c r="FK7" s="12"/>
      <c r="FL7" s="12"/>
      <c r="FM7" s="12"/>
      <c r="FN7" s="12"/>
      <c r="FO7" s="12"/>
      <c r="FP7" s="12"/>
      <c r="FQ7" s="12"/>
      <c r="FR7" s="12"/>
      <c r="FS7" s="12"/>
      <c r="FT7" s="12"/>
      <c r="FU7" s="12"/>
      <c r="FV7" s="12"/>
      <c r="FW7" s="12"/>
      <c r="FX7" s="12"/>
      <c r="FY7" s="12"/>
      <c r="FZ7" s="12"/>
      <c r="GA7" s="12"/>
      <c r="GB7" s="12"/>
      <c r="GC7" s="12"/>
      <c r="GD7" s="12"/>
      <c r="GE7" s="12"/>
      <c r="GF7" s="12"/>
      <c r="GG7" s="12"/>
      <c r="GH7" s="12"/>
      <c r="GI7" s="12"/>
      <c r="GJ7" s="12"/>
      <c r="GK7" s="12"/>
      <c r="GL7" s="12"/>
      <c r="GM7" s="12"/>
      <c r="GN7" s="12"/>
      <c r="GO7" s="12"/>
      <c r="GP7" s="12"/>
      <c r="GQ7" s="12"/>
      <c r="GR7" s="12"/>
      <c r="GS7" s="12"/>
      <c r="GT7" s="12"/>
      <c r="GU7" s="12"/>
      <c r="GV7" s="12"/>
      <c r="GW7" s="12"/>
      <c r="GX7" s="12"/>
      <c r="GY7" s="12"/>
      <c r="GZ7" s="12"/>
      <c r="HA7" s="12"/>
      <c r="HB7" s="12"/>
      <c r="HC7" s="12"/>
      <c r="HD7" s="12"/>
      <c r="HE7" s="12"/>
      <c r="HF7" s="12"/>
      <c r="HG7" s="12"/>
      <c r="HH7" s="12"/>
      <c r="HI7" s="12"/>
      <c r="HJ7" s="12"/>
      <c r="HK7" s="12"/>
      <c r="HL7" s="12"/>
      <c r="HM7" s="12"/>
      <c r="HN7" s="12"/>
      <c r="HO7" s="12"/>
      <c r="HP7" s="12"/>
      <c r="HQ7" s="12"/>
      <c r="HR7" s="12"/>
      <c r="HS7" s="12"/>
      <c r="HT7" s="12"/>
      <c r="HU7" s="12"/>
      <c r="HV7" s="12"/>
      <c r="HW7" s="12"/>
      <c r="HX7" s="12"/>
      <c r="HY7" s="12"/>
      <c r="HZ7" s="12"/>
      <c r="IA7" s="12"/>
      <c r="IB7" s="12"/>
      <c r="IC7" s="12"/>
      <c r="ID7" s="12"/>
      <c r="IE7" s="12"/>
      <c r="IF7" s="12"/>
      <c r="IG7" s="12"/>
      <c r="IH7" s="12"/>
      <c r="II7" s="12"/>
      <c r="IJ7" s="12"/>
      <c r="IK7" s="12"/>
      <c r="IL7" s="12"/>
      <c r="IM7" s="12"/>
      <c r="IN7" s="12"/>
      <c r="IO7" s="12"/>
      <c r="IP7" s="12"/>
      <c r="IQ7" s="12"/>
      <c r="IR7" s="12"/>
      <c r="IS7" s="12"/>
      <c r="IT7" s="12"/>
      <c r="IU7" s="12"/>
      <c r="IV7" s="12"/>
      <c r="IW7" s="12"/>
    </row>
    <row r="8" customFormat="false" ht="11.25" hidden="false" customHeight="false" outlineLevel="0" collapsed="false">
      <c r="A8" s="25" t="n">
        <f aca="false">DATE(YEAR(A7),MONTH(A7)+1,1)</f>
        <v>45962</v>
      </c>
      <c r="B8" s="21" t="n">
        <v>2.543</v>
      </c>
      <c r="C8" s="21" t="n">
        <v>2.548</v>
      </c>
      <c r="D8" s="25" t="n">
        <f aca="false">DATE(YEAR(D7),MONTH(D7)+1,1)</f>
        <v>45962</v>
      </c>
      <c r="E8" s="21" t="n">
        <v>22.191</v>
      </c>
      <c r="F8" s="21" t="n">
        <v>22.226</v>
      </c>
      <c r="G8" s="6"/>
      <c r="H8" s="22" t="n">
        <f aca="false">A8</f>
        <v>45962</v>
      </c>
      <c r="I8" s="23" t="n">
        <f aca="false">IF($J$1="bid",B8,C8)</f>
        <v>2.548</v>
      </c>
      <c r="J8" s="24" t="n">
        <f aca="false">D8</f>
        <v>45962</v>
      </c>
      <c r="K8" s="23" t="n">
        <f aca="false">IF($J$1="bid",E8,F8)</f>
        <v>22.226</v>
      </c>
      <c r="L8" s="27"/>
      <c r="M8" s="27"/>
      <c r="N8" s="28" t="n">
        <f aca="false">YEAR(H6)</f>
        <v>2025</v>
      </c>
      <c r="O8" s="28" t="n">
        <f aca="false">N8+1</f>
        <v>2026</v>
      </c>
      <c r="P8" s="28" t="n">
        <f aca="false">O8+1</f>
        <v>2027</v>
      </c>
      <c r="Q8" s="28" t="n">
        <f aca="false">P8+1</f>
        <v>2028</v>
      </c>
      <c r="R8" s="28" t="n">
        <f aca="false">Q8+1</f>
        <v>2029</v>
      </c>
      <c r="S8" s="28" t="n">
        <f aca="false">R8+1</f>
        <v>2030</v>
      </c>
      <c r="T8" s="28" t="n">
        <f aca="false">S8+1</f>
        <v>2031</v>
      </c>
      <c r="U8" s="28" t="n">
        <f aca="false">T8+1</f>
        <v>2032</v>
      </c>
      <c r="V8" s="28" t="n">
        <f aca="false">U8+1</f>
        <v>2033</v>
      </c>
      <c r="W8" s="28" t="n">
        <f aca="false">V8+1</f>
        <v>2034</v>
      </c>
      <c r="X8" s="28" t="n">
        <f aca="false">W8+1</f>
        <v>2035</v>
      </c>
      <c r="Y8" s="28" t="n">
        <f aca="false">X8+1</f>
        <v>2036</v>
      </c>
      <c r="Z8" s="28" t="n">
        <f aca="false">Y8+1</f>
        <v>2037</v>
      </c>
      <c r="AA8" s="28" t="n">
        <f aca="false">Z8+1</f>
        <v>2038</v>
      </c>
      <c r="AB8" s="28" t="n">
        <f aca="false">AA8+1</f>
        <v>2039</v>
      </c>
      <c r="AC8" s="28" t="n">
        <f aca="false">AB8+1</f>
        <v>2040</v>
      </c>
      <c r="AD8" s="28" t="n">
        <f aca="false">AC8+1</f>
        <v>2041</v>
      </c>
      <c r="AE8" s="28" t="n">
        <f aca="false">AD8+1</f>
        <v>2042</v>
      </c>
      <c r="AF8" s="28" t="n">
        <f aca="false">AE8+1</f>
        <v>2043</v>
      </c>
      <c r="AG8" s="28" t="n">
        <f aca="false">AF8+1</f>
        <v>2044</v>
      </c>
      <c r="AH8" s="28" t="n">
        <f aca="false">AG8+1</f>
        <v>2045</v>
      </c>
      <c r="AI8" s="28" t="n">
        <f aca="false">AH8+1</f>
        <v>2046</v>
      </c>
      <c r="AJ8" s="28" t="n">
        <f aca="false">AI8+1</f>
        <v>2047</v>
      </c>
      <c r="AK8" s="28" t="n">
        <f aca="false">AJ8+1</f>
        <v>2048</v>
      </c>
      <c r="AL8" s="28" t="n">
        <f aca="false">AK8+1</f>
        <v>2049</v>
      </c>
      <c r="AM8" s="27" t="n">
        <f aca="false">AL8+1</f>
        <v>2050</v>
      </c>
      <c r="AN8" s="27" t="n">
        <f aca="false">AM8+1</f>
        <v>2051</v>
      </c>
      <c r="AO8" s="27" t="n">
        <f aca="false">AN8+1</f>
        <v>2052</v>
      </c>
      <c r="AP8" s="27" t="n">
        <f aca="false">AO8+1</f>
        <v>2053</v>
      </c>
      <c r="AQ8" s="10" t="s">
        <v>10</v>
      </c>
      <c r="AR8" s="5"/>
      <c r="AS8" s="12"/>
      <c r="AT8" s="12"/>
      <c r="AU8" s="12"/>
      <c r="AV8" s="12"/>
      <c r="AW8" s="12"/>
      <c r="AX8" s="12"/>
      <c r="AY8" s="12"/>
      <c r="AZ8" s="12"/>
      <c r="BA8" s="12"/>
      <c r="BB8" s="12"/>
      <c r="BC8" s="12"/>
      <c r="BD8" s="12"/>
      <c r="BE8" s="12"/>
      <c r="BF8" s="12"/>
      <c r="BG8" s="12"/>
      <c r="BH8" s="12"/>
      <c r="BI8" s="12"/>
      <c r="BJ8" s="12"/>
      <c r="BK8" s="12"/>
      <c r="BL8" s="12"/>
      <c r="BM8" s="12"/>
      <c r="BN8" s="12"/>
      <c r="BO8" s="12"/>
      <c r="BP8" s="12"/>
      <c r="BQ8" s="12"/>
      <c r="BR8" s="12"/>
      <c r="BS8" s="12"/>
      <c r="BT8" s="12"/>
      <c r="BU8" s="12"/>
      <c r="BV8" s="12"/>
      <c r="BW8" s="12"/>
      <c r="BX8" s="12"/>
      <c r="BY8" s="12"/>
      <c r="BZ8" s="12"/>
      <c r="CA8" s="12"/>
      <c r="CB8" s="12"/>
      <c r="CC8" s="12"/>
      <c r="CD8" s="12"/>
      <c r="CE8" s="12"/>
      <c r="CF8" s="12"/>
      <c r="CG8" s="12"/>
      <c r="CH8" s="12"/>
      <c r="CI8" s="12"/>
      <c r="CJ8" s="12"/>
      <c r="CK8" s="12"/>
      <c r="CL8" s="12"/>
      <c r="CM8" s="12"/>
      <c r="CN8" s="12"/>
      <c r="CO8" s="12"/>
      <c r="CP8" s="12"/>
      <c r="CQ8" s="12"/>
      <c r="CR8" s="12"/>
      <c r="CS8" s="12"/>
      <c r="CT8" s="12"/>
      <c r="CU8" s="12"/>
      <c r="CV8" s="12"/>
      <c r="CW8" s="12"/>
      <c r="CX8" s="12"/>
      <c r="CY8" s="12"/>
      <c r="CZ8" s="12"/>
      <c r="DA8" s="12"/>
      <c r="DB8" s="12"/>
      <c r="DC8" s="12"/>
      <c r="DD8" s="12"/>
      <c r="DE8" s="12"/>
      <c r="DF8" s="12"/>
      <c r="DG8" s="12"/>
      <c r="DH8" s="12"/>
      <c r="DI8" s="12"/>
      <c r="DJ8" s="12"/>
      <c r="DK8" s="12"/>
      <c r="DL8" s="12"/>
      <c r="DM8" s="12"/>
      <c r="DN8" s="12"/>
      <c r="DO8" s="12"/>
      <c r="DP8" s="12"/>
      <c r="DQ8" s="12"/>
      <c r="DR8" s="12"/>
      <c r="DS8" s="12"/>
      <c r="DT8" s="12"/>
      <c r="DU8" s="12"/>
      <c r="DV8" s="12"/>
      <c r="DW8" s="12"/>
      <c r="DX8" s="12"/>
      <c r="DY8" s="12"/>
      <c r="DZ8" s="12"/>
      <c r="EA8" s="12"/>
      <c r="EB8" s="12"/>
      <c r="EC8" s="12"/>
      <c r="ED8" s="12"/>
      <c r="EE8" s="12"/>
      <c r="EF8" s="12"/>
      <c r="EG8" s="12"/>
      <c r="EH8" s="12"/>
      <c r="EI8" s="12"/>
      <c r="EJ8" s="12"/>
      <c r="EK8" s="12"/>
      <c r="EL8" s="12"/>
      <c r="EM8" s="12"/>
      <c r="EN8" s="12"/>
      <c r="EO8" s="12"/>
      <c r="EP8" s="12"/>
      <c r="EQ8" s="12"/>
      <c r="ER8" s="12"/>
      <c r="ES8" s="12"/>
      <c r="ET8" s="12"/>
      <c r="EU8" s="12"/>
      <c r="EV8" s="12"/>
      <c r="EW8" s="12"/>
      <c r="EX8" s="12"/>
      <c r="EY8" s="12"/>
      <c r="EZ8" s="12"/>
      <c r="FA8" s="12"/>
      <c r="FB8" s="12"/>
      <c r="FC8" s="12"/>
      <c r="FD8" s="12"/>
      <c r="FE8" s="12"/>
      <c r="FF8" s="12"/>
      <c r="FG8" s="12"/>
      <c r="FH8" s="12"/>
      <c r="FI8" s="12"/>
      <c r="FJ8" s="12"/>
      <c r="FK8" s="12"/>
      <c r="FL8" s="12"/>
      <c r="FM8" s="12"/>
      <c r="FN8" s="12"/>
      <c r="FO8" s="12"/>
      <c r="FP8" s="12"/>
      <c r="FQ8" s="12"/>
      <c r="FR8" s="12"/>
      <c r="FS8" s="12"/>
      <c r="FT8" s="12"/>
      <c r="FU8" s="12"/>
      <c r="FV8" s="12"/>
      <c r="FW8" s="12"/>
      <c r="FX8" s="12"/>
      <c r="FY8" s="12"/>
      <c r="FZ8" s="12"/>
      <c r="GA8" s="12"/>
      <c r="GB8" s="12"/>
      <c r="GC8" s="12"/>
      <c r="GD8" s="12"/>
      <c r="GE8" s="12"/>
      <c r="GF8" s="12"/>
      <c r="GG8" s="12"/>
      <c r="GH8" s="12"/>
      <c r="GI8" s="12"/>
      <c r="GJ8" s="12"/>
      <c r="GK8" s="12"/>
      <c r="GL8" s="12"/>
      <c r="GM8" s="12"/>
      <c r="GN8" s="12"/>
      <c r="GO8" s="12"/>
      <c r="GP8" s="12"/>
      <c r="GQ8" s="12"/>
      <c r="GR8" s="12"/>
      <c r="GS8" s="12"/>
      <c r="GT8" s="12"/>
      <c r="GU8" s="12"/>
      <c r="GV8" s="12"/>
      <c r="GW8" s="12"/>
      <c r="GX8" s="12"/>
      <c r="GY8" s="12"/>
      <c r="GZ8" s="12"/>
      <c r="HA8" s="12"/>
      <c r="HB8" s="12"/>
      <c r="HC8" s="12"/>
      <c r="HD8" s="12"/>
      <c r="HE8" s="12"/>
      <c r="HF8" s="12"/>
      <c r="HG8" s="12"/>
      <c r="HH8" s="12"/>
      <c r="HI8" s="12"/>
      <c r="HJ8" s="12"/>
      <c r="HK8" s="12"/>
      <c r="HL8" s="12"/>
      <c r="HM8" s="12"/>
      <c r="HN8" s="12"/>
      <c r="HO8" s="12"/>
      <c r="HP8" s="12"/>
      <c r="HQ8" s="12"/>
      <c r="HR8" s="12"/>
      <c r="HS8" s="12"/>
      <c r="HT8" s="12"/>
      <c r="HU8" s="12"/>
      <c r="HV8" s="12"/>
      <c r="HW8" s="12"/>
      <c r="HX8" s="12"/>
      <c r="HY8" s="12"/>
      <c r="HZ8" s="12"/>
      <c r="IA8" s="12"/>
      <c r="IB8" s="12"/>
      <c r="IC8" s="12"/>
      <c r="ID8" s="12"/>
      <c r="IE8" s="12"/>
      <c r="IF8" s="12"/>
      <c r="IG8" s="12"/>
      <c r="IH8" s="12"/>
      <c r="II8" s="12"/>
      <c r="IJ8" s="12"/>
      <c r="IK8" s="12"/>
      <c r="IL8" s="12"/>
      <c r="IM8" s="12"/>
      <c r="IN8" s="12"/>
      <c r="IO8" s="12"/>
      <c r="IP8" s="12"/>
      <c r="IQ8" s="12"/>
      <c r="IR8" s="12"/>
      <c r="IS8" s="12"/>
      <c r="IT8" s="12"/>
      <c r="IU8" s="12"/>
      <c r="IV8" s="12"/>
      <c r="IW8" s="12"/>
    </row>
    <row r="9" customFormat="false" ht="11.25" hidden="false" customHeight="false" outlineLevel="0" collapsed="false">
      <c r="A9" s="25" t="n">
        <f aca="false">DATE(YEAR(A8),MONTH(A8)+1,1)</f>
        <v>45992</v>
      </c>
      <c r="B9" s="21" t="n">
        <v>2.413</v>
      </c>
      <c r="C9" s="21" t="n">
        <v>2.418</v>
      </c>
      <c r="D9" s="25" t="n">
        <f aca="false">DATE(YEAR(D8),MONTH(D8)+1,1)</f>
        <v>45992</v>
      </c>
      <c r="E9" s="21" t="n">
        <v>21.742</v>
      </c>
      <c r="F9" s="21" t="n">
        <v>21.777</v>
      </c>
      <c r="G9" s="6"/>
      <c r="H9" s="22" t="n">
        <f aca="false">A9</f>
        <v>45992</v>
      </c>
      <c r="I9" s="23" t="n">
        <f aca="false">IF($J$1="bid",B9,C9)</f>
        <v>2.418</v>
      </c>
      <c r="J9" s="24" t="n">
        <f aca="false">D9</f>
        <v>45992</v>
      </c>
      <c r="K9" s="23" t="n">
        <f aca="false">IF($J$1="bid",E9,F9)</f>
        <v>21.777</v>
      </c>
      <c r="L9" s="11"/>
      <c r="M9" s="11" t="n">
        <v>1</v>
      </c>
      <c r="N9" s="29" t="n">
        <f aca="false">IF(MONTH($A$6)&gt;M9,0,IF(MONTH($A$6)=M9,+I$6,LOOKUP(DATE(N$8-1900,$M9,1),$H$6:$H$296,$I$6:$I$296)))</f>
        <v>0</v>
      </c>
      <c r="O9" s="29" t="e">
        <f aca="false">LOOKUP(DATE(N$8-1900+1,$M9,1),$H$6:$H$296,$I$6:$I$296)</f>
        <v>#VALUE!</v>
      </c>
      <c r="P9" s="29" t="e">
        <f aca="false">LOOKUP(DATE(O$8-1900+1,$M9,1),$H$6:$H$296,$I$6:$I$296)</f>
        <v>#VALUE!</v>
      </c>
      <c r="Q9" s="29" t="e">
        <f aca="false">LOOKUP(DATE(P$8-1900+1,$M9,1),$H$6:$H$296,$I$6:$I$296)</f>
        <v>#VALUE!</v>
      </c>
      <c r="R9" s="29" t="e">
        <f aca="false">LOOKUP(DATE(Q$8-1900+1,$M9,1),$H$6:$H$296,$I$6:$I$296)</f>
        <v>#VALUE!</v>
      </c>
      <c r="S9" s="29" t="e">
        <f aca="false">LOOKUP(DATE(R$8-1900+1,$M9,1),$H$6:$H$296,$I$6:$I$296)</f>
        <v>#VALUE!</v>
      </c>
      <c r="T9" s="29" t="e">
        <f aca="false">LOOKUP(DATE(S$8-1900+1,$M9,1),$H$6:$H$296,$I$6:$I$296)</f>
        <v>#VALUE!</v>
      </c>
      <c r="U9" s="29" t="e">
        <f aca="false">LOOKUP(DATE(T$8-1900+1,$M9,1),$H$6:$H$296,$I$6:$I$296)</f>
        <v>#VALUE!</v>
      </c>
      <c r="V9" s="29" t="e">
        <f aca="false">LOOKUP(DATE(U$8-1900+1,$M9,1),$H$6:$H$296,$I$6:$I$296)</f>
        <v>#VALUE!</v>
      </c>
      <c r="W9" s="29" t="e">
        <f aca="false">LOOKUP(DATE(V$8-1900+1,$M9,1),$H$6:$H$296,$I$6:$I$296)</f>
        <v>#VALUE!</v>
      </c>
      <c r="X9" s="29" t="e">
        <f aca="false">LOOKUP(DATE(W$8-1900+1,$M9,1),$H$6:$H$296,$I$6:$I$296)</f>
        <v>#VALUE!</v>
      </c>
      <c r="Y9" s="29" t="e">
        <f aca="false">LOOKUP(DATE(X$8-1900+1,$M9,1),$H$6:$H$296,$I$6:$I$296)</f>
        <v>#VALUE!</v>
      </c>
      <c r="Z9" s="29" t="e">
        <f aca="false">LOOKUP(DATE(Y$8-1900+1,$M9,1),$H$6:$H$296,$I$6:$I$296)</f>
        <v>#VALUE!</v>
      </c>
      <c r="AA9" s="29" t="e">
        <f aca="false">LOOKUP(DATE(Z$8-1900+1,$M9,1),$H$6:$H$296,$I$6:$I$296)</f>
        <v>#VALUE!</v>
      </c>
      <c r="AB9" s="29" t="e">
        <f aca="false">LOOKUP(DATE(AA$8-1900+1,$M9,1),$H$6:$H$296,$I$6:$I$296)</f>
        <v>#VALUE!</v>
      </c>
      <c r="AC9" s="29" t="e">
        <f aca="false">LOOKUP(DATE(AB$8-1900+1,$M9,1),$H$6:$H$296,$I$6:$I$296)</f>
        <v>#VALUE!</v>
      </c>
      <c r="AD9" s="29" t="e">
        <f aca="false">LOOKUP(DATE(AC$8-1900+1,$M9,1),$H$6:$H$296,$I$6:$I$296)</f>
        <v>#VALUE!</v>
      </c>
      <c r="AE9" s="29" t="e">
        <f aca="false">LOOKUP(DATE(AD$8-1900+1,$M9,1),$H$6:$H$296,$I$6:$I$296)</f>
        <v>#VALUE!</v>
      </c>
      <c r="AF9" s="29" t="e">
        <f aca="false">LOOKUP(DATE(AE$8-1900+1,$M9,1),$H$6:$H$296,$I$6:$I$296)</f>
        <v>#VALUE!</v>
      </c>
      <c r="AG9" s="29" t="e">
        <f aca="false">LOOKUP(DATE(AF$8-1900+1,$M9,1),$H$6:$H$296,$I$6:$I$296)</f>
        <v>#VALUE!</v>
      </c>
      <c r="AH9" s="29" t="e">
        <f aca="false">LOOKUP(DATE(AG$8-1900+1,$M9,1),$H$6:$H$296,$I$6:$I$296)</f>
        <v>#VALUE!</v>
      </c>
      <c r="AI9" s="29" t="e">
        <f aca="false">LOOKUP(DATE(AH$8-1900+1,$M9,1),$H$6:$H$296,$I$6:$I$296)</f>
        <v>#VALUE!</v>
      </c>
      <c r="AJ9" s="29" t="e">
        <f aca="false">LOOKUP(DATE(AI$8-1900+1,$M9,1),$H$6:$H$296,$I$6:$I$296)</f>
        <v>#VALUE!</v>
      </c>
      <c r="AK9" s="29" t="e">
        <f aca="false">LOOKUP(DATE(AJ$8-1900+1,$M9,1),$H$6:$H$296,$I$6:$I$296)</f>
        <v>#VALUE!</v>
      </c>
      <c r="AL9" s="29" t="e">
        <f aca="false">LOOKUP(DATE(AK$8-1900+1,$M9,1),$H$6:$H$296,$I$6:$I$296)</f>
        <v>#VALUE!</v>
      </c>
      <c r="AM9" s="11"/>
      <c r="AN9" s="11"/>
      <c r="AO9" s="11"/>
      <c r="AP9" s="11"/>
      <c r="AQ9" s="10"/>
      <c r="AR9" s="5"/>
      <c r="AS9" s="12"/>
      <c r="AT9" s="12"/>
      <c r="AU9" s="12"/>
      <c r="AV9" s="12"/>
      <c r="AW9" s="12"/>
      <c r="AX9" s="12"/>
      <c r="AY9" s="12"/>
      <c r="AZ9" s="12"/>
      <c r="BA9" s="12"/>
      <c r="BB9" s="12"/>
      <c r="BC9" s="12"/>
      <c r="BD9" s="12"/>
      <c r="BE9" s="12"/>
      <c r="BF9" s="12"/>
      <c r="BG9" s="12"/>
      <c r="BH9" s="12"/>
      <c r="BI9" s="12"/>
      <c r="BJ9" s="12"/>
      <c r="BK9" s="12"/>
      <c r="BL9" s="12"/>
      <c r="BM9" s="12"/>
      <c r="BN9" s="12"/>
      <c r="BO9" s="12"/>
      <c r="BP9" s="12"/>
      <c r="BQ9" s="12"/>
      <c r="BR9" s="12"/>
      <c r="BS9" s="12"/>
      <c r="BT9" s="12"/>
      <c r="BU9" s="12"/>
      <c r="BV9" s="12"/>
      <c r="BW9" s="12"/>
      <c r="BX9" s="12"/>
      <c r="BY9" s="12"/>
      <c r="BZ9" s="12"/>
      <c r="CA9" s="12"/>
      <c r="CB9" s="12"/>
      <c r="CC9" s="12"/>
      <c r="CD9" s="12"/>
      <c r="CE9" s="12"/>
      <c r="CF9" s="12"/>
      <c r="CG9" s="12"/>
      <c r="CH9" s="12"/>
      <c r="CI9" s="12"/>
      <c r="CJ9" s="12"/>
      <c r="CK9" s="12"/>
      <c r="CL9" s="12"/>
      <c r="CM9" s="12"/>
      <c r="CN9" s="12"/>
      <c r="CO9" s="12"/>
      <c r="CP9" s="12"/>
      <c r="CQ9" s="12"/>
      <c r="CR9" s="12"/>
      <c r="CS9" s="12"/>
      <c r="CT9" s="12"/>
      <c r="CU9" s="12"/>
      <c r="CV9" s="12"/>
      <c r="CW9" s="12"/>
      <c r="CX9" s="12"/>
      <c r="CY9" s="12"/>
      <c r="CZ9" s="12"/>
      <c r="DA9" s="12"/>
      <c r="DB9" s="12"/>
      <c r="DC9" s="12"/>
      <c r="DD9" s="12"/>
      <c r="DE9" s="12"/>
      <c r="DF9" s="12"/>
      <c r="DG9" s="12"/>
      <c r="DH9" s="12"/>
      <c r="DI9" s="12"/>
      <c r="DJ9" s="12"/>
      <c r="DK9" s="12"/>
      <c r="DL9" s="12"/>
      <c r="DM9" s="12"/>
      <c r="DN9" s="12"/>
      <c r="DO9" s="12"/>
      <c r="DP9" s="12"/>
      <c r="DQ9" s="12"/>
      <c r="DR9" s="12"/>
      <c r="DS9" s="12"/>
      <c r="DT9" s="12"/>
      <c r="DU9" s="12"/>
      <c r="DV9" s="12"/>
      <c r="DW9" s="12"/>
      <c r="DX9" s="12"/>
      <c r="DY9" s="12"/>
      <c r="DZ9" s="12"/>
      <c r="EA9" s="12"/>
      <c r="EB9" s="12"/>
      <c r="EC9" s="12"/>
      <c r="ED9" s="12"/>
      <c r="EE9" s="12"/>
      <c r="EF9" s="12"/>
      <c r="EG9" s="12"/>
      <c r="EH9" s="12"/>
      <c r="EI9" s="12"/>
      <c r="EJ9" s="12"/>
      <c r="EK9" s="12"/>
      <c r="EL9" s="12"/>
      <c r="EM9" s="12"/>
      <c r="EN9" s="12"/>
      <c r="EO9" s="12"/>
      <c r="EP9" s="12"/>
      <c r="EQ9" s="12"/>
      <c r="ER9" s="12"/>
      <c r="ES9" s="12"/>
      <c r="ET9" s="12"/>
      <c r="EU9" s="12"/>
      <c r="EV9" s="12"/>
      <c r="EW9" s="12"/>
      <c r="EX9" s="12"/>
      <c r="EY9" s="12"/>
      <c r="EZ9" s="12"/>
      <c r="FA9" s="12"/>
      <c r="FB9" s="12"/>
      <c r="FC9" s="12"/>
      <c r="FD9" s="12"/>
      <c r="FE9" s="12"/>
      <c r="FF9" s="12"/>
      <c r="FG9" s="12"/>
      <c r="FH9" s="12"/>
      <c r="FI9" s="12"/>
      <c r="FJ9" s="12"/>
      <c r="FK9" s="12"/>
      <c r="FL9" s="12"/>
      <c r="FM9" s="12"/>
      <c r="FN9" s="12"/>
      <c r="FO9" s="12"/>
      <c r="FP9" s="12"/>
      <c r="FQ9" s="12"/>
      <c r="FR9" s="12"/>
      <c r="FS9" s="12"/>
      <c r="FT9" s="12"/>
      <c r="FU9" s="12"/>
      <c r="FV9" s="12"/>
      <c r="FW9" s="12"/>
      <c r="FX9" s="12"/>
      <c r="FY9" s="12"/>
      <c r="FZ9" s="12"/>
      <c r="GA9" s="12"/>
      <c r="GB9" s="12"/>
      <c r="GC9" s="12"/>
      <c r="GD9" s="12"/>
      <c r="GE9" s="12"/>
      <c r="GF9" s="12"/>
      <c r="GG9" s="12"/>
      <c r="GH9" s="12"/>
      <c r="GI9" s="12"/>
      <c r="GJ9" s="12"/>
      <c r="GK9" s="12"/>
      <c r="GL9" s="12"/>
      <c r="GM9" s="12"/>
      <c r="GN9" s="12"/>
      <c r="GO9" s="12"/>
      <c r="GP9" s="12"/>
      <c r="GQ9" s="12"/>
      <c r="GR9" s="12"/>
      <c r="GS9" s="12"/>
      <c r="GT9" s="12"/>
      <c r="GU9" s="12"/>
      <c r="GV9" s="12"/>
      <c r="GW9" s="12"/>
      <c r="GX9" s="12"/>
      <c r="GY9" s="12"/>
      <c r="GZ9" s="12"/>
      <c r="HA9" s="12"/>
      <c r="HB9" s="12"/>
      <c r="HC9" s="12"/>
      <c r="HD9" s="12"/>
      <c r="HE9" s="12"/>
      <c r="HF9" s="12"/>
      <c r="HG9" s="12"/>
      <c r="HH9" s="12"/>
      <c r="HI9" s="12"/>
      <c r="HJ9" s="12"/>
      <c r="HK9" s="12"/>
      <c r="HL9" s="12"/>
      <c r="HM9" s="12"/>
      <c r="HN9" s="12"/>
      <c r="HO9" s="12"/>
      <c r="HP9" s="12"/>
      <c r="HQ9" s="12"/>
      <c r="HR9" s="12"/>
      <c r="HS9" s="12"/>
      <c r="HT9" s="12"/>
      <c r="HU9" s="12"/>
      <c r="HV9" s="12"/>
      <c r="HW9" s="12"/>
      <c r="HX9" s="12"/>
      <c r="HY9" s="12"/>
      <c r="HZ9" s="12"/>
      <c r="IA9" s="12"/>
      <c r="IB9" s="12"/>
      <c r="IC9" s="12"/>
      <c r="ID9" s="12"/>
      <c r="IE9" s="12"/>
      <c r="IF9" s="12"/>
      <c r="IG9" s="12"/>
      <c r="IH9" s="12"/>
      <c r="II9" s="12"/>
      <c r="IJ9" s="12"/>
      <c r="IK9" s="12"/>
      <c r="IL9" s="12"/>
      <c r="IM9" s="12"/>
      <c r="IN9" s="12"/>
      <c r="IO9" s="12"/>
      <c r="IP9" s="12"/>
      <c r="IQ9" s="12"/>
      <c r="IR9" s="12"/>
      <c r="IS9" s="12"/>
      <c r="IT9" s="12"/>
      <c r="IU9" s="12"/>
      <c r="IV9" s="12"/>
      <c r="IW9" s="12"/>
    </row>
    <row r="10" customFormat="false" ht="11.25" hidden="false" customHeight="false" outlineLevel="0" collapsed="false">
      <c r="A10" s="25" t="n">
        <f aca="false">DATE(YEAR(A9),MONTH(A9)+1,1)</f>
        <v>46023</v>
      </c>
      <c r="B10" s="21" t="n">
        <v>2.238</v>
      </c>
      <c r="C10" s="21" t="n">
        <v>2.243</v>
      </c>
      <c r="D10" s="25" t="n">
        <f aca="false">DATE(YEAR(D9),MONTH(D9)+1,1)</f>
        <v>46023</v>
      </c>
      <c r="E10" s="21" t="n">
        <v>21.322</v>
      </c>
      <c r="F10" s="21" t="n">
        <v>21.357</v>
      </c>
      <c r="G10" s="6"/>
      <c r="H10" s="22" t="n">
        <f aca="false">A10</f>
        <v>46023</v>
      </c>
      <c r="I10" s="23" t="n">
        <f aca="false">IF($J$1="bid",B10,C10)</f>
        <v>2.243</v>
      </c>
      <c r="J10" s="24" t="n">
        <f aca="false">D10</f>
        <v>46023</v>
      </c>
      <c r="K10" s="23" t="n">
        <f aca="false">IF($J$1="bid",E10,F10)</f>
        <v>21.357</v>
      </c>
      <c r="L10" s="11"/>
      <c r="M10" s="11" t="n">
        <v>2</v>
      </c>
      <c r="N10" s="29" t="n">
        <f aca="false">IF(MONTH($A$6)&gt;M10,0,IF(MONTH($A$6)=M10,+I$6,LOOKUP(DATE(N$8-1900,$M10,1),$H$6:$H$296,$I$6:$I$296)))</f>
        <v>0</v>
      </c>
      <c r="O10" s="29" t="e">
        <f aca="false">LOOKUP(DATE(N$8-1900+1,$M10,1),$H$6:$H$296,$I$6:$I$296)</f>
        <v>#VALUE!</v>
      </c>
      <c r="P10" s="29" t="e">
        <f aca="false">LOOKUP(DATE(O$8-1900+1,$M10,1),$H$6:$H$296,$I$6:$I$296)</f>
        <v>#VALUE!</v>
      </c>
      <c r="Q10" s="29" t="e">
        <f aca="false">LOOKUP(DATE(P$8-1900+1,$M10,1),$H$6:$H$296,$I$6:$I$296)</f>
        <v>#VALUE!</v>
      </c>
      <c r="R10" s="29" t="e">
        <f aca="false">LOOKUP(DATE(Q$8-1900+1,$M10,1),$H$6:$H$296,$I$6:$I$296)</f>
        <v>#VALUE!</v>
      </c>
      <c r="S10" s="29" t="e">
        <f aca="false">LOOKUP(DATE(R$8-1900+1,$M10,1),$H$6:$H$296,$I$6:$I$296)</f>
        <v>#VALUE!</v>
      </c>
      <c r="T10" s="29" t="e">
        <f aca="false">LOOKUP(DATE(S$8-1900+1,$M10,1),$H$6:$H$296,$I$6:$I$296)</f>
        <v>#VALUE!</v>
      </c>
      <c r="U10" s="29" t="e">
        <f aca="false">LOOKUP(DATE(T$8-1900+1,$M10,1),$H$6:$H$296,$I$6:$I$296)</f>
        <v>#VALUE!</v>
      </c>
      <c r="V10" s="29" t="e">
        <f aca="false">LOOKUP(DATE(U$8-1900+1,$M10,1),$H$6:$H$296,$I$6:$I$296)</f>
        <v>#VALUE!</v>
      </c>
      <c r="W10" s="29" t="e">
        <f aca="false">LOOKUP(DATE(V$8-1900+1,$M10,1),$H$6:$H$296,$I$6:$I$296)</f>
        <v>#VALUE!</v>
      </c>
      <c r="X10" s="29" t="e">
        <f aca="false">LOOKUP(DATE(W$8-1900+1,$M10,1),$H$6:$H$296,$I$6:$I$296)</f>
        <v>#VALUE!</v>
      </c>
      <c r="Y10" s="29" t="e">
        <f aca="false">LOOKUP(DATE(X$8-1900+1,$M10,1),$H$6:$H$296,$I$6:$I$296)</f>
        <v>#VALUE!</v>
      </c>
      <c r="Z10" s="29" t="e">
        <f aca="false">LOOKUP(DATE(Y$8-1900+1,$M10,1),$H$6:$H$296,$I$6:$I$296)</f>
        <v>#VALUE!</v>
      </c>
      <c r="AA10" s="29" t="e">
        <f aca="false">LOOKUP(DATE(Z$8-1900+1,$M10,1),$H$6:$H$296,$I$6:$I$296)</f>
        <v>#VALUE!</v>
      </c>
      <c r="AB10" s="29" t="e">
        <f aca="false">LOOKUP(DATE(AA$8-1900+1,$M10,1),$H$6:$H$296,$I$6:$I$296)</f>
        <v>#VALUE!</v>
      </c>
      <c r="AC10" s="29" t="e">
        <f aca="false">LOOKUP(DATE(AB$8-1900+1,$M10,1),$H$6:$H$296,$I$6:$I$296)</f>
        <v>#VALUE!</v>
      </c>
      <c r="AD10" s="29" t="e">
        <f aca="false">LOOKUP(DATE(AC$8-1900+1,$M10,1),$H$6:$H$296,$I$6:$I$296)</f>
        <v>#VALUE!</v>
      </c>
      <c r="AE10" s="29" t="e">
        <f aca="false">LOOKUP(DATE(AD$8-1900+1,$M10,1),$H$6:$H$296,$I$6:$I$296)</f>
        <v>#VALUE!</v>
      </c>
      <c r="AF10" s="29" t="e">
        <f aca="false">LOOKUP(DATE(AE$8-1900+1,$M10,1),$H$6:$H$296,$I$6:$I$296)</f>
        <v>#VALUE!</v>
      </c>
      <c r="AG10" s="29" t="e">
        <f aca="false">LOOKUP(DATE(AF$8-1900+1,$M10,1),$H$6:$H$296,$I$6:$I$296)</f>
        <v>#VALUE!</v>
      </c>
      <c r="AH10" s="29" t="e">
        <f aca="false">LOOKUP(DATE(AG$8-1900+1,$M10,1),$H$6:$H$296,$I$6:$I$296)</f>
        <v>#VALUE!</v>
      </c>
      <c r="AI10" s="29" t="e">
        <f aca="false">LOOKUP(DATE(AH$8-1900+1,$M10,1),$H$6:$H$296,$I$6:$I$296)</f>
        <v>#VALUE!</v>
      </c>
      <c r="AJ10" s="29" t="e">
        <f aca="false">LOOKUP(DATE(AI$8-1900+1,$M10,1),$H$6:$H$296,$I$6:$I$296)</f>
        <v>#VALUE!</v>
      </c>
      <c r="AK10" s="29" t="e">
        <f aca="false">LOOKUP(DATE(AJ$8-1900+1,$M10,1),$H$6:$H$296,$I$6:$I$296)</f>
        <v>#VALUE!</v>
      </c>
      <c r="AL10" s="29" t="e">
        <f aca="false">LOOKUP(DATE(AK$8-1900+1,$M10,1),$H$6:$H$296,$I$6:$I$296)</f>
        <v>#VALUE!</v>
      </c>
      <c r="AM10" s="11"/>
      <c r="AN10" s="11"/>
      <c r="AO10" s="11"/>
      <c r="AP10" s="11"/>
      <c r="AQ10" s="11"/>
      <c r="AR10" s="5"/>
      <c r="AS10" s="12"/>
      <c r="AT10" s="12"/>
      <c r="AU10" s="12"/>
      <c r="AV10" s="12"/>
      <c r="AW10" s="12"/>
      <c r="AX10" s="12"/>
      <c r="AY10" s="12"/>
      <c r="AZ10" s="12"/>
      <c r="BA10" s="12"/>
      <c r="BB10" s="12"/>
      <c r="BC10" s="12"/>
      <c r="BD10" s="12"/>
      <c r="BE10" s="12"/>
      <c r="BF10" s="12"/>
      <c r="BG10" s="12"/>
      <c r="BH10" s="12"/>
      <c r="BI10" s="12"/>
      <c r="BJ10" s="12"/>
      <c r="BK10" s="12"/>
      <c r="BL10" s="12"/>
      <c r="BM10" s="12"/>
      <c r="BN10" s="12"/>
      <c r="BO10" s="12"/>
      <c r="BP10" s="12"/>
      <c r="BQ10" s="12"/>
      <c r="BR10" s="12"/>
      <c r="BS10" s="12"/>
      <c r="BT10" s="12"/>
      <c r="BU10" s="12"/>
      <c r="BV10" s="12"/>
      <c r="BW10" s="12"/>
      <c r="BX10" s="12"/>
      <c r="BY10" s="12"/>
      <c r="BZ10" s="12"/>
      <c r="CA10" s="12"/>
      <c r="CB10" s="12"/>
      <c r="CC10" s="12"/>
      <c r="CD10" s="12"/>
      <c r="CE10" s="12"/>
      <c r="CF10" s="12"/>
      <c r="CG10" s="12"/>
      <c r="CH10" s="12"/>
      <c r="CI10" s="12"/>
      <c r="CJ10" s="12"/>
      <c r="CK10" s="12"/>
      <c r="CL10" s="12"/>
      <c r="CM10" s="12"/>
      <c r="CN10" s="12"/>
      <c r="CO10" s="12"/>
      <c r="CP10" s="12"/>
      <c r="CQ10" s="12"/>
      <c r="CR10" s="12"/>
      <c r="CS10" s="12"/>
      <c r="CT10" s="12"/>
      <c r="CU10" s="12"/>
      <c r="CV10" s="12"/>
      <c r="CW10" s="12"/>
      <c r="CX10" s="12"/>
      <c r="CY10" s="12"/>
      <c r="CZ10" s="12"/>
      <c r="DA10" s="12"/>
      <c r="DB10" s="12"/>
      <c r="DC10" s="12"/>
      <c r="DD10" s="12"/>
      <c r="DE10" s="12"/>
      <c r="DF10" s="12"/>
      <c r="DG10" s="12"/>
      <c r="DH10" s="12"/>
      <c r="DI10" s="12"/>
      <c r="DJ10" s="12"/>
      <c r="DK10" s="12"/>
      <c r="DL10" s="12"/>
      <c r="DM10" s="12"/>
      <c r="DN10" s="12"/>
      <c r="DO10" s="12"/>
      <c r="DP10" s="12"/>
      <c r="DQ10" s="12"/>
      <c r="DR10" s="12"/>
      <c r="DS10" s="12"/>
      <c r="DT10" s="12"/>
      <c r="DU10" s="12"/>
      <c r="DV10" s="12"/>
      <c r="DW10" s="12"/>
      <c r="DX10" s="12"/>
      <c r="DY10" s="12"/>
      <c r="DZ10" s="12"/>
      <c r="EA10" s="12"/>
      <c r="EB10" s="12"/>
      <c r="EC10" s="12"/>
      <c r="ED10" s="12"/>
      <c r="EE10" s="12"/>
      <c r="EF10" s="12"/>
      <c r="EG10" s="12"/>
      <c r="EH10" s="12"/>
      <c r="EI10" s="12"/>
      <c r="EJ10" s="12"/>
      <c r="EK10" s="12"/>
      <c r="EL10" s="12"/>
      <c r="EM10" s="12"/>
      <c r="EN10" s="12"/>
      <c r="EO10" s="12"/>
      <c r="EP10" s="12"/>
      <c r="EQ10" s="12"/>
      <c r="ER10" s="12"/>
      <c r="ES10" s="12"/>
      <c r="ET10" s="12"/>
      <c r="EU10" s="12"/>
      <c r="EV10" s="12"/>
      <c r="EW10" s="12"/>
      <c r="EX10" s="12"/>
      <c r="EY10" s="12"/>
      <c r="EZ10" s="12"/>
      <c r="FA10" s="12"/>
      <c r="FB10" s="12"/>
      <c r="FC10" s="12"/>
      <c r="FD10" s="12"/>
      <c r="FE10" s="12"/>
      <c r="FF10" s="12"/>
      <c r="FG10" s="12"/>
      <c r="FH10" s="12"/>
      <c r="FI10" s="12"/>
      <c r="FJ10" s="12"/>
      <c r="FK10" s="12"/>
      <c r="FL10" s="12"/>
      <c r="FM10" s="12"/>
      <c r="FN10" s="12"/>
      <c r="FO10" s="12"/>
      <c r="FP10" s="12"/>
      <c r="FQ10" s="12"/>
      <c r="FR10" s="12"/>
      <c r="FS10" s="12"/>
      <c r="FT10" s="12"/>
      <c r="FU10" s="12"/>
      <c r="FV10" s="12"/>
      <c r="FW10" s="12"/>
      <c r="FX10" s="12"/>
      <c r="FY10" s="12"/>
      <c r="FZ10" s="12"/>
      <c r="GA10" s="12"/>
      <c r="GB10" s="12"/>
      <c r="GC10" s="12"/>
      <c r="GD10" s="12"/>
      <c r="GE10" s="12"/>
      <c r="GF10" s="12"/>
      <c r="GG10" s="12"/>
      <c r="GH10" s="12"/>
      <c r="GI10" s="12"/>
      <c r="GJ10" s="12"/>
      <c r="GK10" s="12"/>
      <c r="GL10" s="12"/>
      <c r="GM10" s="12"/>
      <c r="GN10" s="12"/>
      <c r="GO10" s="12"/>
      <c r="GP10" s="12"/>
      <c r="GQ10" s="12"/>
      <c r="GR10" s="12"/>
      <c r="GS10" s="12"/>
      <c r="GT10" s="12"/>
      <c r="GU10" s="12"/>
      <c r="GV10" s="12"/>
      <c r="GW10" s="12"/>
      <c r="GX10" s="12"/>
      <c r="GY10" s="12"/>
      <c r="GZ10" s="12"/>
      <c r="HA10" s="12"/>
      <c r="HB10" s="12"/>
      <c r="HC10" s="12"/>
      <c r="HD10" s="12"/>
      <c r="HE10" s="12"/>
      <c r="HF10" s="12"/>
      <c r="HG10" s="12"/>
      <c r="HH10" s="12"/>
      <c r="HI10" s="12"/>
      <c r="HJ10" s="12"/>
      <c r="HK10" s="12"/>
      <c r="HL10" s="12"/>
      <c r="HM10" s="12"/>
      <c r="HN10" s="12"/>
      <c r="HO10" s="12"/>
      <c r="HP10" s="12"/>
      <c r="HQ10" s="12"/>
      <c r="HR10" s="12"/>
      <c r="HS10" s="12"/>
      <c r="HT10" s="12"/>
      <c r="HU10" s="12"/>
      <c r="HV10" s="12"/>
      <c r="HW10" s="12"/>
      <c r="HX10" s="12"/>
      <c r="HY10" s="12"/>
      <c r="HZ10" s="12"/>
      <c r="IA10" s="12"/>
      <c r="IB10" s="12"/>
      <c r="IC10" s="12"/>
      <c r="ID10" s="12"/>
      <c r="IE10" s="12"/>
      <c r="IF10" s="12"/>
      <c r="IG10" s="12"/>
      <c r="IH10" s="12"/>
      <c r="II10" s="12"/>
      <c r="IJ10" s="12"/>
      <c r="IK10" s="12"/>
      <c r="IL10" s="12"/>
      <c r="IM10" s="12"/>
      <c r="IN10" s="12"/>
      <c r="IO10" s="12"/>
      <c r="IP10" s="12"/>
      <c r="IQ10" s="12"/>
      <c r="IR10" s="12"/>
      <c r="IS10" s="12"/>
      <c r="IT10" s="12"/>
      <c r="IU10" s="12"/>
      <c r="IV10" s="12"/>
      <c r="IW10" s="12"/>
    </row>
    <row r="11" customFormat="false" ht="11.25" hidden="false" customHeight="false" outlineLevel="0" collapsed="false">
      <c r="A11" s="30" t="n">
        <f aca="false">DATE(YEAR(A10),MONTH(A10)+1,1)</f>
        <v>46054</v>
      </c>
      <c r="B11" s="21" t="n">
        <v>2.07</v>
      </c>
      <c r="C11" s="21" t="n">
        <v>2.075</v>
      </c>
      <c r="D11" s="30" t="n">
        <f aca="false">DATE(YEAR(D10),MONTH(D10)+1,1)</f>
        <v>46054</v>
      </c>
      <c r="E11" s="21" t="n">
        <v>20.954</v>
      </c>
      <c r="F11" s="21" t="n">
        <v>20.989</v>
      </c>
      <c r="G11" s="6"/>
      <c r="H11" s="22" t="n">
        <f aca="false">A11</f>
        <v>46054</v>
      </c>
      <c r="I11" s="23" t="n">
        <f aca="false">IF($J$1="bid",B11,C11)</f>
        <v>2.075</v>
      </c>
      <c r="J11" s="24" t="n">
        <f aca="false">D11</f>
        <v>46054</v>
      </c>
      <c r="K11" s="23" t="n">
        <f aca="false">IF($J$1="bid",E11,F11)</f>
        <v>20.989</v>
      </c>
      <c r="L11" s="11"/>
      <c r="M11" s="11" t="n">
        <v>3</v>
      </c>
      <c r="N11" s="29" t="n">
        <f aca="false">IF(MONTH($A$6)&gt;M11,0,IF(MONTH($A$6)=M11,+I$6,LOOKUP(DATE(N$8-1900,$M11,1),$H$6:$H$296,$I$6:$I$296)))</f>
        <v>0</v>
      </c>
      <c r="O11" s="29" t="e">
        <f aca="false">LOOKUP(DATE(N$8-1900+1,$M11,1),$H$6:$H$296,$I$6:$I$296)</f>
        <v>#VALUE!</v>
      </c>
      <c r="P11" s="29" t="e">
        <f aca="false">LOOKUP(DATE(O$8-1900+1,$M11,1),$H$6:$H$296,$I$6:$I$296)</f>
        <v>#VALUE!</v>
      </c>
      <c r="Q11" s="29" t="e">
        <f aca="false">LOOKUP(DATE(P$8-1900+1,$M11,1),$H$6:$H$296,$I$6:$I$296)</f>
        <v>#VALUE!</v>
      </c>
      <c r="R11" s="29" t="e">
        <f aca="false">LOOKUP(DATE(Q$8-1900+1,$M11,1),$H$6:$H$296,$I$6:$I$296)</f>
        <v>#VALUE!</v>
      </c>
      <c r="S11" s="29" t="e">
        <f aca="false">LOOKUP(DATE(R$8-1900+1,$M11,1),$H$6:$H$296,$I$6:$I$296)</f>
        <v>#VALUE!</v>
      </c>
      <c r="T11" s="29" t="e">
        <f aca="false">LOOKUP(DATE(S$8-1900+1,$M11,1),$H$6:$H$296,$I$6:$I$296)</f>
        <v>#VALUE!</v>
      </c>
      <c r="U11" s="29" t="e">
        <f aca="false">LOOKUP(DATE(T$8-1900+1,$M11,1),$H$6:$H$296,$I$6:$I$296)</f>
        <v>#VALUE!</v>
      </c>
      <c r="V11" s="29" t="e">
        <f aca="false">LOOKUP(DATE(U$8-1900+1,$M11,1),$H$6:$H$296,$I$6:$I$296)</f>
        <v>#VALUE!</v>
      </c>
      <c r="W11" s="29" t="e">
        <f aca="false">LOOKUP(DATE(V$8-1900+1,$M11,1),$H$6:$H$296,$I$6:$I$296)</f>
        <v>#VALUE!</v>
      </c>
      <c r="X11" s="29" t="e">
        <f aca="false">LOOKUP(DATE(W$8-1900+1,$M11,1),$H$6:$H$296,$I$6:$I$296)</f>
        <v>#VALUE!</v>
      </c>
      <c r="Y11" s="29" t="e">
        <f aca="false">LOOKUP(DATE(X$8-1900+1,$M11,1),$H$6:$H$296,$I$6:$I$296)</f>
        <v>#VALUE!</v>
      </c>
      <c r="Z11" s="29" t="e">
        <f aca="false">LOOKUP(DATE(Y$8-1900+1,$M11,1),$H$6:$H$296,$I$6:$I$296)</f>
        <v>#VALUE!</v>
      </c>
      <c r="AA11" s="29" t="e">
        <f aca="false">LOOKUP(DATE(Z$8-1900+1,$M11,1),$H$6:$H$296,$I$6:$I$296)</f>
        <v>#VALUE!</v>
      </c>
      <c r="AB11" s="29" t="e">
        <f aca="false">LOOKUP(DATE(AA$8-1900+1,$M11,1),$H$6:$H$296,$I$6:$I$296)</f>
        <v>#VALUE!</v>
      </c>
      <c r="AC11" s="29" t="e">
        <f aca="false">LOOKUP(DATE(AB$8-1900+1,$M11,1),$H$6:$H$296,$I$6:$I$296)</f>
        <v>#VALUE!</v>
      </c>
      <c r="AD11" s="29" t="e">
        <f aca="false">LOOKUP(DATE(AC$8-1900+1,$M11,1),$H$6:$H$296,$I$6:$I$296)</f>
        <v>#VALUE!</v>
      </c>
      <c r="AE11" s="29" t="e">
        <f aca="false">LOOKUP(DATE(AD$8-1900+1,$M11,1),$H$6:$H$296,$I$6:$I$296)</f>
        <v>#VALUE!</v>
      </c>
      <c r="AF11" s="29" t="e">
        <f aca="false">LOOKUP(DATE(AE$8-1900+1,$M11,1),$H$6:$H$296,$I$6:$I$296)</f>
        <v>#VALUE!</v>
      </c>
      <c r="AG11" s="29" t="e">
        <f aca="false">LOOKUP(DATE(AF$8-1900+1,$M11,1),$H$6:$H$296,$I$6:$I$296)</f>
        <v>#VALUE!</v>
      </c>
      <c r="AH11" s="29" t="e">
        <f aca="false">LOOKUP(DATE(AG$8-1900+1,$M11,1),$H$6:$H$296,$I$6:$I$296)</f>
        <v>#VALUE!</v>
      </c>
      <c r="AI11" s="29" t="e">
        <f aca="false">LOOKUP(DATE(AH$8-1900+1,$M11,1),$H$6:$H$296,$I$6:$I$296)</f>
        <v>#VALUE!</v>
      </c>
      <c r="AJ11" s="29" t="e">
        <f aca="false">LOOKUP(DATE(AI$8-1900+1,$M11,1),$H$6:$H$296,$I$6:$I$296)</f>
        <v>#VALUE!</v>
      </c>
      <c r="AK11" s="29" t="e">
        <f aca="false">LOOKUP(DATE(AJ$8-1900+1,$M11,1),$H$6:$H$296,$I$6:$I$296)</f>
        <v>#VALUE!</v>
      </c>
      <c r="AL11" s="29" t="e">
        <f aca="false">LOOKUP(DATE(AK$8-1900+1,$M11,1),$H$6:$H$296,$I$6:$I$296)</f>
        <v>#VALUE!</v>
      </c>
      <c r="AM11" s="11"/>
      <c r="AN11" s="11"/>
      <c r="AO11" s="11"/>
      <c r="AP11" s="11"/>
      <c r="AQ11" s="11"/>
      <c r="AR11" s="5"/>
      <c r="AS11" s="12"/>
      <c r="AT11" s="12"/>
      <c r="AU11" s="12"/>
      <c r="AV11" s="12"/>
      <c r="AW11" s="12"/>
      <c r="AX11" s="12"/>
      <c r="AY11" s="12"/>
      <c r="AZ11" s="12"/>
      <c r="BA11" s="12"/>
      <c r="BB11" s="12"/>
      <c r="BC11" s="12"/>
      <c r="BD11" s="12"/>
      <c r="BE11" s="12"/>
      <c r="BF11" s="12"/>
      <c r="BG11" s="12"/>
      <c r="BH11" s="12"/>
      <c r="BI11" s="12"/>
      <c r="BJ11" s="12"/>
      <c r="BK11" s="12"/>
      <c r="BL11" s="12"/>
      <c r="BM11" s="12"/>
      <c r="BN11" s="12"/>
      <c r="BO11" s="12"/>
      <c r="BP11" s="12"/>
      <c r="BQ11" s="12"/>
      <c r="BR11" s="12"/>
      <c r="BS11" s="12"/>
      <c r="BT11" s="12"/>
      <c r="BU11" s="12"/>
      <c r="BV11" s="12"/>
      <c r="BW11" s="12"/>
      <c r="BX11" s="12"/>
      <c r="BY11" s="12"/>
      <c r="BZ11" s="12"/>
      <c r="CA11" s="12"/>
      <c r="CB11" s="12"/>
      <c r="CC11" s="12"/>
      <c r="CD11" s="12"/>
      <c r="CE11" s="12"/>
      <c r="CF11" s="12"/>
      <c r="CG11" s="12"/>
      <c r="CH11" s="12"/>
      <c r="CI11" s="12"/>
      <c r="CJ11" s="12"/>
      <c r="CK11" s="12"/>
      <c r="CL11" s="12"/>
      <c r="CM11" s="12"/>
      <c r="CN11" s="12"/>
      <c r="CO11" s="12"/>
      <c r="CP11" s="12"/>
      <c r="CQ11" s="12"/>
      <c r="CR11" s="12"/>
      <c r="CS11" s="12"/>
      <c r="CT11" s="12"/>
      <c r="CU11" s="12"/>
      <c r="CV11" s="12"/>
      <c r="CW11" s="12"/>
      <c r="CX11" s="12"/>
      <c r="CY11" s="12"/>
      <c r="CZ11" s="12"/>
      <c r="DA11" s="12"/>
      <c r="DB11" s="12"/>
      <c r="DC11" s="12"/>
      <c r="DD11" s="12"/>
      <c r="DE11" s="12"/>
      <c r="DF11" s="12"/>
      <c r="DG11" s="12"/>
      <c r="DH11" s="12"/>
      <c r="DI11" s="12"/>
      <c r="DJ11" s="12"/>
      <c r="DK11" s="12"/>
      <c r="DL11" s="12"/>
      <c r="DM11" s="12"/>
      <c r="DN11" s="12"/>
      <c r="DO11" s="12"/>
      <c r="DP11" s="12"/>
      <c r="DQ11" s="12"/>
      <c r="DR11" s="12"/>
      <c r="DS11" s="12"/>
      <c r="DT11" s="12"/>
      <c r="DU11" s="12"/>
      <c r="DV11" s="12"/>
      <c r="DW11" s="12"/>
      <c r="DX11" s="12"/>
      <c r="DY11" s="12"/>
      <c r="DZ11" s="12"/>
      <c r="EA11" s="12"/>
      <c r="EB11" s="12"/>
      <c r="EC11" s="12"/>
      <c r="ED11" s="12"/>
      <c r="EE11" s="12"/>
      <c r="EF11" s="12"/>
      <c r="EG11" s="12"/>
      <c r="EH11" s="12"/>
      <c r="EI11" s="12"/>
      <c r="EJ11" s="12"/>
      <c r="EK11" s="12"/>
      <c r="EL11" s="12"/>
      <c r="EM11" s="12"/>
      <c r="EN11" s="12"/>
      <c r="EO11" s="12"/>
      <c r="EP11" s="12"/>
      <c r="EQ11" s="12"/>
      <c r="ER11" s="12"/>
      <c r="ES11" s="12"/>
      <c r="ET11" s="12"/>
      <c r="EU11" s="12"/>
      <c r="EV11" s="12"/>
      <c r="EW11" s="12"/>
      <c r="EX11" s="12"/>
      <c r="EY11" s="12"/>
      <c r="EZ11" s="12"/>
      <c r="FA11" s="12"/>
      <c r="FB11" s="12"/>
      <c r="FC11" s="12"/>
      <c r="FD11" s="12"/>
      <c r="FE11" s="12"/>
      <c r="FF11" s="12"/>
      <c r="FG11" s="12"/>
      <c r="FH11" s="12"/>
      <c r="FI11" s="12"/>
      <c r="FJ11" s="12"/>
      <c r="FK11" s="12"/>
      <c r="FL11" s="12"/>
      <c r="FM11" s="12"/>
      <c r="FN11" s="12"/>
      <c r="FO11" s="12"/>
      <c r="FP11" s="12"/>
      <c r="FQ11" s="12"/>
      <c r="FR11" s="12"/>
      <c r="FS11" s="12"/>
      <c r="FT11" s="12"/>
      <c r="FU11" s="12"/>
      <c r="FV11" s="12"/>
      <c r="FW11" s="12"/>
      <c r="FX11" s="12"/>
      <c r="FY11" s="12"/>
      <c r="FZ11" s="12"/>
      <c r="GA11" s="12"/>
      <c r="GB11" s="12"/>
      <c r="GC11" s="12"/>
      <c r="GD11" s="12"/>
      <c r="GE11" s="12"/>
      <c r="GF11" s="12"/>
      <c r="GG11" s="12"/>
      <c r="GH11" s="12"/>
      <c r="GI11" s="12"/>
      <c r="GJ11" s="12"/>
      <c r="GK11" s="12"/>
      <c r="GL11" s="12"/>
      <c r="GM11" s="12"/>
      <c r="GN11" s="12"/>
      <c r="GO11" s="12"/>
      <c r="GP11" s="12"/>
      <c r="GQ11" s="12"/>
      <c r="GR11" s="12"/>
      <c r="GS11" s="12"/>
      <c r="GT11" s="12"/>
      <c r="GU11" s="12"/>
      <c r="GV11" s="12"/>
      <c r="GW11" s="12"/>
      <c r="GX11" s="12"/>
      <c r="GY11" s="12"/>
      <c r="GZ11" s="12"/>
      <c r="HA11" s="12"/>
      <c r="HB11" s="12"/>
      <c r="HC11" s="12"/>
      <c r="HD11" s="12"/>
      <c r="HE11" s="12"/>
      <c r="HF11" s="12"/>
      <c r="HG11" s="12"/>
      <c r="HH11" s="12"/>
      <c r="HI11" s="12"/>
      <c r="HJ11" s="12"/>
      <c r="HK11" s="12"/>
      <c r="HL11" s="12"/>
      <c r="HM11" s="12"/>
      <c r="HN11" s="12"/>
      <c r="HO11" s="12"/>
      <c r="HP11" s="12"/>
      <c r="HQ11" s="12"/>
      <c r="HR11" s="12"/>
      <c r="HS11" s="12"/>
      <c r="HT11" s="12"/>
      <c r="HU11" s="12"/>
      <c r="HV11" s="12"/>
      <c r="HW11" s="12"/>
      <c r="HX11" s="12"/>
      <c r="HY11" s="12"/>
      <c r="HZ11" s="12"/>
      <c r="IA11" s="12"/>
      <c r="IB11" s="12"/>
      <c r="IC11" s="12"/>
      <c r="ID11" s="12"/>
      <c r="IE11" s="12"/>
      <c r="IF11" s="12"/>
      <c r="IG11" s="12"/>
      <c r="IH11" s="12"/>
      <c r="II11" s="12"/>
      <c r="IJ11" s="12"/>
      <c r="IK11" s="12"/>
      <c r="IL11" s="12"/>
      <c r="IM11" s="12"/>
      <c r="IN11" s="12"/>
      <c r="IO11" s="12"/>
      <c r="IP11" s="12"/>
      <c r="IQ11" s="12"/>
      <c r="IR11" s="12"/>
      <c r="IS11" s="12"/>
      <c r="IT11" s="12"/>
      <c r="IU11" s="12"/>
      <c r="IV11" s="12"/>
      <c r="IW11" s="12"/>
    </row>
    <row r="12" customFormat="false" ht="11.25" hidden="false" customHeight="false" outlineLevel="0" collapsed="false">
      <c r="A12" s="30" t="n">
        <f aca="false">DATE(YEAR(A11),MONTH(A11)+1,1)</f>
        <v>46082</v>
      </c>
      <c r="B12" s="21" t="n">
        <v>2.015</v>
      </c>
      <c r="C12" s="21" t="n">
        <v>2.02</v>
      </c>
      <c r="D12" s="30" t="n">
        <f aca="false">DATE(YEAR(D11),MONTH(D11)+1,1)</f>
        <v>46082</v>
      </c>
      <c r="E12" s="21" t="n">
        <v>20.587</v>
      </c>
      <c r="F12" s="21" t="n">
        <v>20.622</v>
      </c>
      <c r="G12" s="6"/>
      <c r="H12" s="22" t="n">
        <f aca="false">A12</f>
        <v>46082</v>
      </c>
      <c r="I12" s="23" t="n">
        <f aca="false">IF($J$1="bid",B12,C12)</f>
        <v>2.02</v>
      </c>
      <c r="J12" s="24" t="n">
        <f aca="false">D12</f>
        <v>46082</v>
      </c>
      <c r="K12" s="23" t="n">
        <f aca="false">IF($J$1="bid",E12,F12)</f>
        <v>20.622</v>
      </c>
      <c r="L12" s="11"/>
      <c r="M12" s="11" t="n">
        <v>4</v>
      </c>
      <c r="N12" s="29" t="n">
        <f aca="false">IF(MONTH($A$6)&gt;M12,0,IF(MONTH($A$6)=M12,+I$6,LOOKUP(DATE(N$8-1900,$M12,1),$H$6:$H$296,$I$6:$I$296)))</f>
        <v>0</v>
      </c>
      <c r="O12" s="29" t="e">
        <f aca="false">LOOKUP(DATE(N$8-1900+1,$M12,1),$H$6:$H$296,$I$6:$I$296)</f>
        <v>#VALUE!</v>
      </c>
      <c r="P12" s="29" t="e">
        <f aca="false">LOOKUP(DATE(O$8-1900+1,$M12,1),$H$6:$H$296,$I$6:$I$296)</f>
        <v>#VALUE!</v>
      </c>
      <c r="Q12" s="29" t="e">
        <f aca="false">LOOKUP(DATE(P$8-1900+1,$M12,1),$H$6:$H$296,$I$6:$I$296)</f>
        <v>#VALUE!</v>
      </c>
      <c r="R12" s="29" t="e">
        <f aca="false">LOOKUP(DATE(Q$8-1900+1,$M12,1),$H$6:$H$296,$I$6:$I$296)</f>
        <v>#VALUE!</v>
      </c>
      <c r="S12" s="29" t="e">
        <f aca="false">LOOKUP(DATE(R$8-1900+1,$M12,1),$H$6:$H$296,$I$6:$I$296)</f>
        <v>#VALUE!</v>
      </c>
      <c r="T12" s="29" t="e">
        <f aca="false">LOOKUP(DATE(S$8-1900+1,$M12,1),$H$6:$H$296,$I$6:$I$296)</f>
        <v>#VALUE!</v>
      </c>
      <c r="U12" s="29" t="e">
        <f aca="false">LOOKUP(DATE(T$8-1900+1,$M12,1),$H$6:$H$296,$I$6:$I$296)</f>
        <v>#VALUE!</v>
      </c>
      <c r="V12" s="29" t="e">
        <f aca="false">LOOKUP(DATE(U$8-1900+1,$M12,1),$H$6:$H$296,$I$6:$I$296)</f>
        <v>#VALUE!</v>
      </c>
      <c r="W12" s="29" t="e">
        <f aca="false">LOOKUP(DATE(V$8-1900+1,$M12,1),$H$6:$H$296,$I$6:$I$296)</f>
        <v>#VALUE!</v>
      </c>
      <c r="X12" s="29" t="e">
        <f aca="false">LOOKUP(DATE(W$8-1900+1,$M12,1),$H$6:$H$296,$I$6:$I$296)</f>
        <v>#VALUE!</v>
      </c>
      <c r="Y12" s="29" t="e">
        <f aca="false">LOOKUP(DATE(X$8-1900+1,$M12,1),$H$6:$H$296,$I$6:$I$296)</f>
        <v>#VALUE!</v>
      </c>
      <c r="Z12" s="29" t="e">
        <f aca="false">LOOKUP(DATE(Y$8-1900+1,$M12,1),$H$6:$H$296,$I$6:$I$296)</f>
        <v>#VALUE!</v>
      </c>
      <c r="AA12" s="29" t="e">
        <f aca="false">LOOKUP(DATE(Z$8-1900+1,$M12,1),$H$6:$H$296,$I$6:$I$296)</f>
        <v>#VALUE!</v>
      </c>
      <c r="AB12" s="29" t="e">
        <f aca="false">LOOKUP(DATE(AA$8-1900+1,$M12,1),$H$6:$H$296,$I$6:$I$296)</f>
        <v>#VALUE!</v>
      </c>
      <c r="AC12" s="29" t="e">
        <f aca="false">LOOKUP(DATE(AB$8-1900+1,$M12,1),$H$6:$H$296,$I$6:$I$296)</f>
        <v>#VALUE!</v>
      </c>
      <c r="AD12" s="29" t="e">
        <f aca="false">LOOKUP(DATE(AC$8-1900+1,$M12,1),$H$6:$H$296,$I$6:$I$296)</f>
        <v>#VALUE!</v>
      </c>
      <c r="AE12" s="29" t="e">
        <f aca="false">LOOKUP(DATE(AD$8-1900+1,$M12,1),$H$6:$H$296,$I$6:$I$296)</f>
        <v>#VALUE!</v>
      </c>
      <c r="AF12" s="29" t="e">
        <f aca="false">LOOKUP(DATE(AE$8-1900+1,$M12,1),$H$6:$H$296,$I$6:$I$296)</f>
        <v>#VALUE!</v>
      </c>
      <c r="AG12" s="29" t="e">
        <f aca="false">LOOKUP(DATE(AF$8-1900+1,$M12,1),$H$6:$H$296,$I$6:$I$296)</f>
        <v>#VALUE!</v>
      </c>
      <c r="AH12" s="29" t="e">
        <f aca="false">LOOKUP(DATE(AG$8-1900+1,$M12,1),$H$6:$H$296,$I$6:$I$296)</f>
        <v>#VALUE!</v>
      </c>
      <c r="AI12" s="29" t="e">
        <f aca="false">LOOKUP(DATE(AH$8-1900+1,$M12,1),$H$6:$H$296,$I$6:$I$296)</f>
        <v>#VALUE!</v>
      </c>
      <c r="AJ12" s="29" t="e">
        <f aca="false">LOOKUP(DATE(AI$8-1900+1,$M12,1),$H$6:$H$296,$I$6:$I$296)</f>
        <v>#VALUE!</v>
      </c>
      <c r="AK12" s="29" t="e">
        <f aca="false">LOOKUP(DATE(AJ$8-1900+1,$M12,1),$H$6:$H$296,$I$6:$I$296)</f>
        <v>#VALUE!</v>
      </c>
      <c r="AL12" s="29" t="e">
        <f aca="false">LOOKUP(DATE(AK$8-1900+1,$M12,1),$H$6:$H$296,$I$6:$I$296)</f>
        <v>#VALUE!</v>
      </c>
      <c r="AM12" s="11"/>
      <c r="AN12" s="11"/>
      <c r="AO12" s="11"/>
      <c r="AP12" s="11"/>
      <c r="AQ12" s="11"/>
      <c r="AR12" s="5"/>
      <c r="AS12" s="12"/>
      <c r="AT12" s="12"/>
      <c r="AU12" s="12"/>
      <c r="AV12" s="12"/>
      <c r="AW12" s="12"/>
      <c r="AX12" s="12"/>
      <c r="AY12" s="12"/>
      <c r="AZ12" s="12"/>
      <c r="BA12" s="12"/>
      <c r="BB12" s="12"/>
      <c r="BC12" s="12"/>
      <c r="BD12" s="12"/>
      <c r="BE12" s="12"/>
      <c r="BF12" s="12"/>
      <c r="BG12" s="12"/>
      <c r="BH12" s="12"/>
      <c r="BI12" s="12"/>
      <c r="BJ12" s="12"/>
      <c r="BK12" s="12"/>
      <c r="BL12" s="12"/>
      <c r="BM12" s="12"/>
      <c r="BN12" s="12"/>
      <c r="BO12" s="12"/>
      <c r="BP12" s="12"/>
      <c r="BQ12" s="12"/>
      <c r="BR12" s="12"/>
      <c r="BS12" s="12"/>
      <c r="BT12" s="12"/>
      <c r="BU12" s="12"/>
      <c r="BV12" s="12"/>
      <c r="BW12" s="12"/>
      <c r="BX12" s="12"/>
      <c r="BY12" s="12"/>
      <c r="BZ12" s="12"/>
      <c r="CA12" s="12"/>
      <c r="CB12" s="12"/>
      <c r="CC12" s="12"/>
      <c r="CD12" s="12"/>
      <c r="CE12" s="12"/>
      <c r="CF12" s="12"/>
      <c r="CG12" s="12"/>
      <c r="CH12" s="12"/>
      <c r="CI12" s="12"/>
      <c r="CJ12" s="12"/>
      <c r="CK12" s="12"/>
      <c r="CL12" s="12"/>
      <c r="CM12" s="12"/>
      <c r="CN12" s="12"/>
      <c r="CO12" s="12"/>
      <c r="CP12" s="12"/>
      <c r="CQ12" s="12"/>
      <c r="CR12" s="12"/>
      <c r="CS12" s="12"/>
      <c r="CT12" s="12"/>
      <c r="CU12" s="12"/>
      <c r="CV12" s="12"/>
      <c r="CW12" s="12"/>
      <c r="CX12" s="12"/>
      <c r="CY12" s="12"/>
      <c r="CZ12" s="12"/>
      <c r="DA12" s="12"/>
      <c r="DB12" s="12"/>
      <c r="DC12" s="12"/>
      <c r="DD12" s="12"/>
      <c r="DE12" s="12"/>
      <c r="DF12" s="12"/>
      <c r="DG12" s="12"/>
      <c r="DH12" s="12"/>
      <c r="DI12" s="12"/>
      <c r="DJ12" s="12"/>
      <c r="DK12" s="12"/>
      <c r="DL12" s="12"/>
      <c r="DM12" s="12"/>
      <c r="DN12" s="12"/>
      <c r="DO12" s="12"/>
      <c r="DP12" s="12"/>
      <c r="DQ12" s="12"/>
      <c r="DR12" s="12"/>
      <c r="DS12" s="12"/>
      <c r="DT12" s="12"/>
      <c r="DU12" s="12"/>
      <c r="DV12" s="12"/>
      <c r="DW12" s="12"/>
      <c r="DX12" s="12"/>
      <c r="DY12" s="12"/>
      <c r="DZ12" s="12"/>
      <c r="EA12" s="12"/>
      <c r="EB12" s="12"/>
      <c r="EC12" s="12"/>
      <c r="ED12" s="12"/>
      <c r="EE12" s="12"/>
      <c r="EF12" s="12"/>
      <c r="EG12" s="12"/>
      <c r="EH12" s="12"/>
      <c r="EI12" s="12"/>
      <c r="EJ12" s="12"/>
      <c r="EK12" s="12"/>
      <c r="EL12" s="12"/>
      <c r="EM12" s="12"/>
      <c r="EN12" s="12"/>
      <c r="EO12" s="12"/>
      <c r="EP12" s="12"/>
      <c r="EQ12" s="12"/>
      <c r="ER12" s="12"/>
      <c r="ES12" s="12"/>
      <c r="ET12" s="12"/>
      <c r="EU12" s="12"/>
      <c r="EV12" s="12"/>
      <c r="EW12" s="12"/>
      <c r="EX12" s="12"/>
      <c r="EY12" s="12"/>
      <c r="EZ12" s="12"/>
      <c r="FA12" s="12"/>
      <c r="FB12" s="12"/>
      <c r="FC12" s="12"/>
      <c r="FD12" s="12"/>
      <c r="FE12" s="12"/>
      <c r="FF12" s="12"/>
      <c r="FG12" s="12"/>
      <c r="FH12" s="12"/>
      <c r="FI12" s="12"/>
      <c r="FJ12" s="12"/>
      <c r="FK12" s="12"/>
      <c r="FL12" s="12"/>
      <c r="FM12" s="12"/>
      <c r="FN12" s="12"/>
      <c r="FO12" s="12"/>
      <c r="FP12" s="12"/>
      <c r="FQ12" s="12"/>
      <c r="FR12" s="12"/>
      <c r="FS12" s="12"/>
      <c r="FT12" s="12"/>
      <c r="FU12" s="12"/>
      <c r="FV12" s="12"/>
      <c r="FW12" s="12"/>
      <c r="FX12" s="12"/>
      <c r="FY12" s="12"/>
      <c r="FZ12" s="12"/>
      <c r="GA12" s="12"/>
      <c r="GB12" s="12"/>
      <c r="GC12" s="12"/>
      <c r="GD12" s="12"/>
      <c r="GE12" s="12"/>
      <c r="GF12" s="12"/>
      <c r="GG12" s="12"/>
      <c r="GH12" s="12"/>
      <c r="GI12" s="12"/>
      <c r="GJ12" s="12"/>
      <c r="GK12" s="12"/>
      <c r="GL12" s="12"/>
      <c r="GM12" s="12"/>
      <c r="GN12" s="12"/>
      <c r="GO12" s="12"/>
      <c r="GP12" s="12"/>
      <c r="GQ12" s="12"/>
      <c r="GR12" s="12"/>
      <c r="GS12" s="12"/>
      <c r="GT12" s="12"/>
      <c r="GU12" s="12"/>
      <c r="GV12" s="12"/>
      <c r="GW12" s="12"/>
      <c r="GX12" s="12"/>
      <c r="GY12" s="12"/>
      <c r="GZ12" s="12"/>
      <c r="HA12" s="12"/>
      <c r="HB12" s="12"/>
      <c r="HC12" s="12"/>
      <c r="HD12" s="12"/>
      <c r="HE12" s="12"/>
      <c r="HF12" s="12"/>
      <c r="HG12" s="12"/>
      <c r="HH12" s="12"/>
      <c r="HI12" s="12"/>
      <c r="HJ12" s="12"/>
      <c r="HK12" s="12"/>
      <c r="HL12" s="12"/>
      <c r="HM12" s="12"/>
      <c r="HN12" s="12"/>
      <c r="HO12" s="12"/>
      <c r="HP12" s="12"/>
      <c r="HQ12" s="12"/>
      <c r="HR12" s="12"/>
      <c r="HS12" s="12"/>
      <c r="HT12" s="12"/>
      <c r="HU12" s="12"/>
      <c r="HV12" s="12"/>
      <c r="HW12" s="12"/>
      <c r="HX12" s="12"/>
      <c r="HY12" s="12"/>
      <c r="HZ12" s="12"/>
      <c r="IA12" s="12"/>
      <c r="IB12" s="12"/>
      <c r="IC12" s="12"/>
      <c r="ID12" s="12"/>
      <c r="IE12" s="12"/>
      <c r="IF12" s="12"/>
      <c r="IG12" s="12"/>
      <c r="IH12" s="12"/>
      <c r="II12" s="12"/>
      <c r="IJ12" s="12"/>
      <c r="IK12" s="12"/>
      <c r="IL12" s="12"/>
      <c r="IM12" s="12"/>
      <c r="IN12" s="12"/>
      <c r="IO12" s="12"/>
      <c r="IP12" s="12"/>
      <c r="IQ12" s="12"/>
      <c r="IR12" s="12"/>
      <c r="IS12" s="12"/>
      <c r="IT12" s="12"/>
      <c r="IU12" s="12"/>
      <c r="IV12" s="12"/>
      <c r="IW12" s="12"/>
    </row>
    <row r="13" customFormat="false" ht="11.25" hidden="false" customHeight="false" outlineLevel="0" collapsed="false">
      <c r="A13" s="25" t="n">
        <f aca="false">DATE(YEAR(A12),MONTH(A12)+1,1)</f>
        <v>46113</v>
      </c>
      <c r="B13" s="21" t="n">
        <v>1.98</v>
      </c>
      <c r="C13" s="21" t="n">
        <v>1.985</v>
      </c>
      <c r="D13" s="25" t="n">
        <f aca="false">DATE(YEAR(D12),MONTH(D12)+1,1)</f>
        <v>46113</v>
      </c>
      <c r="E13" s="21" t="n">
        <v>20.344</v>
      </c>
      <c r="F13" s="21" t="n">
        <v>20.379</v>
      </c>
      <c r="G13" s="6"/>
      <c r="H13" s="22" t="n">
        <f aca="false">A13</f>
        <v>46113</v>
      </c>
      <c r="I13" s="23" t="n">
        <f aca="false">IF($J$1="bid",B13,C13)</f>
        <v>1.985</v>
      </c>
      <c r="J13" s="24" t="n">
        <f aca="false">D13</f>
        <v>46113</v>
      </c>
      <c r="K13" s="23" t="n">
        <f aca="false">IF($J$1="bid",E13,F13)</f>
        <v>20.379</v>
      </c>
      <c r="L13" s="11"/>
      <c r="M13" s="11" t="n">
        <v>5</v>
      </c>
      <c r="N13" s="29" t="n">
        <f aca="false">IF(MONTH($A$6)&gt;M13,0,IF(MONTH($A$6)=M13,+I$6,LOOKUP(DATE(N$8-1900,$M13,1),$H$6:$H$296,$I$6:$I$296)))</f>
        <v>0</v>
      </c>
      <c r="O13" s="29" t="e">
        <f aca="false">LOOKUP(DATE(N$8-1900+1,$M13,1),$H$6:$H$296,$I$6:$I$296)</f>
        <v>#VALUE!</v>
      </c>
      <c r="P13" s="29" t="e">
        <f aca="false">LOOKUP(DATE(O$8-1900+1,$M13,1),$H$6:$H$296,$I$6:$I$296)</f>
        <v>#VALUE!</v>
      </c>
      <c r="Q13" s="29" t="e">
        <f aca="false">LOOKUP(DATE(P$8-1900+1,$M13,1),$H$6:$H$296,$I$6:$I$296)</f>
        <v>#VALUE!</v>
      </c>
      <c r="R13" s="29" t="e">
        <f aca="false">LOOKUP(DATE(Q$8-1900+1,$M13,1),$H$6:$H$296,$I$6:$I$296)</f>
        <v>#VALUE!</v>
      </c>
      <c r="S13" s="29" t="e">
        <f aca="false">LOOKUP(DATE(R$8-1900+1,$M13,1),$H$6:$H$296,$I$6:$I$296)</f>
        <v>#VALUE!</v>
      </c>
      <c r="T13" s="29" t="e">
        <f aca="false">LOOKUP(DATE(S$8-1900+1,$M13,1),$H$6:$H$296,$I$6:$I$296)</f>
        <v>#VALUE!</v>
      </c>
      <c r="U13" s="29" t="e">
        <f aca="false">LOOKUP(DATE(T$8-1900+1,$M13,1),$H$6:$H$296,$I$6:$I$296)</f>
        <v>#VALUE!</v>
      </c>
      <c r="V13" s="29" t="e">
        <f aca="false">LOOKUP(DATE(U$8-1900+1,$M13,1),$H$6:$H$296,$I$6:$I$296)</f>
        <v>#VALUE!</v>
      </c>
      <c r="W13" s="29" t="e">
        <f aca="false">LOOKUP(DATE(V$8-1900+1,$M13,1),$H$6:$H$296,$I$6:$I$296)</f>
        <v>#VALUE!</v>
      </c>
      <c r="X13" s="29" t="e">
        <f aca="false">LOOKUP(DATE(W$8-1900+1,$M13,1),$H$6:$H$296,$I$6:$I$296)</f>
        <v>#VALUE!</v>
      </c>
      <c r="Y13" s="29" t="e">
        <f aca="false">LOOKUP(DATE(X$8-1900+1,$M13,1),$H$6:$H$296,$I$6:$I$296)</f>
        <v>#VALUE!</v>
      </c>
      <c r="Z13" s="29" t="e">
        <f aca="false">LOOKUP(DATE(Y$8-1900+1,$M13,1),$H$6:$H$296,$I$6:$I$296)</f>
        <v>#VALUE!</v>
      </c>
      <c r="AA13" s="29" t="e">
        <f aca="false">LOOKUP(DATE(Z$8-1900+1,$M13,1),$H$6:$H$296,$I$6:$I$296)</f>
        <v>#VALUE!</v>
      </c>
      <c r="AB13" s="29" t="e">
        <f aca="false">LOOKUP(DATE(AA$8-1900+1,$M13,1),$H$6:$H$296,$I$6:$I$296)</f>
        <v>#VALUE!</v>
      </c>
      <c r="AC13" s="29" t="e">
        <f aca="false">LOOKUP(DATE(AB$8-1900+1,$M13,1),$H$6:$H$296,$I$6:$I$296)</f>
        <v>#VALUE!</v>
      </c>
      <c r="AD13" s="29" t="e">
        <f aca="false">LOOKUP(DATE(AC$8-1900+1,$M13,1),$H$6:$H$296,$I$6:$I$296)</f>
        <v>#VALUE!</v>
      </c>
      <c r="AE13" s="29" t="e">
        <f aca="false">LOOKUP(DATE(AD$8-1900+1,$M13,1),$H$6:$H$296,$I$6:$I$296)</f>
        <v>#VALUE!</v>
      </c>
      <c r="AF13" s="29" t="e">
        <f aca="false">LOOKUP(DATE(AE$8-1900+1,$M13,1),$H$6:$H$296,$I$6:$I$296)</f>
        <v>#VALUE!</v>
      </c>
      <c r="AG13" s="29" t="e">
        <f aca="false">LOOKUP(DATE(AF$8-1900+1,$M13,1),$H$6:$H$296,$I$6:$I$296)</f>
        <v>#VALUE!</v>
      </c>
      <c r="AH13" s="29" t="e">
        <f aca="false">LOOKUP(DATE(AG$8-1900+1,$M13,1),$H$6:$H$296,$I$6:$I$296)</f>
        <v>#VALUE!</v>
      </c>
      <c r="AI13" s="29" t="e">
        <f aca="false">LOOKUP(DATE(AH$8-1900+1,$M13,1),$H$6:$H$296,$I$6:$I$296)</f>
        <v>#VALUE!</v>
      </c>
      <c r="AJ13" s="29" t="e">
        <f aca="false">LOOKUP(DATE(AI$8-1900+1,$M13,1),$H$6:$H$296,$I$6:$I$296)</f>
        <v>#VALUE!</v>
      </c>
      <c r="AK13" s="29" t="e">
        <f aca="false">LOOKUP(DATE(AJ$8-1900+1,$M13,1),$H$6:$H$296,$I$6:$I$296)</f>
        <v>#VALUE!</v>
      </c>
      <c r="AL13" s="29" t="e">
        <f aca="false">LOOKUP(DATE(AK$8-1900+1,$M13,1),$H$6:$H$296,$I$6:$I$296)</f>
        <v>#VALUE!</v>
      </c>
      <c r="AM13" s="11"/>
      <c r="AN13" s="11"/>
      <c r="AO13" s="11"/>
      <c r="AP13" s="11"/>
      <c r="AQ13" s="11"/>
      <c r="AR13" s="5"/>
      <c r="AS13" s="12"/>
      <c r="AT13" s="12"/>
      <c r="AU13" s="12"/>
      <c r="AV13" s="12"/>
      <c r="AW13" s="12"/>
      <c r="AX13" s="12"/>
      <c r="AY13" s="12"/>
      <c r="AZ13" s="12"/>
      <c r="BA13" s="12"/>
      <c r="BB13" s="12"/>
      <c r="BC13" s="12"/>
      <c r="BD13" s="12"/>
      <c r="BE13" s="12"/>
      <c r="BF13" s="12"/>
      <c r="BG13" s="12"/>
      <c r="BH13" s="12"/>
      <c r="BI13" s="12"/>
      <c r="BJ13" s="12"/>
      <c r="BK13" s="12"/>
      <c r="BL13" s="12"/>
      <c r="BM13" s="12"/>
      <c r="BN13" s="12"/>
      <c r="BO13" s="12"/>
      <c r="BP13" s="12"/>
      <c r="BQ13" s="12"/>
      <c r="BR13" s="12"/>
      <c r="BS13" s="12"/>
      <c r="BT13" s="12"/>
      <c r="BU13" s="12"/>
      <c r="BV13" s="12"/>
      <c r="BW13" s="12"/>
      <c r="BX13" s="12"/>
      <c r="BY13" s="12"/>
      <c r="BZ13" s="12"/>
      <c r="CA13" s="12"/>
      <c r="CB13" s="12"/>
      <c r="CC13" s="12"/>
      <c r="CD13" s="12"/>
      <c r="CE13" s="12"/>
      <c r="CF13" s="12"/>
      <c r="CG13" s="12"/>
      <c r="CH13" s="12"/>
      <c r="CI13" s="12"/>
      <c r="CJ13" s="12"/>
      <c r="CK13" s="12"/>
      <c r="CL13" s="12"/>
      <c r="CM13" s="12"/>
      <c r="CN13" s="12"/>
      <c r="CO13" s="12"/>
      <c r="CP13" s="12"/>
      <c r="CQ13" s="12"/>
      <c r="CR13" s="12"/>
      <c r="CS13" s="12"/>
      <c r="CT13" s="12"/>
      <c r="CU13" s="12"/>
      <c r="CV13" s="12"/>
      <c r="CW13" s="12"/>
      <c r="CX13" s="12"/>
      <c r="CY13" s="12"/>
      <c r="CZ13" s="12"/>
      <c r="DA13" s="12"/>
      <c r="DB13" s="12"/>
      <c r="DC13" s="12"/>
      <c r="DD13" s="12"/>
      <c r="DE13" s="12"/>
      <c r="DF13" s="12"/>
      <c r="DG13" s="12"/>
      <c r="DH13" s="12"/>
      <c r="DI13" s="12"/>
      <c r="DJ13" s="12"/>
      <c r="DK13" s="12"/>
      <c r="DL13" s="12"/>
      <c r="DM13" s="12"/>
      <c r="DN13" s="12"/>
      <c r="DO13" s="12"/>
      <c r="DP13" s="12"/>
      <c r="DQ13" s="12"/>
      <c r="DR13" s="12"/>
      <c r="DS13" s="12"/>
      <c r="DT13" s="12"/>
      <c r="DU13" s="12"/>
      <c r="DV13" s="12"/>
      <c r="DW13" s="12"/>
      <c r="DX13" s="12"/>
      <c r="DY13" s="12"/>
      <c r="DZ13" s="12"/>
      <c r="EA13" s="12"/>
      <c r="EB13" s="12"/>
      <c r="EC13" s="12"/>
      <c r="ED13" s="12"/>
      <c r="EE13" s="12"/>
      <c r="EF13" s="12"/>
      <c r="EG13" s="12"/>
      <c r="EH13" s="12"/>
      <c r="EI13" s="12"/>
      <c r="EJ13" s="12"/>
      <c r="EK13" s="12"/>
      <c r="EL13" s="12"/>
      <c r="EM13" s="12"/>
      <c r="EN13" s="12"/>
      <c r="EO13" s="12"/>
      <c r="EP13" s="12"/>
      <c r="EQ13" s="12"/>
      <c r="ER13" s="12"/>
      <c r="ES13" s="12"/>
      <c r="ET13" s="12"/>
      <c r="EU13" s="12"/>
      <c r="EV13" s="12"/>
      <c r="EW13" s="12"/>
      <c r="EX13" s="12"/>
      <c r="EY13" s="12"/>
      <c r="EZ13" s="12"/>
      <c r="FA13" s="12"/>
      <c r="FB13" s="12"/>
      <c r="FC13" s="12"/>
      <c r="FD13" s="12"/>
      <c r="FE13" s="12"/>
      <c r="FF13" s="12"/>
      <c r="FG13" s="12"/>
      <c r="FH13" s="12"/>
      <c r="FI13" s="12"/>
      <c r="FJ13" s="12"/>
      <c r="FK13" s="12"/>
      <c r="FL13" s="12"/>
      <c r="FM13" s="12"/>
      <c r="FN13" s="12"/>
      <c r="FO13" s="12"/>
      <c r="FP13" s="12"/>
      <c r="FQ13" s="12"/>
      <c r="FR13" s="12"/>
      <c r="FS13" s="12"/>
      <c r="FT13" s="12"/>
      <c r="FU13" s="12"/>
      <c r="FV13" s="12"/>
      <c r="FW13" s="12"/>
      <c r="FX13" s="12"/>
      <c r="FY13" s="12"/>
      <c r="FZ13" s="12"/>
      <c r="GA13" s="12"/>
      <c r="GB13" s="12"/>
      <c r="GC13" s="12"/>
      <c r="GD13" s="12"/>
      <c r="GE13" s="12"/>
      <c r="GF13" s="12"/>
      <c r="GG13" s="12"/>
      <c r="GH13" s="12"/>
      <c r="GI13" s="12"/>
      <c r="GJ13" s="12"/>
      <c r="GK13" s="12"/>
      <c r="GL13" s="12"/>
      <c r="GM13" s="12"/>
      <c r="GN13" s="12"/>
      <c r="GO13" s="12"/>
      <c r="GP13" s="12"/>
      <c r="GQ13" s="12"/>
      <c r="GR13" s="12"/>
      <c r="GS13" s="12"/>
      <c r="GT13" s="12"/>
      <c r="GU13" s="12"/>
      <c r="GV13" s="12"/>
      <c r="GW13" s="12"/>
      <c r="GX13" s="12"/>
      <c r="GY13" s="12"/>
      <c r="GZ13" s="12"/>
      <c r="HA13" s="12"/>
      <c r="HB13" s="12"/>
      <c r="HC13" s="12"/>
      <c r="HD13" s="12"/>
      <c r="HE13" s="12"/>
      <c r="HF13" s="12"/>
      <c r="HG13" s="12"/>
      <c r="HH13" s="12"/>
      <c r="HI13" s="12"/>
      <c r="HJ13" s="12"/>
      <c r="HK13" s="12"/>
      <c r="HL13" s="12"/>
      <c r="HM13" s="12"/>
      <c r="HN13" s="12"/>
      <c r="HO13" s="12"/>
      <c r="HP13" s="12"/>
      <c r="HQ13" s="12"/>
      <c r="HR13" s="12"/>
      <c r="HS13" s="12"/>
      <c r="HT13" s="12"/>
      <c r="HU13" s="12"/>
      <c r="HV13" s="12"/>
      <c r="HW13" s="12"/>
      <c r="HX13" s="12"/>
      <c r="HY13" s="12"/>
      <c r="HZ13" s="12"/>
      <c r="IA13" s="12"/>
      <c r="IB13" s="12"/>
      <c r="IC13" s="12"/>
      <c r="ID13" s="12"/>
      <c r="IE13" s="12"/>
      <c r="IF13" s="12"/>
      <c r="IG13" s="12"/>
      <c r="IH13" s="12"/>
      <c r="II13" s="12"/>
      <c r="IJ13" s="12"/>
      <c r="IK13" s="12"/>
      <c r="IL13" s="12"/>
      <c r="IM13" s="12"/>
      <c r="IN13" s="12"/>
      <c r="IO13" s="12"/>
      <c r="IP13" s="12"/>
      <c r="IQ13" s="12"/>
      <c r="IR13" s="12"/>
      <c r="IS13" s="12"/>
      <c r="IT13" s="12"/>
      <c r="IU13" s="12"/>
      <c r="IV13" s="12"/>
      <c r="IW13" s="12"/>
    </row>
    <row r="14" customFormat="false" ht="11.25" hidden="false" customHeight="false" outlineLevel="0" collapsed="false">
      <c r="A14" s="25" t="n">
        <f aca="false">DATE(YEAR(A13),MONTH(A13)+1,1)</f>
        <v>46143</v>
      </c>
      <c r="B14" s="21" t="n">
        <v>1.978</v>
      </c>
      <c r="C14" s="21" t="n">
        <v>1.983</v>
      </c>
      <c r="D14" s="25" t="n">
        <f aca="false">DATE(YEAR(D13),MONTH(D13)+1,1)</f>
        <v>46143</v>
      </c>
      <c r="E14" s="21" t="n">
        <v>20.089</v>
      </c>
      <c r="F14" s="21" t="n">
        <v>20.124</v>
      </c>
      <c r="G14" s="6"/>
      <c r="H14" s="22" t="n">
        <f aca="false">A14</f>
        <v>46143</v>
      </c>
      <c r="I14" s="23" t="n">
        <f aca="false">IF($J$1="bid",B14,C14)</f>
        <v>1.983</v>
      </c>
      <c r="J14" s="24" t="n">
        <f aca="false">D14</f>
        <v>46143</v>
      </c>
      <c r="K14" s="23" t="n">
        <f aca="false">IF($J$1="bid",E14,F14)</f>
        <v>20.124</v>
      </c>
      <c r="L14" s="11"/>
      <c r="M14" s="11" t="n">
        <v>6</v>
      </c>
      <c r="N14" s="29" t="n">
        <f aca="false">IF(MONTH($A$6)&gt;M14,0,IF(MONTH($A$6)=M14,+I$6,LOOKUP(DATE(N$8-1900,$M14,1),$H$6:$H$296,$I$6:$I$296)))</f>
        <v>0</v>
      </c>
      <c r="O14" s="29" t="e">
        <f aca="false">LOOKUP(DATE(N$8-1900+1,$M14,1),$H$6:$H$296,$I$6:$I$296)</f>
        <v>#VALUE!</v>
      </c>
      <c r="P14" s="29" t="e">
        <f aca="false">LOOKUP(DATE(O$8-1900+1,$M14,1),$H$6:$H$296,$I$6:$I$296)</f>
        <v>#VALUE!</v>
      </c>
      <c r="Q14" s="29" t="e">
        <f aca="false">LOOKUP(DATE(P$8-1900+1,$M14,1),$H$6:$H$296,$I$6:$I$296)</f>
        <v>#VALUE!</v>
      </c>
      <c r="R14" s="29" t="e">
        <f aca="false">LOOKUP(DATE(Q$8-1900+1,$M14,1),$H$6:$H$296,$I$6:$I$296)</f>
        <v>#VALUE!</v>
      </c>
      <c r="S14" s="29" t="e">
        <f aca="false">LOOKUP(DATE(R$8-1900+1,$M14,1),$H$6:$H$296,$I$6:$I$296)</f>
        <v>#VALUE!</v>
      </c>
      <c r="T14" s="29" t="e">
        <f aca="false">LOOKUP(DATE(S$8-1900+1,$M14,1),$H$6:$H$296,$I$6:$I$296)</f>
        <v>#VALUE!</v>
      </c>
      <c r="U14" s="29" t="e">
        <f aca="false">LOOKUP(DATE(T$8-1900+1,$M14,1),$H$6:$H$296,$I$6:$I$296)</f>
        <v>#VALUE!</v>
      </c>
      <c r="V14" s="29" t="e">
        <f aca="false">LOOKUP(DATE(U$8-1900+1,$M14,1),$H$6:$H$296,$I$6:$I$296)</f>
        <v>#VALUE!</v>
      </c>
      <c r="W14" s="29" t="e">
        <f aca="false">LOOKUP(DATE(V$8-1900+1,$M14,1),$H$6:$H$296,$I$6:$I$296)</f>
        <v>#VALUE!</v>
      </c>
      <c r="X14" s="29" t="e">
        <f aca="false">LOOKUP(DATE(W$8-1900+1,$M14,1),$H$6:$H$296,$I$6:$I$296)</f>
        <v>#VALUE!</v>
      </c>
      <c r="Y14" s="29" t="e">
        <f aca="false">LOOKUP(DATE(X$8-1900+1,$M14,1),$H$6:$H$296,$I$6:$I$296)</f>
        <v>#VALUE!</v>
      </c>
      <c r="Z14" s="29" t="e">
        <f aca="false">LOOKUP(DATE(Y$8-1900+1,$M14,1),$H$6:$H$296,$I$6:$I$296)</f>
        <v>#VALUE!</v>
      </c>
      <c r="AA14" s="29" t="e">
        <f aca="false">LOOKUP(DATE(Z$8-1900+1,$M14,1),$H$6:$H$296,$I$6:$I$296)</f>
        <v>#VALUE!</v>
      </c>
      <c r="AB14" s="29" t="e">
        <f aca="false">LOOKUP(DATE(AA$8-1900+1,$M14,1),$H$6:$H$296,$I$6:$I$296)</f>
        <v>#VALUE!</v>
      </c>
      <c r="AC14" s="29" t="e">
        <f aca="false">LOOKUP(DATE(AB$8-1900+1,$M14,1),$H$6:$H$296,$I$6:$I$296)</f>
        <v>#VALUE!</v>
      </c>
      <c r="AD14" s="29" t="e">
        <f aca="false">LOOKUP(DATE(AC$8-1900+1,$M14,1),$H$6:$H$296,$I$6:$I$296)</f>
        <v>#VALUE!</v>
      </c>
      <c r="AE14" s="29" t="e">
        <f aca="false">LOOKUP(DATE(AD$8-1900+1,$M14,1),$H$6:$H$296,$I$6:$I$296)</f>
        <v>#VALUE!</v>
      </c>
      <c r="AF14" s="29" t="e">
        <f aca="false">LOOKUP(DATE(AE$8-1900+1,$M14,1),$H$6:$H$296,$I$6:$I$296)</f>
        <v>#VALUE!</v>
      </c>
      <c r="AG14" s="29" t="e">
        <f aca="false">LOOKUP(DATE(AF$8-1900+1,$M14,1),$H$6:$H$296,$I$6:$I$296)</f>
        <v>#VALUE!</v>
      </c>
      <c r="AH14" s="29" t="e">
        <f aca="false">LOOKUP(DATE(AG$8-1900+1,$M14,1),$H$6:$H$296,$I$6:$I$296)</f>
        <v>#VALUE!</v>
      </c>
      <c r="AI14" s="29" t="e">
        <f aca="false">LOOKUP(DATE(AH$8-1900+1,$M14,1),$H$6:$H$296,$I$6:$I$296)</f>
        <v>#VALUE!</v>
      </c>
      <c r="AJ14" s="29" t="e">
        <f aca="false">LOOKUP(DATE(AI$8-1900+1,$M14,1),$H$6:$H$296,$I$6:$I$296)</f>
        <v>#VALUE!</v>
      </c>
      <c r="AK14" s="29" t="e">
        <f aca="false">LOOKUP(DATE(AJ$8-1900+1,$M14,1),$H$6:$H$296,$I$6:$I$296)</f>
        <v>#VALUE!</v>
      </c>
      <c r="AL14" s="29" t="e">
        <f aca="false">LOOKUP(DATE(AK$8-1900+1,$M14,1),$H$6:$H$296,$I$6:$I$296)</f>
        <v>#VALUE!</v>
      </c>
      <c r="AM14" s="11"/>
      <c r="AN14" s="11"/>
      <c r="AO14" s="11"/>
      <c r="AP14" s="11"/>
      <c r="AQ14" s="11"/>
      <c r="AR14" s="5"/>
      <c r="AS14" s="12"/>
      <c r="AT14" s="12"/>
      <c r="AU14" s="12"/>
      <c r="AV14" s="12"/>
      <c r="AW14" s="12"/>
      <c r="AX14" s="12"/>
      <c r="AY14" s="12"/>
      <c r="AZ14" s="12"/>
      <c r="BA14" s="12"/>
      <c r="BB14" s="12"/>
      <c r="BC14" s="12"/>
      <c r="BD14" s="12"/>
      <c r="BE14" s="12"/>
      <c r="BF14" s="12"/>
      <c r="BG14" s="12"/>
      <c r="BH14" s="12"/>
      <c r="BI14" s="12"/>
      <c r="BJ14" s="12"/>
      <c r="BK14" s="12"/>
      <c r="BL14" s="12"/>
      <c r="BM14" s="12"/>
      <c r="BN14" s="12"/>
      <c r="BO14" s="12"/>
      <c r="BP14" s="12"/>
      <c r="BQ14" s="12"/>
      <c r="BR14" s="12"/>
      <c r="BS14" s="12"/>
      <c r="BT14" s="12"/>
      <c r="BU14" s="12"/>
      <c r="BV14" s="12"/>
      <c r="BW14" s="12"/>
      <c r="BX14" s="12"/>
      <c r="BY14" s="12"/>
      <c r="BZ14" s="12"/>
      <c r="CA14" s="12"/>
      <c r="CB14" s="12"/>
      <c r="CC14" s="12"/>
      <c r="CD14" s="12"/>
      <c r="CE14" s="12"/>
      <c r="CF14" s="12"/>
      <c r="CG14" s="12"/>
      <c r="CH14" s="12"/>
      <c r="CI14" s="12"/>
      <c r="CJ14" s="12"/>
      <c r="CK14" s="12"/>
      <c r="CL14" s="12"/>
      <c r="CM14" s="12"/>
      <c r="CN14" s="12"/>
      <c r="CO14" s="12"/>
      <c r="CP14" s="12"/>
      <c r="CQ14" s="12"/>
      <c r="CR14" s="12"/>
      <c r="CS14" s="12"/>
      <c r="CT14" s="12"/>
      <c r="CU14" s="12"/>
      <c r="CV14" s="12"/>
      <c r="CW14" s="12"/>
      <c r="CX14" s="12"/>
      <c r="CY14" s="12"/>
      <c r="CZ14" s="12"/>
      <c r="DA14" s="12"/>
      <c r="DB14" s="12"/>
      <c r="DC14" s="12"/>
      <c r="DD14" s="12"/>
      <c r="DE14" s="12"/>
      <c r="DF14" s="12"/>
      <c r="DG14" s="12"/>
      <c r="DH14" s="12"/>
      <c r="DI14" s="12"/>
      <c r="DJ14" s="12"/>
      <c r="DK14" s="12"/>
      <c r="DL14" s="12"/>
      <c r="DM14" s="12"/>
      <c r="DN14" s="12"/>
      <c r="DO14" s="12"/>
      <c r="DP14" s="12"/>
      <c r="DQ14" s="12"/>
      <c r="DR14" s="12"/>
      <c r="DS14" s="12"/>
      <c r="DT14" s="12"/>
      <c r="DU14" s="12"/>
      <c r="DV14" s="12"/>
      <c r="DW14" s="12"/>
      <c r="DX14" s="12"/>
      <c r="DY14" s="12"/>
      <c r="DZ14" s="12"/>
      <c r="EA14" s="12"/>
      <c r="EB14" s="12"/>
      <c r="EC14" s="12"/>
      <c r="ED14" s="12"/>
      <c r="EE14" s="12"/>
      <c r="EF14" s="12"/>
      <c r="EG14" s="12"/>
      <c r="EH14" s="12"/>
      <c r="EI14" s="12"/>
      <c r="EJ14" s="12"/>
      <c r="EK14" s="12"/>
      <c r="EL14" s="12"/>
      <c r="EM14" s="12"/>
      <c r="EN14" s="12"/>
      <c r="EO14" s="12"/>
      <c r="EP14" s="12"/>
      <c r="EQ14" s="12"/>
      <c r="ER14" s="12"/>
      <c r="ES14" s="12"/>
      <c r="ET14" s="12"/>
      <c r="EU14" s="12"/>
      <c r="EV14" s="12"/>
      <c r="EW14" s="12"/>
      <c r="EX14" s="12"/>
      <c r="EY14" s="12"/>
      <c r="EZ14" s="12"/>
      <c r="FA14" s="12"/>
      <c r="FB14" s="12"/>
      <c r="FC14" s="12"/>
      <c r="FD14" s="12"/>
      <c r="FE14" s="12"/>
      <c r="FF14" s="12"/>
      <c r="FG14" s="12"/>
      <c r="FH14" s="12"/>
      <c r="FI14" s="12"/>
      <c r="FJ14" s="12"/>
      <c r="FK14" s="12"/>
      <c r="FL14" s="12"/>
      <c r="FM14" s="12"/>
      <c r="FN14" s="12"/>
      <c r="FO14" s="12"/>
      <c r="FP14" s="12"/>
      <c r="FQ14" s="12"/>
      <c r="FR14" s="12"/>
      <c r="FS14" s="12"/>
      <c r="FT14" s="12"/>
      <c r="FU14" s="12"/>
      <c r="FV14" s="12"/>
      <c r="FW14" s="12"/>
      <c r="FX14" s="12"/>
      <c r="FY14" s="12"/>
      <c r="FZ14" s="12"/>
      <c r="GA14" s="12"/>
      <c r="GB14" s="12"/>
      <c r="GC14" s="12"/>
      <c r="GD14" s="12"/>
      <c r="GE14" s="12"/>
      <c r="GF14" s="12"/>
      <c r="GG14" s="12"/>
      <c r="GH14" s="12"/>
      <c r="GI14" s="12"/>
      <c r="GJ14" s="12"/>
      <c r="GK14" s="12"/>
      <c r="GL14" s="12"/>
      <c r="GM14" s="12"/>
      <c r="GN14" s="12"/>
      <c r="GO14" s="12"/>
      <c r="GP14" s="12"/>
      <c r="GQ14" s="12"/>
      <c r="GR14" s="12"/>
      <c r="GS14" s="12"/>
      <c r="GT14" s="12"/>
      <c r="GU14" s="12"/>
      <c r="GV14" s="12"/>
      <c r="GW14" s="12"/>
      <c r="GX14" s="12"/>
      <c r="GY14" s="12"/>
      <c r="GZ14" s="12"/>
      <c r="HA14" s="12"/>
      <c r="HB14" s="12"/>
      <c r="HC14" s="12"/>
      <c r="HD14" s="12"/>
      <c r="HE14" s="12"/>
      <c r="HF14" s="12"/>
      <c r="HG14" s="12"/>
      <c r="HH14" s="12"/>
      <c r="HI14" s="12"/>
      <c r="HJ14" s="12"/>
      <c r="HK14" s="12"/>
      <c r="HL14" s="12"/>
      <c r="HM14" s="12"/>
      <c r="HN14" s="12"/>
      <c r="HO14" s="12"/>
      <c r="HP14" s="12"/>
      <c r="HQ14" s="12"/>
      <c r="HR14" s="12"/>
      <c r="HS14" s="12"/>
      <c r="HT14" s="12"/>
      <c r="HU14" s="12"/>
      <c r="HV14" s="12"/>
      <c r="HW14" s="12"/>
      <c r="HX14" s="12"/>
      <c r="HY14" s="12"/>
      <c r="HZ14" s="12"/>
      <c r="IA14" s="12"/>
      <c r="IB14" s="12"/>
      <c r="IC14" s="12"/>
      <c r="ID14" s="12"/>
      <c r="IE14" s="12"/>
      <c r="IF14" s="12"/>
      <c r="IG14" s="12"/>
      <c r="IH14" s="12"/>
      <c r="II14" s="12"/>
      <c r="IJ14" s="12"/>
      <c r="IK14" s="12"/>
      <c r="IL14" s="12"/>
      <c r="IM14" s="12"/>
      <c r="IN14" s="12"/>
      <c r="IO14" s="12"/>
      <c r="IP14" s="12"/>
      <c r="IQ14" s="12"/>
      <c r="IR14" s="12"/>
      <c r="IS14" s="12"/>
      <c r="IT14" s="12"/>
      <c r="IU14" s="12"/>
      <c r="IV14" s="12"/>
      <c r="IW14" s="12"/>
    </row>
    <row r="15" customFormat="false" ht="11.25" hidden="false" customHeight="false" outlineLevel="0" collapsed="false">
      <c r="A15" s="25" t="n">
        <f aca="false">DATE(YEAR(A14),MONTH(A14)+1,1)</f>
        <v>46174</v>
      </c>
      <c r="B15" s="21" t="n">
        <v>1.978</v>
      </c>
      <c r="C15" s="21" t="n">
        <v>1.983</v>
      </c>
      <c r="D15" s="25" t="n">
        <f aca="false">DATE(YEAR(D14),MONTH(D14)+1,1)</f>
        <v>46174</v>
      </c>
      <c r="E15" s="21" t="n">
        <v>19.842</v>
      </c>
      <c r="F15" s="21" t="n">
        <v>19.877</v>
      </c>
      <c r="G15" s="6"/>
      <c r="H15" s="22" t="n">
        <f aca="false">A15</f>
        <v>46174</v>
      </c>
      <c r="I15" s="23" t="n">
        <f aca="false">IF($J$1="bid",B15,C15)</f>
        <v>1.983</v>
      </c>
      <c r="J15" s="24" t="n">
        <f aca="false">D15</f>
        <v>46174</v>
      </c>
      <c r="K15" s="23" t="n">
        <f aca="false">IF($J$1="bid",E15,F15)</f>
        <v>19.877</v>
      </c>
      <c r="L15" s="11"/>
      <c r="M15" s="11" t="n">
        <v>7</v>
      </c>
      <c r="N15" s="29" t="n">
        <f aca="false">IF(MONTH($A$6)&gt;M15,0,IF(MONTH($A$6)=M15,+I$6,LOOKUP(DATE(N$8-1900,$M15,1),$H$6:$H$296,$I$6:$I$296)))</f>
        <v>0</v>
      </c>
      <c r="O15" s="29" t="e">
        <f aca="false">LOOKUP(DATE(N$8-1900+1,$M15,1),$H$6:$H$296,$I$6:$I$296)</f>
        <v>#VALUE!</v>
      </c>
      <c r="P15" s="29" t="e">
        <f aca="false">LOOKUP(DATE(O$8-1900+1,$M15,1),$H$6:$H$296,$I$6:$I$296)</f>
        <v>#VALUE!</v>
      </c>
      <c r="Q15" s="29" t="e">
        <f aca="false">LOOKUP(DATE(P$8-1900+1,$M15,1),$H$6:$H$296,$I$6:$I$296)</f>
        <v>#VALUE!</v>
      </c>
      <c r="R15" s="29" t="e">
        <f aca="false">LOOKUP(DATE(Q$8-1900+1,$M15,1),$H$6:$H$296,$I$6:$I$296)</f>
        <v>#VALUE!</v>
      </c>
      <c r="S15" s="29" t="e">
        <f aca="false">LOOKUP(DATE(R$8-1900+1,$M15,1),$H$6:$H$296,$I$6:$I$296)</f>
        <v>#VALUE!</v>
      </c>
      <c r="T15" s="29" t="e">
        <f aca="false">LOOKUP(DATE(S$8-1900+1,$M15,1),$H$6:$H$296,$I$6:$I$296)</f>
        <v>#VALUE!</v>
      </c>
      <c r="U15" s="29" t="e">
        <f aca="false">LOOKUP(DATE(T$8-1900+1,$M15,1),$H$6:$H$296,$I$6:$I$296)</f>
        <v>#VALUE!</v>
      </c>
      <c r="V15" s="29" t="e">
        <f aca="false">LOOKUP(DATE(U$8-1900+1,$M15,1),$H$6:$H$296,$I$6:$I$296)</f>
        <v>#VALUE!</v>
      </c>
      <c r="W15" s="29" t="e">
        <f aca="false">LOOKUP(DATE(V$8-1900+1,$M15,1),$H$6:$H$296,$I$6:$I$296)</f>
        <v>#VALUE!</v>
      </c>
      <c r="X15" s="29" t="e">
        <f aca="false">LOOKUP(DATE(W$8-1900+1,$M15,1),$H$6:$H$296,$I$6:$I$296)</f>
        <v>#VALUE!</v>
      </c>
      <c r="Y15" s="29" t="e">
        <f aca="false">LOOKUP(DATE(X$8-1900+1,$M15,1),$H$6:$H$296,$I$6:$I$296)</f>
        <v>#VALUE!</v>
      </c>
      <c r="Z15" s="29" t="e">
        <f aca="false">LOOKUP(DATE(Y$8-1900+1,$M15,1),$H$6:$H$296,$I$6:$I$296)</f>
        <v>#VALUE!</v>
      </c>
      <c r="AA15" s="29" t="e">
        <f aca="false">LOOKUP(DATE(Z$8-1900+1,$M15,1),$H$6:$H$296,$I$6:$I$296)</f>
        <v>#VALUE!</v>
      </c>
      <c r="AB15" s="29" t="e">
        <f aca="false">LOOKUP(DATE(AA$8-1900+1,$M15,1),$H$6:$H$296,$I$6:$I$296)</f>
        <v>#VALUE!</v>
      </c>
      <c r="AC15" s="29" t="e">
        <f aca="false">LOOKUP(DATE(AB$8-1900+1,$M15,1),$H$6:$H$296,$I$6:$I$296)</f>
        <v>#VALUE!</v>
      </c>
      <c r="AD15" s="29" t="e">
        <f aca="false">LOOKUP(DATE(AC$8-1900+1,$M15,1),$H$6:$H$296,$I$6:$I$296)</f>
        <v>#VALUE!</v>
      </c>
      <c r="AE15" s="29" t="e">
        <f aca="false">LOOKUP(DATE(AD$8-1900+1,$M15,1),$H$6:$H$296,$I$6:$I$296)</f>
        <v>#VALUE!</v>
      </c>
      <c r="AF15" s="29" t="e">
        <f aca="false">LOOKUP(DATE(AE$8-1900+1,$M15,1),$H$6:$H$296,$I$6:$I$296)</f>
        <v>#VALUE!</v>
      </c>
      <c r="AG15" s="29" t="e">
        <f aca="false">LOOKUP(DATE(AF$8-1900+1,$M15,1),$H$6:$H$296,$I$6:$I$296)</f>
        <v>#VALUE!</v>
      </c>
      <c r="AH15" s="29" t="e">
        <f aca="false">LOOKUP(DATE(AG$8-1900+1,$M15,1),$H$6:$H$296,$I$6:$I$296)</f>
        <v>#VALUE!</v>
      </c>
      <c r="AI15" s="29" t="e">
        <f aca="false">LOOKUP(DATE(AH$8-1900+1,$M15,1),$H$6:$H$296,$I$6:$I$296)</f>
        <v>#VALUE!</v>
      </c>
      <c r="AJ15" s="29" t="e">
        <f aca="false">LOOKUP(DATE(AI$8-1900+1,$M15,1),$H$6:$H$296,$I$6:$I$296)</f>
        <v>#VALUE!</v>
      </c>
      <c r="AK15" s="29" t="e">
        <f aca="false">LOOKUP(DATE(AJ$8-1900+1,$M15,1),$H$6:$H$296,$I$6:$I$296)</f>
        <v>#VALUE!</v>
      </c>
      <c r="AL15" s="29" t="e">
        <f aca="false">LOOKUP(DATE(AK$8-1900+1,$M15,1),$H$6:$H$296,$I$6:$I$296)</f>
        <v>#VALUE!</v>
      </c>
      <c r="AM15" s="11"/>
      <c r="AN15" s="11"/>
      <c r="AO15" s="11"/>
      <c r="AP15" s="11"/>
      <c r="AQ15" s="11"/>
      <c r="AR15" s="5"/>
      <c r="AS15" s="12"/>
      <c r="AT15" s="12"/>
      <c r="AU15" s="12"/>
      <c r="AV15" s="12"/>
      <c r="AW15" s="12"/>
      <c r="AX15" s="12"/>
      <c r="AY15" s="12"/>
      <c r="AZ15" s="12"/>
      <c r="BA15" s="12"/>
      <c r="BB15" s="12"/>
      <c r="BC15" s="12"/>
      <c r="BD15" s="12"/>
      <c r="BE15" s="12"/>
      <c r="BF15" s="12"/>
      <c r="BG15" s="12"/>
      <c r="BH15" s="12"/>
      <c r="BI15" s="12"/>
      <c r="BJ15" s="12"/>
      <c r="BK15" s="12"/>
      <c r="BL15" s="12"/>
      <c r="BM15" s="12"/>
      <c r="BN15" s="12"/>
      <c r="BO15" s="12"/>
      <c r="BP15" s="12"/>
      <c r="BQ15" s="12"/>
      <c r="BR15" s="12"/>
      <c r="BS15" s="12"/>
      <c r="BT15" s="12"/>
      <c r="BU15" s="12"/>
      <c r="BV15" s="12"/>
      <c r="BW15" s="12"/>
      <c r="BX15" s="12"/>
      <c r="BY15" s="12"/>
      <c r="BZ15" s="12"/>
      <c r="CA15" s="12"/>
      <c r="CB15" s="12"/>
      <c r="CC15" s="12"/>
      <c r="CD15" s="12"/>
      <c r="CE15" s="12"/>
      <c r="CF15" s="12"/>
      <c r="CG15" s="12"/>
      <c r="CH15" s="12"/>
      <c r="CI15" s="12"/>
      <c r="CJ15" s="12"/>
      <c r="CK15" s="12"/>
      <c r="CL15" s="12"/>
      <c r="CM15" s="12"/>
      <c r="CN15" s="12"/>
      <c r="CO15" s="12"/>
      <c r="CP15" s="12"/>
      <c r="CQ15" s="12"/>
      <c r="CR15" s="12"/>
      <c r="CS15" s="12"/>
      <c r="CT15" s="12"/>
      <c r="CU15" s="12"/>
      <c r="CV15" s="12"/>
      <c r="CW15" s="12"/>
      <c r="CX15" s="12"/>
      <c r="CY15" s="12"/>
      <c r="CZ15" s="12"/>
      <c r="DA15" s="12"/>
      <c r="DB15" s="12"/>
      <c r="DC15" s="12"/>
      <c r="DD15" s="12"/>
      <c r="DE15" s="12"/>
      <c r="DF15" s="12"/>
      <c r="DG15" s="12"/>
      <c r="DH15" s="12"/>
      <c r="DI15" s="12"/>
      <c r="DJ15" s="12"/>
      <c r="DK15" s="12"/>
      <c r="DL15" s="12"/>
      <c r="DM15" s="12"/>
      <c r="DN15" s="12"/>
      <c r="DO15" s="12"/>
      <c r="DP15" s="12"/>
      <c r="DQ15" s="12"/>
      <c r="DR15" s="12"/>
      <c r="DS15" s="12"/>
      <c r="DT15" s="12"/>
      <c r="DU15" s="12"/>
      <c r="DV15" s="12"/>
      <c r="DW15" s="12"/>
      <c r="DX15" s="12"/>
      <c r="DY15" s="12"/>
      <c r="DZ15" s="12"/>
      <c r="EA15" s="12"/>
      <c r="EB15" s="12"/>
      <c r="EC15" s="12"/>
      <c r="ED15" s="12"/>
      <c r="EE15" s="12"/>
      <c r="EF15" s="12"/>
      <c r="EG15" s="12"/>
      <c r="EH15" s="12"/>
      <c r="EI15" s="12"/>
      <c r="EJ15" s="12"/>
      <c r="EK15" s="12"/>
      <c r="EL15" s="12"/>
      <c r="EM15" s="12"/>
      <c r="EN15" s="12"/>
      <c r="EO15" s="12"/>
      <c r="EP15" s="12"/>
      <c r="EQ15" s="12"/>
      <c r="ER15" s="12"/>
      <c r="ES15" s="12"/>
      <c r="ET15" s="12"/>
      <c r="EU15" s="12"/>
      <c r="EV15" s="12"/>
      <c r="EW15" s="12"/>
      <c r="EX15" s="12"/>
      <c r="EY15" s="12"/>
      <c r="EZ15" s="12"/>
      <c r="FA15" s="12"/>
      <c r="FB15" s="12"/>
      <c r="FC15" s="12"/>
      <c r="FD15" s="12"/>
      <c r="FE15" s="12"/>
      <c r="FF15" s="12"/>
      <c r="FG15" s="12"/>
      <c r="FH15" s="12"/>
      <c r="FI15" s="12"/>
      <c r="FJ15" s="12"/>
      <c r="FK15" s="12"/>
      <c r="FL15" s="12"/>
      <c r="FM15" s="12"/>
      <c r="FN15" s="12"/>
      <c r="FO15" s="12"/>
      <c r="FP15" s="12"/>
      <c r="FQ15" s="12"/>
      <c r="FR15" s="12"/>
      <c r="FS15" s="12"/>
      <c r="FT15" s="12"/>
      <c r="FU15" s="12"/>
      <c r="FV15" s="12"/>
      <c r="FW15" s="12"/>
      <c r="FX15" s="12"/>
      <c r="FY15" s="12"/>
      <c r="FZ15" s="12"/>
      <c r="GA15" s="12"/>
      <c r="GB15" s="12"/>
      <c r="GC15" s="12"/>
      <c r="GD15" s="12"/>
      <c r="GE15" s="12"/>
      <c r="GF15" s="12"/>
      <c r="GG15" s="12"/>
      <c r="GH15" s="12"/>
      <c r="GI15" s="12"/>
      <c r="GJ15" s="12"/>
      <c r="GK15" s="12"/>
      <c r="GL15" s="12"/>
      <c r="GM15" s="12"/>
      <c r="GN15" s="12"/>
      <c r="GO15" s="12"/>
      <c r="GP15" s="12"/>
      <c r="GQ15" s="12"/>
      <c r="GR15" s="12"/>
      <c r="GS15" s="12"/>
      <c r="GT15" s="12"/>
      <c r="GU15" s="12"/>
      <c r="GV15" s="12"/>
      <c r="GW15" s="12"/>
      <c r="GX15" s="12"/>
      <c r="GY15" s="12"/>
      <c r="GZ15" s="12"/>
      <c r="HA15" s="12"/>
      <c r="HB15" s="12"/>
      <c r="HC15" s="12"/>
      <c r="HD15" s="12"/>
      <c r="HE15" s="12"/>
      <c r="HF15" s="12"/>
      <c r="HG15" s="12"/>
      <c r="HH15" s="12"/>
      <c r="HI15" s="12"/>
      <c r="HJ15" s="12"/>
      <c r="HK15" s="12"/>
      <c r="HL15" s="12"/>
      <c r="HM15" s="12"/>
      <c r="HN15" s="12"/>
      <c r="HO15" s="12"/>
      <c r="HP15" s="12"/>
      <c r="HQ15" s="12"/>
      <c r="HR15" s="12"/>
      <c r="HS15" s="12"/>
      <c r="HT15" s="12"/>
      <c r="HU15" s="12"/>
      <c r="HV15" s="12"/>
      <c r="HW15" s="12"/>
      <c r="HX15" s="12"/>
      <c r="HY15" s="12"/>
      <c r="HZ15" s="12"/>
      <c r="IA15" s="12"/>
      <c r="IB15" s="12"/>
      <c r="IC15" s="12"/>
      <c r="ID15" s="12"/>
      <c r="IE15" s="12"/>
      <c r="IF15" s="12"/>
      <c r="IG15" s="12"/>
      <c r="IH15" s="12"/>
      <c r="II15" s="12"/>
      <c r="IJ15" s="12"/>
      <c r="IK15" s="12"/>
      <c r="IL15" s="12"/>
      <c r="IM15" s="12"/>
      <c r="IN15" s="12"/>
      <c r="IO15" s="12"/>
      <c r="IP15" s="12"/>
      <c r="IQ15" s="12"/>
      <c r="IR15" s="12"/>
      <c r="IS15" s="12"/>
      <c r="IT15" s="12"/>
      <c r="IU15" s="12"/>
      <c r="IV15" s="12"/>
      <c r="IW15" s="12"/>
    </row>
    <row r="16" customFormat="false" ht="11.25" hidden="false" customHeight="false" outlineLevel="0" collapsed="false">
      <c r="A16" s="25" t="n">
        <f aca="false">DATE(YEAR(A15),MONTH(A15)+1,1)</f>
        <v>46204</v>
      </c>
      <c r="B16" s="21" t="n">
        <v>1.978</v>
      </c>
      <c r="C16" s="21" t="n">
        <v>1.983</v>
      </c>
      <c r="D16" s="25" t="n">
        <f aca="false">DATE(YEAR(D15),MONTH(D15)+1,1)</f>
        <v>46204</v>
      </c>
      <c r="E16" s="21" t="n">
        <v>19.635</v>
      </c>
      <c r="F16" s="21" t="n">
        <v>19.67</v>
      </c>
      <c r="G16" s="6"/>
      <c r="H16" s="22" t="n">
        <f aca="false">A16</f>
        <v>46204</v>
      </c>
      <c r="I16" s="23" t="n">
        <f aca="false">IF($J$1="bid",B16,C16)</f>
        <v>1.983</v>
      </c>
      <c r="J16" s="24" t="n">
        <f aca="false">D16</f>
        <v>46204</v>
      </c>
      <c r="K16" s="23" t="n">
        <f aca="false">IF($J$1="bid",E16,F16)</f>
        <v>19.67</v>
      </c>
      <c r="L16" s="11"/>
      <c r="M16" s="11" t="n">
        <v>8</v>
      </c>
      <c r="N16" s="29" t="n">
        <f aca="false">IF(MONTH($A$6)&gt;M16,0,IF(MONTH($A$6)=M16,+I$6,LOOKUP(DATE(N$8-1900,$M16,1),$H$6:$H$296,$I$6:$I$296)))</f>
        <v>0</v>
      </c>
      <c r="O16" s="29" t="e">
        <f aca="false">LOOKUP(DATE(N$8-1900+1,$M16,1),$H$6:$H$296,$I$6:$I$296)</f>
        <v>#VALUE!</v>
      </c>
      <c r="P16" s="29" t="e">
        <f aca="false">LOOKUP(DATE(O$8-1900+1,$M16,1),$H$6:$H$296,$I$6:$I$296)</f>
        <v>#VALUE!</v>
      </c>
      <c r="Q16" s="29" t="e">
        <f aca="false">LOOKUP(DATE(P$8-1900+1,$M16,1),$H$6:$H$296,$I$6:$I$296)</f>
        <v>#VALUE!</v>
      </c>
      <c r="R16" s="29" t="e">
        <f aca="false">LOOKUP(DATE(Q$8-1900+1,$M16,1),$H$6:$H$296,$I$6:$I$296)</f>
        <v>#VALUE!</v>
      </c>
      <c r="S16" s="29" t="e">
        <f aca="false">LOOKUP(DATE(R$8-1900+1,$M16,1),$H$6:$H$296,$I$6:$I$296)</f>
        <v>#VALUE!</v>
      </c>
      <c r="T16" s="29" t="e">
        <f aca="false">LOOKUP(DATE(S$8-1900+1,$M16,1),$H$6:$H$296,$I$6:$I$296)</f>
        <v>#VALUE!</v>
      </c>
      <c r="U16" s="29" t="e">
        <f aca="false">LOOKUP(DATE(T$8-1900+1,$M16,1),$H$6:$H$296,$I$6:$I$296)</f>
        <v>#VALUE!</v>
      </c>
      <c r="V16" s="29" t="e">
        <f aca="false">LOOKUP(DATE(U$8-1900+1,$M16,1),$H$6:$H$296,$I$6:$I$296)</f>
        <v>#VALUE!</v>
      </c>
      <c r="W16" s="29" t="e">
        <f aca="false">LOOKUP(DATE(V$8-1900+1,$M16,1),$H$6:$H$296,$I$6:$I$296)</f>
        <v>#VALUE!</v>
      </c>
      <c r="X16" s="29" t="e">
        <f aca="false">LOOKUP(DATE(W$8-1900+1,$M16,1),$H$6:$H$296,$I$6:$I$296)</f>
        <v>#VALUE!</v>
      </c>
      <c r="Y16" s="29" t="e">
        <f aca="false">LOOKUP(DATE(X$8-1900+1,$M16,1),$H$6:$H$296,$I$6:$I$296)</f>
        <v>#VALUE!</v>
      </c>
      <c r="Z16" s="29" t="e">
        <f aca="false">LOOKUP(DATE(Y$8-1900+1,$M16,1),$H$6:$H$296,$I$6:$I$296)</f>
        <v>#VALUE!</v>
      </c>
      <c r="AA16" s="29" t="e">
        <f aca="false">LOOKUP(DATE(Z$8-1900+1,$M16,1),$H$6:$H$296,$I$6:$I$296)</f>
        <v>#VALUE!</v>
      </c>
      <c r="AB16" s="29" t="e">
        <f aca="false">LOOKUP(DATE(AA$8-1900+1,$M16,1),$H$6:$H$296,$I$6:$I$296)</f>
        <v>#VALUE!</v>
      </c>
      <c r="AC16" s="29" t="e">
        <f aca="false">LOOKUP(DATE(AB$8-1900+1,$M16,1),$H$6:$H$296,$I$6:$I$296)</f>
        <v>#VALUE!</v>
      </c>
      <c r="AD16" s="29" t="e">
        <f aca="false">LOOKUP(DATE(AC$8-1900+1,$M16,1),$H$6:$H$296,$I$6:$I$296)</f>
        <v>#VALUE!</v>
      </c>
      <c r="AE16" s="29" t="e">
        <f aca="false">LOOKUP(DATE(AD$8-1900+1,$M16,1),$H$6:$H$296,$I$6:$I$296)</f>
        <v>#VALUE!</v>
      </c>
      <c r="AF16" s="29" t="e">
        <f aca="false">LOOKUP(DATE(AE$8-1900+1,$M16,1),$H$6:$H$296,$I$6:$I$296)</f>
        <v>#VALUE!</v>
      </c>
      <c r="AG16" s="29" t="e">
        <f aca="false">LOOKUP(DATE(AF$8-1900+1,$M16,1),$H$6:$H$296,$I$6:$I$296)</f>
        <v>#VALUE!</v>
      </c>
      <c r="AH16" s="29" t="e">
        <f aca="false">LOOKUP(DATE(AG$8-1900+1,$M16,1),$H$6:$H$296,$I$6:$I$296)</f>
        <v>#VALUE!</v>
      </c>
      <c r="AI16" s="29" t="e">
        <f aca="false">LOOKUP(DATE(AH$8-1900+1,$M16,1),$H$6:$H$296,$I$6:$I$296)</f>
        <v>#VALUE!</v>
      </c>
      <c r="AJ16" s="29" t="e">
        <f aca="false">LOOKUP(DATE(AI$8-1900+1,$M16,1),$H$6:$H$296,$I$6:$I$296)</f>
        <v>#VALUE!</v>
      </c>
      <c r="AK16" s="29" t="e">
        <f aca="false">LOOKUP(DATE(AJ$8-1900+1,$M16,1),$H$6:$H$296,$I$6:$I$296)</f>
        <v>#VALUE!</v>
      </c>
      <c r="AL16" s="29" t="e">
        <f aca="false">LOOKUP(DATE(AK$8-1900+1,$M16,1),$H$6:$H$296,$I$6:$I$296)</f>
        <v>#VALUE!</v>
      </c>
      <c r="AM16" s="11"/>
      <c r="AN16" s="11"/>
      <c r="AO16" s="11"/>
      <c r="AP16" s="11"/>
      <c r="AQ16" s="11"/>
      <c r="AR16" s="5"/>
      <c r="AS16" s="12"/>
      <c r="AT16" s="12"/>
      <c r="AU16" s="12"/>
      <c r="AV16" s="12"/>
      <c r="AW16" s="12"/>
      <c r="AX16" s="12"/>
      <c r="AY16" s="12"/>
      <c r="AZ16" s="12"/>
      <c r="BA16" s="12"/>
      <c r="BB16" s="12"/>
      <c r="BC16" s="12"/>
      <c r="BD16" s="12"/>
      <c r="BE16" s="12"/>
      <c r="BF16" s="12"/>
      <c r="BG16" s="12"/>
      <c r="BH16" s="12"/>
      <c r="BI16" s="12"/>
      <c r="BJ16" s="12"/>
      <c r="BK16" s="12"/>
      <c r="BL16" s="12"/>
      <c r="BM16" s="12"/>
      <c r="BN16" s="12"/>
      <c r="BO16" s="12"/>
      <c r="BP16" s="12"/>
      <c r="BQ16" s="12"/>
      <c r="BR16" s="12"/>
      <c r="BS16" s="12"/>
      <c r="BT16" s="12"/>
      <c r="BU16" s="12"/>
      <c r="BV16" s="12"/>
      <c r="BW16" s="12"/>
      <c r="BX16" s="12"/>
      <c r="BY16" s="12"/>
      <c r="BZ16" s="12"/>
      <c r="CA16" s="12"/>
      <c r="CB16" s="12"/>
      <c r="CC16" s="12"/>
      <c r="CD16" s="12"/>
      <c r="CE16" s="12"/>
      <c r="CF16" s="12"/>
      <c r="CG16" s="12"/>
      <c r="CH16" s="12"/>
      <c r="CI16" s="12"/>
      <c r="CJ16" s="12"/>
      <c r="CK16" s="12"/>
      <c r="CL16" s="12"/>
      <c r="CM16" s="12"/>
      <c r="CN16" s="12"/>
      <c r="CO16" s="12"/>
      <c r="CP16" s="12"/>
      <c r="CQ16" s="12"/>
      <c r="CR16" s="12"/>
      <c r="CS16" s="12"/>
      <c r="CT16" s="12"/>
      <c r="CU16" s="12"/>
      <c r="CV16" s="12"/>
      <c r="CW16" s="12"/>
      <c r="CX16" s="12"/>
      <c r="CY16" s="12"/>
      <c r="CZ16" s="12"/>
      <c r="DA16" s="12"/>
      <c r="DB16" s="12"/>
      <c r="DC16" s="12"/>
      <c r="DD16" s="12"/>
      <c r="DE16" s="12"/>
      <c r="DF16" s="12"/>
      <c r="DG16" s="12"/>
      <c r="DH16" s="12"/>
      <c r="DI16" s="12"/>
      <c r="DJ16" s="12"/>
      <c r="DK16" s="12"/>
      <c r="DL16" s="12"/>
      <c r="DM16" s="12"/>
      <c r="DN16" s="12"/>
      <c r="DO16" s="12"/>
      <c r="DP16" s="12"/>
      <c r="DQ16" s="12"/>
      <c r="DR16" s="12"/>
      <c r="DS16" s="12"/>
      <c r="DT16" s="12"/>
      <c r="DU16" s="12"/>
      <c r="DV16" s="12"/>
      <c r="DW16" s="12"/>
      <c r="DX16" s="12"/>
      <c r="DY16" s="12"/>
      <c r="DZ16" s="12"/>
      <c r="EA16" s="12"/>
      <c r="EB16" s="12"/>
      <c r="EC16" s="12"/>
      <c r="ED16" s="12"/>
      <c r="EE16" s="12"/>
      <c r="EF16" s="12"/>
      <c r="EG16" s="12"/>
      <c r="EH16" s="12"/>
      <c r="EI16" s="12"/>
      <c r="EJ16" s="12"/>
      <c r="EK16" s="12"/>
      <c r="EL16" s="12"/>
      <c r="EM16" s="12"/>
      <c r="EN16" s="12"/>
      <c r="EO16" s="12"/>
      <c r="EP16" s="12"/>
      <c r="EQ16" s="12"/>
      <c r="ER16" s="12"/>
      <c r="ES16" s="12"/>
      <c r="ET16" s="12"/>
      <c r="EU16" s="12"/>
      <c r="EV16" s="12"/>
      <c r="EW16" s="12"/>
      <c r="EX16" s="12"/>
      <c r="EY16" s="12"/>
      <c r="EZ16" s="12"/>
      <c r="FA16" s="12"/>
      <c r="FB16" s="12"/>
      <c r="FC16" s="12"/>
      <c r="FD16" s="12"/>
      <c r="FE16" s="12"/>
      <c r="FF16" s="12"/>
      <c r="FG16" s="12"/>
      <c r="FH16" s="12"/>
      <c r="FI16" s="12"/>
      <c r="FJ16" s="12"/>
      <c r="FK16" s="12"/>
      <c r="FL16" s="12"/>
      <c r="FM16" s="12"/>
      <c r="FN16" s="12"/>
      <c r="FO16" s="12"/>
      <c r="FP16" s="12"/>
      <c r="FQ16" s="12"/>
      <c r="FR16" s="12"/>
      <c r="FS16" s="12"/>
      <c r="FT16" s="12"/>
      <c r="FU16" s="12"/>
      <c r="FV16" s="12"/>
      <c r="FW16" s="12"/>
      <c r="FX16" s="12"/>
      <c r="FY16" s="12"/>
      <c r="FZ16" s="12"/>
      <c r="GA16" s="12"/>
      <c r="GB16" s="12"/>
      <c r="GC16" s="12"/>
      <c r="GD16" s="12"/>
      <c r="GE16" s="12"/>
      <c r="GF16" s="12"/>
      <c r="GG16" s="12"/>
      <c r="GH16" s="12"/>
      <c r="GI16" s="12"/>
      <c r="GJ16" s="12"/>
      <c r="GK16" s="12"/>
      <c r="GL16" s="12"/>
      <c r="GM16" s="12"/>
      <c r="GN16" s="12"/>
      <c r="GO16" s="12"/>
      <c r="GP16" s="12"/>
      <c r="GQ16" s="12"/>
      <c r="GR16" s="12"/>
      <c r="GS16" s="12"/>
      <c r="GT16" s="12"/>
      <c r="GU16" s="12"/>
      <c r="GV16" s="12"/>
      <c r="GW16" s="12"/>
      <c r="GX16" s="12"/>
      <c r="GY16" s="12"/>
      <c r="GZ16" s="12"/>
      <c r="HA16" s="12"/>
      <c r="HB16" s="12"/>
      <c r="HC16" s="12"/>
      <c r="HD16" s="12"/>
      <c r="HE16" s="12"/>
      <c r="HF16" s="12"/>
      <c r="HG16" s="12"/>
      <c r="HH16" s="12"/>
      <c r="HI16" s="12"/>
      <c r="HJ16" s="12"/>
      <c r="HK16" s="12"/>
      <c r="HL16" s="12"/>
      <c r="HM16" s="12"/>
      <c r="HN16" s="12"/>
      <c r="HO16" s="12"/>
      <c r="HP16" s="12"/>
      <c r="HQ16" s="12"/>
      <c r="HR16" s="12"/>
      <c r="HS16" s="12"/>
      <c r="HT16" s="12"/>
      <c r="HU16" s="12"/>
      <c r="HV16" s="12"/>
      <c r="HW16" s="12"/>
      <c r="HX16" s="12"/>
      <c r="HY16" s="12"/>
      <c r="HZ16" s="12"/>
      <c r="IA16" s="12"/>
      <c r="IB16" s="12"/>
      <c r="IC16" s="12"/>
      <c r="ID16" s="12"/>
      <c r="IE16" s="12"/>
      <c r="IF16" s="12"/>
      <c r="IG16" s="12"/>
      <c r="IH16" s="12"/>
      <c r="II16" s="12"/>
      <c r="IJ16" s="12"/>
      <c r="IK16" s="12"/>
      <c r="IL16" s="12"/>
      <c r="IM16" s="12"/>
      <c r="IN16" s="12"/>
      <c r="IO16" s="12"/>
      <c r="IP16" s="12"/>
      <c r="IQ16" s="12"/>
      <c r="IR16" s="12"/>
      <c r="IS16" s="12"/>
      <c r="IT16" s="12"/>
      <c r="IU16" s="12"/>
      <c r="IV16" s="12"/>
      <c r="IW16" s="12"/>
    </row>
    <row r="17" customFormat="false" ht="11.25" hidden="false" customHeight="false" outlineLevel="0" collapsed="false">
      <c r="A17" s="25" t="n">
        <f aca="false">DATE(YEAR(A16),MONTH(A16)+1,1)</f>
        <v>46235</v>
      </c>
      <c r="B17" s="21" t="n">
        <v>1.988</v>
      </c>
      <c r="C17" s="21" t="n">
        <v>1.993</v>
      </c>
      <c r="D17" s="25" t="n">
        <f aca="false">DATE(YEAR(D16),MONTH(D16)+1,1)</f>
        <v>46235</v>
      </c>
      <c r="E17" s="21" t="n">
        <v>19.402</v>
      </c>
      <c r="F17" s="21" t="n">
        <v>19.437</v>
      </c>
      <c r="G17" s="6"/>
      <c r="H17" s="22" t="n">
        <f aca="false">A17</f>
        <v>46235</v>
      </c>
      <c r="I17" s="23" t="n">
        <f aca="false">IF($J$1="bid",B17,C17)</f>
        <v>1.993</v>
      </c>
      <c r="J17" s="24" t="n">
        <f aca="false">D17</f>
        <v>46235</v>
      </c>
      <c r="K17" s="23" t="n">
        <f aca="false">IF($J$1="bid",E17,F17)</f>
        <v>19.437</v>
      </c>
      <c r="L17" s="11"/>
      <c r="M17" s="11" t="n">
        <v>9</v>
      </c>
      <c r="N17" s="29" t="n">
        <f aca="false">IF(MONTH($A$6)&gt;M17,0,IF(MONTH($A$6)=M17,+I$6,LOOKUP(DATE(N$8-1900,$M17,1),$H$6:$H$296,$I$6:$I$296)))</f>
        <v>2.347</v>
      </c>
      <c r="O17" s="29" t="e">
        <f aca="false">LOOKUP(DATE(N$8-1900+1,$M17,1),$H$6:$H$296,$I$6:$I$296)</f>
        <v>#VALUE!</v>
      </c>
      <c r="P17" s="29" t="e">
        <f aca="false">LOOKUP(DATE(O$8-1900+1,$M17,1),$H$6:$H$296,$I$6:$I$296)</f>
        <v>#VALUE!</v>
      </c>
      <c r="Q17" s="29" t="e">
        <f aca="false">LOOKUP(DATE(P$8-1900+1,$M17,1),$H$6:$H$296,$I$6:$I$296)</f>
        <v>#VALUE!</v>
      </c>
      <c r="R17" s="29" t="e">
        <f aca="false">LOOKUP(DATE(Q$8-1900+1,$M17,1),$H$6:$H$296,$I$6:$I$296)</f>
        <v>#VALUE!</v>
      </c>
      <c r="S17" s="29" t="e">
        <f aca="false">LOOKUP(DATE(R$8-1900+1,$M17,1),$H$6:$H$296,$I$6:$I$296)</f>
        <v>#VALUE!</v>
      </c>
      <c r="T17" s="29" t="e">
        <f aca="false">LOOKUP(DATE(S$8-1900+1,$M17,1),$H$6:$H$296,$I$6:$I$296)</f>
        <v>#VALUE!</v>
      </c>
      <c r="U17" s="29" t="e">
        <f aca="false">LOOKUP(DATE(T$8-1900+1,$M17,1),$H$6:$H$296,$I$6:$I$296)</f>
        <v>#VALUE!</v>
      </c>
      <c r="V17" s="29" t="e">
        <f aca="false">LOOKUP(DATE(U$8-1900+1,$M17,1),$H$6:$H$296,$I$6:$I$296)</f>
        <v>#VALUE!</v>
      </c>
      <c r="W17" s="29" t="e">
        <f aca="false">LOOKUP(DATE(V$8-1900+1,$M17,1),$H$6:$H$296,$I$6:$I$296)</f>
        <v>#VALUE!</v>
      </c>
      <c r="X17" s="29" t="e">
        <f aca="false">LOOKUP(DATE(W$8-1900+1,$M17,1),$H$6:$H$296,$I$6:$I$296)</f>
        <v>#VALUE!</v>
      </c>
      <c r="Y17" s="29" t="e">
        <f aca="false">LOOKUP(DATE(X$8-1900+1,$M17,1),$H$6:$H$296,$I$6:$I$296)</f>
        <v>#VALUE!</v>
      </c>
      <c r="Z17" s="29" t="e">
        <f aca="false">LOOKUP(DATE(Y$8-1900+1,$M17,1),$H$6:$H$296,$I$6:$I$296)</f>
        <v>#VALUE!</v>
      </c>
      <c r="AA17" s="29" t="e">
        <f aca="false">LOOKUP(DATE(Z$8-1900+1,$M17,1),$H$6:$H$296,$I$6:$I$296)</f>
        <v>#VALUE!</v>
      </c>
      <c r="AB17" s="29" t="e">
        <f aca="false">LOOKUP(DATE(AA$8-1900+1,$M17,1),$H$6:$H$296,$I$6:$I$296)</f>
        <v>#VALUE!</v>
      </c>
      <c r="AC17" s="29" t="e">
        <f aca="false">LOOKUP(DATE(AB$8-1900+1,$M17,1),$H$6:$H$296,$I$6:$I$296)</f>
        <v>#VALUE!</v>
      </c>
      <c r="AD17" s="29" t="e">
        <f aca="false">LOOKUP(DATE(AC$8-1900+1,$M17,1),$H$6:$H$296,$I$6:$I$296)</f>
        <v>#VALUE!</v>
      </c>
      <c r="AE17" s="29" t="e">
        <f aca="false">LOOKUP(DATE(AD$8-1900+1,$M17,1),$H$6:$H$296,$I$6:$I$296)</f>
        <v>#VALUE!</v>
      </c>
      <c r="AF17" s="29" t="e">
        <f aca="false">LOOKUP(DATE(AE$8-1900+1,$M17,1),$H$6:$H$296,$I$6:$I$296)</f>
        <v>#VALUE!</v>
      </c>
      <c r="AG17" s="29" t="e">
        <f aca="false">LOOKUP(DATE(AF$8-1900+1,$M17,1),$H$6:$H$296,$I$6:$I$296)</f>
        <v>#VALUE!</v>
      </c>
      <c r="AH17" s="29" t="e">
        <f aca="false">LOOKUP(DATE(AG$8-1900+1,$M17,1),$H$6:$H$296,$I$6:$I$296)</f>
        <v>#VALUE!</v>
      </c>
      <c r="AI17" s="29" t="e">
        <f aca="false">LOOKUP(DATE(AH$8-1900+1,$M17,1),$H$6:$H$296,$I$6:$I$296)</f>
        <v>#VALUE!</v>
      </c>
      <c r="AJ17" s="29" t="e">
        <f aca="false">LOOKUP(DATE(AI$8-1900+1,$M17,1),$H$6:$H$296,$I$6:$I$296)</f>
        <v>#VALUE!</v>
      </c>
      <c r="AK17" s="29" t="e">
        <f aca="false">LOOKUP(DATE(AJ$8-1900+1,$M17,1),$H$6:$H$296,$I$6:$I$296)</f>
        <v>#VALUE!</v>
      </c>
      <c r="AL17" s="29" t="e">
        <f aca="false">LOOKUP(DATE(AK$8-1900+1,$M17,1),$H$6:$H$296,$I$6:$I$296)</f>
        <v>#VALUE!</v>
      </c>
      <c r="AM17" s="11"/>
      <c r="AN17" s="11"/>
      <c r="AO17" s="11"/>
      <c r="AP17" s="11"/>
      <c r="AQ17" s="11"/>
      <c r="AR17" s="5"/>
      <c r="AS17" s="12"/>
      <c r="AT17" s="12"/>
      <c r="AU17" s="12"/>
      <c r="AV17" s="12"/>
      <c r="AW17" s="12"/>
      <c r="AX17" s="12"/>
      <c r="AY17" s="12"/>
      <c r="AZ17" s="12"/>
      <c r="BA17" s="12"/>
      <c r="BB17" s="12"/>
      <c r="BC17" s="12"/>
      <c r="BD17" s="12"/>
      <c r="BE17" s="12"/>
      <c r="BF17" s="12"/>
      <c r="BG17" s="12"/>
      <c r="BH17" s="12"/>
      <c r="BI17" s="12"/>
      <c r="BJ17" s="12"/>
      <c r="BK17" s="12"/>
      <c r="BL17" s="12"/>
      <c r="BM17" s="12"/>
      <c r="BN17" s="12"/>
      <c r="BO17" s="12"/>
      <c r="BP17" s="12"/>
      <c r="BQ17" s="12"/>
      <c r="BR17" s="12"/>
      <c r="BS17" s="12"/>
      <c r="BT17" s="12"/>
      <c r="BU17" s="12"/>
      <c r="BV17" s="12"/>
      <c r="BW17" s="12"/>
      <c r="BX17" s="12"/>
      <c r="BY17" s="12"/>
      <c r="BZ17" s="12"/>
      <c r="CA17" s="12"/>
      <c r="CB17" s="12"/>
      <c r="CC17" s="12"/>
      <c r="CD17" s="12"/>
      <c r="CE17" s="12"/>
      <c r="CF17" s="12"/>
      <c r="CG17" s="12"/>
      <c r="CH17" s="12"/>
      <c r="CI17" s="12"/>
      <c r="CJ17" s="12"/>
      <c r="CK17" s="12"/>
      <c r="CL17" s="12"/>
      <c r="CM17" s="12"/>
      <c r="CN17" s="12"/>
      <c r="CO17" s="12"/>
      <c r="CP17" s="12"/>
      <c r="CQ17" s="12"/>
      <c r="CR17" s="12"/>
      <c r="CS17" s="12"/>
      <c r="CT17" s="12"/>
      <c r="CU17" s="12"/>
      <c r="CV17" s="12"/>
      <c r="CW17" s="12"/>
      <c r="CX17" s="12"/>
      <c r="CY17" s="12"/>
      <c r="CZ17" s="12"/>
      <c r="DA17" s="12"/>
      <c r="DB17" s="12"/>
      <c r="DC17" s="12"/>
      <c r="DD17" s="12"/>
      <c r="DE17" s="12"/>
      <c r="DF17" s="12"/>
      <c r="DG17" s="12"/>
      <c r="DH17" s="12"/>
      <c r="DI17" s="12"/>
      <c r="DJ17" s="12"/>
      <c r="DK17" s="12"/>
      <c r="DL17" s="12"/>
      <c r="DM17" s="12"/>
      <c r="DN17" s="12"/>
      <c r="DO17" s="12"/>
      <c r="DP17" s="12"/>
      <c r="DQ17" s="12"/>
      <c r="DR17" s="12"/>
      <c r="DS17" s="12"/>
      <c r="DT17" s="12"/>
      <c r="DU17" s="12"/>
      <c r="DV17" s="12"/>
      <c r="DW17" s="12"/>
      <c r="DX17" s="12"/>
      <c r="DY17" s="12"/>
      <c r="DZ17" s="12"/>
      <c r="EA17" s="12"/>
      <c r="EB17" s="12"/>
      <c r="EC17" s="12"/>
      <c r="ED17" s="12"/>
      <c r="EE17" s="12"/>
      <c r="EF17" s="12"/>
      <c r="EG17" s="12"/>
      <c r="EH17" s="12"/>
      <c r="EI17" s="12"/>
      <c r="EJ17" s="12"/>
      <c r="EK17" s="12"/>
      <c r="EL17" s="12"/>
      <c r="EM17" s="12"/>
      <c r="EN17" s="12"/>
      <c r="EO17" s="12"/>
      <c r="EP17" s="12"/>
      <c r="EQ17" s="12"/>
      <c r="ER17" s="12"/>
      <c r="ES17" s="12"/>
      <c r="ET17" s="12"/>
      <c r="EU17" s="12"/>
      <c r="EV17" s="12"/>
      <c r="EW17" s="12"/>
      <c r="EX17" s="12"/>
      <c r="EY17" s="12"/>
      <c r="EZ17" s="12"/>
      <c r="FA17" s="12"/>
      <c r="FB17" s="12"/>
      <c r="FC17" s="12"/>
      <c r="FD17" s="12"/>
      <c r="FE17" s="12"/>
      <c r="FF17" s="12"/>
      <c r="FG17" s="12"/>
      <c r="FH17" s="12"/>
      <c r="FI17" s="12"/>
      <c r="FJ17" s="12"/>
      <c r="FK17" s="12"/>
      <c r="FL17" s="12"/>
      <c r="FM17" s="12"/>
      <c r="FN17" s="12"/>
      <c r="FO17" s="12"/>
      <c r="FP17" s="12"/>
      <c r="FQ17" s="12"/>
      <c r="FR17" s="12"/>
      <c r="FS17" s="12"/>
      <c r="FT17" s="12"/>
      <c r="FU17" s="12"/>
      <c r="FV17" s="12"/>
      <c r="FW17" s="12"/>
      <c r="FX17" s="12"/>
      <c r="FY17" s="12"/>
      <c r="FZ17" s="12"/>
      <c r="GA17" s="12"/>
      <c r="GB17" s="12"/>
      <c r="GC17" s="12"/>
      <c r="GD17" s="12"/>
      <c r="GE17" s="12"/>
      <c r="GF17" s="12"/>
      <c r="GG17" s="12"/>
      <c r="GH17" s="12"/>
      <c r="GI17" s="12"/>
      <c r="GJ17" s="12"/>
      <c r="GK17" s="12"/>
      <c r="GL17" s="12"/>
      <c r="GM17" s="12"/>
      <c r="GN17" s="12"/>
      <c r="GO17" s="12"/>
      <c r="GP17" s="12"/>
      <c r="GQ17" s="12"/>
      <c r="GR17" s="12"/>
      <c r="GS17" s="12"/>
      <c r="GT17" s="12"/>
      <c r="GU17" s="12"/>
      <c r="GV17" s="12"/>
      <c r="GW17" s="12"/>
      <c r="GX17" s="12"/>
      <c r="GY17" s="12"/>
      <c r="GZ17" s="12"/>
      <c r="HA17" s="12"/>
      <c r="HB17" s="12"/>
      <c r="HC17" s="12"/>
      <c r="HD17" s="12"/>
      <c r="HE17" s="12"/>
      <c r="HF17" s="12"/>
      <c r="HG17" s="12"/>
      <c r="HH17" s="12"/>
      <c r="HI17" s="12"/>
      <c r="HJ17" s="12"/>
      <c r="HK17" s="12"/>
      <c r="HL17" s="12"/>
      <c r="HM17" s="12"/>
      <c r="HN17" s="12"/>
      <c r="HO17" s="12"/>
      <c r="HP17" s="12"/>
      <c r="HQ17" s="12"/>
      <c r="HR17" s="12"/>
      <c r="HS17" s="12"/>
      <c r="HT17" s="12"/>
      <c r="HU17" s="12"/>
      <c r="HV17" s="12"/>
      <c r="HW17" s="12"/>
      <c r="HX17" s="12"/>
      <c r="HY17" s="12"/>
      <c r="HZ17" s="12"/>
      <c r="IA17" s="12"/>
      <c r="IB17" s="12"/>
      <c r="IC17" s="12"/>
      <c r="ID17" s="12"/>
      <c r="IE17" s="12"/>
      <c r="IF17" s="12"/>
      <c r="IG17" s="12"/>
      <c r="IH17" s="12"/>
      <c r="II17" s="12"/>
      <c r="IJ17" s="12"/>
      <c r="IK17" s="12"/>
      <c r="IL17" s="12"/>
      <c r="IM17" s="12"/>
      <c r="IN17" s="12"/>
      <c r="IO17" s="12"/>
      <c r="IP17" s="12"/>
      <c r="IQ17" s="12"/>
      <c r="IR17" s="12"/>
      <c r="IS17" s="12"/>
      <c r="IT17" s="12"/>
      <c r="IU17" s="12"/>
      <c r="IV17" s="12"/>
      <c r="IW17" s="12"/>
    </row>
    <row r="18" customFormat="false" ht="11.25" hidden="false" customHeight="false" outlineLevel="0" collapsed="false">
      <c r="A18" s="25" t="n">
        <f aca="false">DATE(YEAR(A17),MONTH(A17)+1,1)</f>
        <v>46266</v>
      </c>
      <c r="B18" s="21" t="n">
        <v>2.035</v>
      </c>
      <c r="C18" s="21" t="n">
        <v>2.04</v>
      </c>
      <c r="D18" s="25" t="n">
        <f aca="false">DATE(YEAR(D17),MONTH(D17)+1,1)</f>
        <v>46266</v>
      </c>
      <c r="E18" s="21" t="n">
        <v>19.217</v>
      </c>
      <c r="F18" s="21" t="n">
        <v>19.252</v>
      </c>
      <c r="G18" s="6"/>
      <c r="H18" s="22" t="n">
        <f aca="false">A18</f>
        <v>46266</v>
      </c>
      <c r="I18" s="23" t="n">
        <f aca="false">IF($J$1="bid",B18,C18)</f>
        <v>2.04</v>
      </c>
      <c r="J18" s="24" t="n">
        <f aca="false">D18</f>
        <v>46266</v>
      </c>
      <c r="K18" s="23" t="n">
        <f aca="false">IF($J$1="bid",E18,F18)</f>
        <v>19.252</v>
      </c>
      <c r="L18" s="11"/>
      <c r="M18" s="11" t="n">
        <v>10</v>
      </c>
      <c r="N18" s="29" t="e">
        <f aca="false">IF(MONTH($A$6)&gt;M18,0,IF(MONTH($A$6)=M18,+I$6,LOOKUP(DATE(N$8-1900,$M18,1),$H$6:$H$296,$I$6:$I$296)))</f>
        <v>#VALUE!</v>
      </c>
      <c r="O18" s="29" t="e">
        <f aca="false">LOOKUP(DATE(N$8-1900+1,$M18,1),$H$6:$H$296,$I$6:$I$296)</f>
        <v>#VALUE!</v>
      </c>
      <c r="P18" s="29" t="e">
        <f aca="false">LOOKUP(DATE(O$8-1900+1,$M18,1),$H$6:$H$296,$I$6:$I$296)</f>
        <v>#VALUE!</v>
      </c>
      <c r="Q18" s="29" t="e">
        <f aca="false">LOOKUP(DATE(P$8-1900+1,$M18,1),$H$6:$H$296,$I$6:$I$296)</f>
        <v>#VALUE!</v>
      </c>
      <c r="R18" s="29" t="e">
        <f aca="false">LOOKUP(DATE(Q$8-1900+1,$M18,1),$H$6:$H$296,$I$6:$I$296)</f>
        <v>#VALUE!</v>
      </c>
      <c r="S18" s="29" t="e">
        <f aca="false">LOOKUP(DATE(R$8-1900+1,$M18,1),$H$6:$H$296,$I$6:$I$296)</f>
        <v>#VALUE!</v>
      </c>
      <c r="T18" s="29" t="e">
        <f aca="false">LOOKUP(DATE(S$8-1900+1,$M18,1),$H$6:$H$296,$I$6:$I$296)</f>
        <v>#VALUE!</v>
      </c>
      <c r="U18" s="29" t="e">
        <f aca="false">LOOKUP(DATE(T$8-1900+1,$M18,1),$H$6:$H$296,$I$6:$I$296)</f>
        <v>#VALUE!</v>
      </c>
      <c r="V18" s="29" t="e">
        <f aca="false">LOOKUP(DATE(U$8-1900+1,$M18,1),$H$6:$H$296,$I$6:$I$296)</f>
        <v>#VALUE!</v>
      </c>
      <c r="W18" s="29" t="e">
        <f aca="false">LOOKUP(DATE(V$8-1900+1,$M18,1),$H$6:$H$296,$I$6:$I$296)</f>
        <v>#VALUE!</v>
      </c>
      <c r="X18" s="29" t="e">
        <f aca="false">LOOKUP(DATE(W$8-1900+1,$M18,1),$H$6:$H$296,$I$6:$I$296)</f>
        <v>#VALUE!</v>
      </c>
      <c r="Y18" s="29" t="e">
        <f aca="false">LOOKUP(DATE(X$8-1900+1,$M18,1),$H$6:$H$296,$I$6:$I$296)</f>
        <v>#VALUE!</v>
      </c>
      <c r="Z18" s="29" t="e">
        <f aca="false">LOOKUP(DATE(Y$8-1900+1,$M18,1),$H$6:$H$296,$I$6:$I$296)</f>
        <v>#VALUE!</v>
      </c>
      <c r="AA18" s="29" t="e">
        <f aca="false">LOOKUP(DATE(Z$8-1900+1,$M18,1),$H$6:$H$296,$I$6:$I$296)</f>
        <v>#VALUE!</v>
      </c>
      <c r="AB18" s="29" t="e">
        <f aca="false">LOOKUP(DATE(AA$8-1900+1,$M18,1),$H$6:$H$296,$I$6:$I$296)</f>
        <v>#VALUE!</v>
      </c>
      <c r="AC18" s="29" t="e">
        <f aca="false">LOOKUP(DATE(AB$8-1900+1,$M18,1),$H$6:$H$296,$I$6:$I$296)</f>
        <v>#VALUE!</v>
      </c>
      <c r="AD18" s="29" t="e">
        <f aca="false">LOOKUP(DATE(AC$8-1900+1,$M18,1),$H$6:$H$296,$I$6:$I$296)</f>
        <v>#VALUE!</v>
      </c>
      <c r="AE18" s="29" t="e">
        <f aca="false">LOOKUP(DATE(AD$8-1900+1,$M18,1),$H$6:$H$296,$I$6:$I$296)</f>
        <v>#VALUE!</v>
      </c>
      <c r="AF18" s="29" t="e">
        <f aca="false">LOOKUP(DATE(AE$8-1900+1,$M18,1),$H$6:$H$296,$I$6:$I$296)</f>
        <v>#VALUE!</v>
      </c>
      <c r="AG18" s="29" t="e">
        <f aca="false">LOOKUP(DATE(AF$8-1900+1,$M18,1),$H$6:$H$296,$I$6:$I$296)</f>
        <v>#VALUE!</v>
      </c>
      <c r="AH18" s="29" t="e">
        <f aca="false">LOOKUP(DATE(AG$8-1900+1,$M18,1),$H$6:$H$296,$I$6:$I$296)</f>
        <v>#VALUE!</v>
      </c>
      <c r="AI18" s="29" t="e">
        <f aca="false">LOOKUP(DATE(AH$8-1900+1,$M18,1),$H$6:$H$296,$I$6:$I$296)</f>
        <v>#VALUE!</v>
      </c>
      <c r="AJ18" s="29" t="e">
        <f aca="false">LOOKUP(DATE(AI$8-1900+1,$M18,1),$H$6:$H$296,$I$6:$I$296)</f>
        <v>#VALUE!</v>
      </c>
      <c r="AK18" s="29" t="e">
        <f aca="false">LOOKUP(DATE(AJ$8-1900+1,$M18,1),$H$6:$H$296,$I$6:$I$296)</f>
        <v>#VALUE!</v>
      </c>
      <c r="AL18" s="29" t="e">
        <f aca="false">LOOKUP(DATE(AK$8-1900+1,$M18,1),$H$6:$H$296,$I$6:$I$296)</f>
        <v>#VALUE!</v>
      </c>
      <c r="AM18" s="11"/>
      <c r="AN18" s="11"/>
      <c r="AO18" s="11"/>
      <c r="AP18" s="11"/>
      <c r="AQ18" s="11"/>
      <c r="AR18" s="5"/>
      <c r="AS18" s="12"/>
      <c r="AT18" s="12"/>
      <c r="AU18" s="12"/>
      <c r="AV18" s="12"/>
      <c r="AW18" s="12"/>
      <c r="AX18" s="12"/>
      <c r="AY18" s="12"/>
      <c r="AZ18" s="12"/>
      <c r="BA18" s="12"/>
      <c r="BB18" s="12"/>
      <c r="BC18" s="12"/>
      <c r="BD18" s="12"/>
      <c r="BE18" s="12"/>
      <c r="BF18" s="12"/>
      <c r="BG18" s="12"/>
      <c r="BH18" s="12"/>
      <c r="BI18" s="12"/>
      <c r="BJ18" s="12"/>
      <c r="BK18" s="12"/>
      <c r="BL18" s="12"/>
      <c r="BM18" s="12"/>
      <c r="BN18" s="12"/>
      <c r="BO18" s="12"/>
      <c r="BP18" s="12"/>
      <c r="BQ18" s="12"/>
      <c r="BR18" s="12"/>
      <c r="BS18" s="12"/>
      <c r="BT18" s="12"/>
      <c r="BU18" s="12"/>
      <c r="BV18" s="12"/>
      <c r="BW18" s="12"/>
      <c r="BX18" s="12"/>
      <c r="BY18" s="12"/>
      <c r="BZ18" s="12"/>
      <c r="CA18" s="12"/>
      <c r="CB18" s="12"/>
      <c r="CC18" s="12"/>
      <c r="CD18" s="12"/>
      <c r="CE18" s="12"/>
      <c r="CF18" s="12"/>
      <c r="CG18" s="12"/>
      <c r="CH18" s="12"/>
      <c r="CI18" s="12"/>
      <c r="CJ18" s="12"/>
      <c r="CK18" s="12"/>
      <c r="CL18" s="12"/>
      <c r="CM18" s="12"/>
      <c r="CN18" s="12"/>
      <c r="CO18" s="12"/>
      <c r="CP18" s="12"/>
      <c r="CQ18" s="12"/>
      <c r="CR18" s="12"/>
      <c r="CS18" s="12"/>
      <c r="CT18" s="12"/>
      <c r="CU18" s="12"/>
      <c r="CV18" s="12"/>
      <c r="CW18" s="12"/>
      <c r="CX18" s="12"/>
      <c r="CY18" s="12"/>
      <c r="CZ18" s="12"/>
      <c r="DA18" s="12"/>
      <c r="DB18" s="12"/>
      <c r="DC18" s="12"/>
      <c r="DD18" s="12"/>
      <c r="DE18" s="12"/>
      <c r="DF18" s="12"/>
      <c r="DG18" s="12"/>
      <c r="DH18" s="12"/>
      <c r="DI18" s="12"/>
      <c r="DJ18" s="12"/>
      <c r="DK18" s="12"/>
      <c r="DL18" s="12"/>
      <c r="DM18" s="12"/>
      <c r="DN18" s="12"/>
      <c r="DO18" s="12"/>
      <c r="DP18" s="12"/>
      <c r="DQ18" s="12"/>
      <c r="DR18" s="12"/>
      <c r="DS18" s="12"/>
      <c r="DT18" s="12"/>
      <c r="DU18" s="12"/>
      <c r="DV18" s="12"/>
      <c r="DW18" s="12"/>
      <c r="DX18" s="12"/>
      <c r="DY18" s="12"/>
      <c r="DZ18" s="12"/>
      <c r="EA18" s="12"/>
      <c r="EB18" s="12"/>
      <c r="EC18" s="12"/>
      <c r="ED18" s="12"/>
      <c r="EE18" s="12"/>
      <c r="EF18" s="12"/>
      <c r="EG18" s="12"/>
      <c r="EH18" s="12"/>
      <c r="EI18" s="12"/>
      <c r="EJ18" s="12"/>
      <c r="EK18" s="12"/>
      <c r="EL18" s="12"/>
      <c r="EM18" s="12"/>
      <c r="EN18" s="12"/>
      <c r="EO18" s="12"/>
      <c r="EP18" s="12"/>
      <c r="EQ18" s="12"/>
      <c r="ER18" s="12"/>
      <c r="ES18" s="12"/>
      <c r="ET18" s="12"/>
      <c r="EU18" s="12"/>
      <c r="EV18" s="12"/>
      <c r="EW18" s="12"/>
      <c r="EX18" s="12"/>
      <c r="EY18" s="12"/>
      <c r="EZ18" s="12"/>
      <c r="FA18" s="12"/>
      <c r="FB18" s="12"/>
      <c r="FC18" s="12"/>
      <c r="FD18" s="12"/>
      <c r="FE18" s="12"/>
      <c r="FF18" s="12"/>
      <c r="FG18" s="12"/>
      <c r="FH18" s="12"/>
      <c r="FI18" s="12"/>
      <c r="FJ18" s="12"/>
      <c r="FK18" s="12"/>
      <c r="FL18" s="12"/>
      <c r="FM18" s="12"/>
      <c r="FN18" s="12"/>
      <c r="FO18" s="12"/>
      <c r="FP18" s="12"/>
      <c r="FQ18" s="12"/>
      <c r="FR18" s="12"/>
      <c r="FS18" s="12"/>
      <c r="FT18" s="12"/>
      <c r="FU18" s="12"/>
      <c r="FV18" s="12"/>
      <c r="FW18" s="12"/>
      <c r="FX18" s="12"/>
      <c r="FY18" s="12"/>
      <c r="FZ18" s="12"/>
      <c r="GA18" s="12"/>
      <c r="GB18" s="12"/>
      <c r="GC18" s="12"/>
      <c r="GD18" s="12"/>
      <c r="GE18" s="12"/>
      <c r="GF18" s="12"/>
      <c r="GG18" s="12"/>
      <c r="GH18" s="12"/>
      <c r="GI18" s="12"/>
      <c r="GJ18" s="12"/>
      <c r="GK18" s="12"/>
      <c r="GL18" s="12"/>
      <c r="GM18" s="12"/>
      <c r="GN18" s="12"/>
      <c r="GO18" s="12"/>
      <c r="GP18" s="12"/>
      <c r="GQ18" s="12"/>
      <c r="GR18" s="12"/>
      <c r="GS18" s="12"/>
      <c r="GT18" s="12"/>
      <c r="GU18" s="12"/>
      <c r="GV18" s="12"/>
      <c r="GW18" s="12"/>
      <c r="GX18" s="12"/>
      <c r="GY18" s="12"/>
      <c r="GZ18" s="12"/>
      <c r="HA18" s="12"/>
      <c r="HB18" s="12"/>
      <c r="HC18" s="12"/>
      <c r="HD18" s="12"/>
      <c r="HE18" s="12"/>
      <c r="HF18" s="12"/>
      <c r="HG18" s="12"/>
      <c r="HH18" s="12"/>
      <c r="HI18" s="12"/>
      <c r="HJ18" s="12"/>
      <c r="HK18" s="12"/>
      <c r="HL18" s="12"/>
      <c r="HM18" s="12"/>
      <c r="HN18" s="12"/>
      <c r="HO18" s="12"/>
      <c r="HP18" s="12"/>
      <c r="HQ18" s="12"/>
      <c r="HR18" s="12"/>
      <c r="HS18" s="12"/>
      <c r="HT18" s="12"/>
      <c r="HU18" s="12"/>
      <c r="HV18" s="12"/>
      <c r="HW18" s="12"/>
      <c r="HX18" s="12"/>
      <c r="HY18" s="12"/>
      <c r="HZ18" s="12"/>
      <c r="IA18" s="12"/>
      <c r="IB18" s="12"/>
      <c r="IC18" s="12"/>
      <c r="ID18" s="12"/>
      <c r="IE18" s="12"/>
      <c r="IF18" s="12"/>
      <c r="IG18" s="12"/>
      <c r="IH18" s="12"/>
      <c r="II18" s="12"/>
      <c r="IJ18" s="12"/>
      <c r="IK18" s="12"/>
      <c r="IL18" s="12"/>
      <c r="IM18" s="12"/>
      <c r="IN18" s="12"/>
      <c r="IO18" s="12"/>
      <c r="IP18" s="12"/>
      <c r="IQ18" s="12"/>
      <c r="IR18" s="12"/>
      <c r="IS18" s="12"/>
      <c r="IT18" s="12"/>
      <c r="IU18" s="12"/>
      <c r="IV18" s="12"/>
      <c r="IW18" s="12"/>
    </row>
    <row r="19" customFormat="false" ht="11.25" hidden="false" customHeight="false" outlineLevel="0" collapsed="false">
      <c r="A19" s="30" t="n">
        <f aca="false">DATE(YEAR(A18),MONTH(A18)+1,1)</f>
        <v>46296</v>
      </c>
      <c r="B19" s="21" t="n">
        <v>2.125</v>
      </c>
      <c r="C19" s="21" t="n">
        <v>2.13</v>
      </c>
      <c r="D19" s="30" t="n">
        <f aca="false">DATE(YEAR(D18),MONTH(D18)+1,1)</f>
        <v>46296</v>
      </c>
      <c r="E19" s="21" t="n">
        <v>19.056</v>
      </c>
      <c r="F19" s="21" t="n">
        <v>19.095</v>
      </c>
      <c r="G19" s="6"/>
      <c r="H19" s="22" t="n">
        <f aca="false">A19</f>
        <v>46296</v>
      </c>
      <c r="I19" s="23" t="n">
        <f aca="false">IF($J$1="bid",B19,C19)</f>
        <v>2.13</v>
      </c>
      <c r="J19" s="24" t="n">
        <f aca="false">D19</f>
        <v>46296</v>
      </c>
      <c r="K19" s="23" t="n">
        <f aca="false">IF($J$1="bid",E19,F19)</f>
        <v>19.095</v>
      </c>
      <c r="L19" s="11"/>
      <c r="M19" s="11" t="n">
        <v>11</v>
      </c>
      <c r="N19" s="29" t="e">
        <f aca="false">IF(MONTH($A$6)&gt;M19,0,IF(MONTH($A$6)=M19,+I$6,LOOKUP(DATE(N$8-1900,$M19,1),$H$6:$H$296,$I$6:$I$296)))</f>
        <v>#VALUE!</v>
      </c>
      <c r="O19" s="29" t="e">
        <f aca="false">LOOKUP(DATE(N$8-1900+1,$M19,1),$H$6:$H$296,$I$6:$I$296)</f>
        <v>#VALUE!</v>
      </c>
      <c r="P19" s="29" t="e">
        <f aca="false">LOOKUP(DATE(O$8-1900+1,$M19,1),$H$6:$H$296,$I$6:$I$296)</f>
        <v>#VALUE!</v>
      </c>
      <c r="Q19" s="29" t="e">
        <f aca="false">LOOKUP(DATE(P$8-1900+1,$M19,1),$H$6:$H$296,$I$6:$I$296)</f>
        <v>#VALUE!</v>
      </c>
      <c r="R19" s="29" t="e">
        <f aca="false">LOOKUP(DATE(Q$8-1900+1,$M19,1),$H$6:$H$296,$I$6:$I$296)</f>
        <v>#VALUE!</v>
      </c>
      <c r="S19" s="29" t="e">
        <f aca="false">LOOKUP(DATE(R$8-1900+1,$M19,1),$H$6:$H$296,$I$6:$I$296)</f>
        <v>#VALUE!</v>
      </c>
      <c r="T19" s="29" t="e">
        <f aca="false">LOOKUP(DATE(S$8-1900+1,$M19,1),$H$6:$H$296,$I$6:$I$296)</f>
        <v>#VALUE!</v>
      </c>
      <c r="U19" s="29" t="e">
        <f aca="false">LOOKUP(DATE(T$8-1900+1,$M19,1),$H$6:$H$296,$I$6:$I$296)</f>
        <v>#VALUE!</v>
      </c>
      <c r="V19" s="29" t="e">
        <f aca="false">LOOKUP(DATE(U$8-1900+1,$M19,1),$H$6:$H$296,$I$6:$I$296)</f>
        <v>#VALUE!</v>
      </c>
      <c r="W19" s="29" t="e">
        <f aca="false">LOOKUP(DATE(V$8-1900+1,$M19,1),$H$6:$H$296,$I$6:$I$296)</f>
        <v>#VALUE!</v>
      </c>
      <c r="X19" s="29" t="e">
        <f aca="false">LOOKUP(DATE(W$8-1900+1,$M19,1),$H$6:$H$296,$I$6:$I$296)</f>
        <v>#VALUE!</v>
      </c>
      <c r="Y19" s="29" t="e">
        <f aca="false">LOOKUP(DATE(X$8-1900+1,$M19,1),$H$6:$H$296,$I$6:$I$296)</f>
        <v>#VALUE!</v>
      </c>
      <c r="Z19" s="29" t="e">
        <f aca="false">LOOKUP(DATE(Y$8-1900+1,$M19,1),$H$6:$H$296,$I$6:$I$296)</f>
        <v>#VALUE!</v>
      </c>
      <c r="AA19" s="29" t="e">
        <f aca="false">LOOKUP(DATE(Z$8-1900+1,$M19,1),$H$6:$H$296,$I$6:$I$296)</f>
        <v>#VALUE!</v>
      </c>
      <c r="AB19" s="29" t="e">
        <f aca="false">LOOKUP(DATE(AA$8-1900+1,$M19,1),$H$6:$H$296,$I$6:$I$296)</f>
        <v>#VALUE!</v>
      </c>
      <c r="AC19" s="29" t="e">
        <f aca="false">LOOKUP(DATE(AB$8-1900+1,$M19,1),$H$6:$H$296,$I$6:$I$296)</f>
        <v>#VALUE!</v>
      </c>
      <c r="AD19" s="29" t="e">
        <f aca="false">LOOKUP(DATE(AC$8-1900+1,$M19,1),$H$6:$H$296,$I$6:$I$296)</f>
        <v>#VALUE!</v>
      </c>
      <c r="AE19" s="29" t="e">
        <f aca="false">LOOKUP(DATE(AD$8-1900+1,$M19,1),$H$6:$H$296,$I$6:$I$296)</f>
        <v>#VALUE!</v>
      </c>
      <c r="AF19" s="29" t="e">
        <f aca="false">LOOKUP(DATE(AE$8-1900+1,$M19,1),$H$6:$H$296,$I$6:$I$296)</f>
        <v>#VALUE!</v>
      </c>
      <c r="AG19" s="29" t="e">
        <f aca="false">LOOKUP(DATE(AF$8-1900+1,$M19,1),$H$6:$H$296,$I$6:$I$296)</f>
        <v>#VALUE!</v>
      </c>
      <c r="AH19" s="29" t="e">
        <f aca="false">LOOKUP(DATE(AG$8-1900+1,$M19,1),$H$6:$H$296,$I$6:$I$296)</f>
        <v>#VALUE!</v>
      </c>
      <c r="AI19" s="29" t="e">
        <f aca="false">LOOKUP(DATE(AH$8-1900+1,$M19,1),$H$6:$H$296,$I$6:$I$296)</f>
        <v>#VALUE!</v>
      </c>
      <c r="AJ19" s="29" t="e">
        <f aca="false">LOOKUP(DATE(AI$8-1900+1,$M19,1),$H$6:$H$296,$I$6:$I$296)</f>
        <v>#VALUE!</v>
      </c>
      <c r="AK19" s="29" t="e">
        <f aca="false">LOOKUP(DATE(AJ$8-1900+1,$M19,1),$H$6:$H$296,$I$6:$I$296)</f>
        <v>#VALUE!</v>
      </c>
      <c r="AL19" s="29" t="e">
        <f aca="false">LOOKUP(DATE(AK$8-1900+1,$M19,1),$H$6:$H$296,$I$6:$I$296)</f>
        <v>#VALUE!</v>
      </c>
      <c r="AM19" s="11"/>
      <c r="AN19" s="11"/>
      <c r="AO19" s="11"/>
      <c r="AP19" s="11"/>
      <c r="AQ19" s="11"/>
      <c r="AR19" s="5"/>
      <c r="AS19" s="12"/>
      <c r="AT19" s="12"/>
      <c r="AU19" s="12"/>
      <c r="AV19" s="12"/>
      <c r="AW19" s="12"/>
      <c r="AX19" s="12"/>
      <c r="AY19" s="12"/>
      <c r="AZ19" s="12"/>
      <c r="BA19" s="12"/>
      <c r="BB19" s="12"/>
      <c r="BC19" s="12"/>
      <c r="BD19" s="12"/>
      <c r="BE19" s="12"/>
      <c r="BF19" s="12"/>
      <c r="BG19" s="12"/>
      <c r="BH19" s="12"/>
      <c r="BI19" s="12"/>
      <c r="BJ19" s="12"/>
      <c r="BK19" s="12"/>
      <c r="BL19" s="12"/>
      <c r="BM19" s="12"/>
      <c r="BN19" s="12"/>
      <c r="BO19" s="12"/>
      <c r="BP19" s="12"/>
      <c r="BQ19" s="12"/>
      <c r="BR19" s="12"/>
      <c r="BS19" s="12"/>
      <c r="BT19" s="12"/>
      <c r="BU19" s="12"/>
      <c r="BV19" s="12"/>
      <c r="BW19" s="12"/>
      <c r="BX19" s="12"/>
      <c r="BY19" s="12"/>
      <c r="BZ19" s="12"/>
      <c r="CA19" s="12"/>
      <c r="CB19" s="12"/>
      <c r="CC19" s="12"/>
      <c r="CD19" s="12"/>
      <c r="CE19" s="12"/>
      <c r="CF19" s="12"/>
      <c r="CG19" s="12"/>
      <c r="CH19" s="12"/>
      <c r="CI19" s="12"/>
      <c r="CJ19" s="12"/>
      <c r="CK19" s="12"/>
      <c r="CL19" s="12"/>
      <c r="CM19" s="12"/>
      <c r="CN19" s="12"/>
      <c r="CO19" s="12"/>
      <c r="CP19" s="12"/>
      <c r="CQ19" s="12"/>
      <c r="CR19" s="12"/>
      <c r="CS19" s="12"/>
      <c r="CT19" s="12"/>
      <c r="CU19" s="12"/>
      <c r="CV19" s="12"/>
      <c r="CW19" s="12"/>
      <c r="CX19" s="12"/>
      <c r="CY19" s="12"/>
      <c r="CZ19" s="12"/>
      <c r="DA19" s="12"/>
      <c r="DB19" s="12"/>
      <c r="DC19" s="12"/>
      <c r="DD19" s="12"/>
      <c r="DE19" s="12"/>
      <c r="DF19" s="12"/>
      <c r="DG19" s="12"/>
      <c r="DH19" s="12"/>
      <c r="DI19" s="12"/>
      <c r="DJ19" s="12"/>
      <c r="DK19" s="12"/>
      <c r="DL19" s="12"/>
      <c r="DM19" s="12"/>
      <c r="DN19" s="12"/>
      <c r="DO19" s="12"/>
      <c r="DP19" s="12"/>
      <c r="DQ19" s="12"/>
      <c r="DR19" s="12"/>
      <c r="DS19" s="12"/>
      <c r="DT19" s="12"/>
      <c r="DU19" s="12"/>
      <c r="DV19" s="12"/>
      <c r="DW19" s="12"/>
      <c r="DX19" s="12"/>
      <c r="DY19" s="12"/>
      <c r="DZ19" s="12"/>
      <c r="EA19" s="12"/>
      <c r="EB19" s="12"/>
      <c r="EC19" s="12"/>
      <c r="ED19" s="12"/>
      <c r="EE19" s="12"/>
      <c r="EF19" s="12"/>
      <c r="EG19" s="12"/>
      <c r="EH19" s="12"/>
      <c r="EI19" s="12"/>
      <c r="EJ19" s="12"/>
      <c r="EK19" s="12"/>
      <c r="EL19" s="12"/>
      <c r="EM19" s="12"/>
      <c r="EN19" s="12"/>
      <c r="EO19" s="12"/>
      <c r="EP19" s="12"/>
      <c r="EQ19" s="12"/>
      <c r="ER19" s="12"/>
      <c r="ES19" s="12"/>
      <c r="ET19" s="12"/>
      <c r="EU19" s="12"/>
      <c r="EV19" s="12"/>
      <c r="EW19" s="12"/>
      <c r="EX19" s="12"/>
      <c r="EY19" s="12"/>
      <c r="EZ19" s="12"/>
      <c r="FA19" s="12"/>
      <c r="FB19" s="12"/>
      <c r="FC19" s="12"/>
      <c r="FD19" s="12"/>
      <c r="FE19" s="12"/>
      <c r="FF19" s="12"/>
      <c r="FG19" s="12"/>
      <c r="FH19" s="12"/>
      <c r="FI19" s="12"/>
      <c r="FJ19" s="12"/>
      <c r="FK19" s="12"/>
      <c r="FL19" s="12"/>
      <c r="FM19" s="12"/>
      <c r="FN19" s="12"/>
      <c r="FO19" s="12"/>
      <c r="FP19" s="12"/>
      <c r="FQ19" s="12"/>
      <c r="FR19" s="12"/>
      <c r="FS19" s="12"/>
      <c r="FT19" s="12"/>
      <c r="FU19" s="12"/>
      <c r="FV19" s="12"/>
      <c r="FW19" s="12"/>
      <c r="FX19" s="12"/>
      <c r="FY19" s="12"/>
      <c r="FZ19" s="12"/>
      <c r="GA19" s="12"/>
      <c r="GB19" s="12"/>
      <c r="GC19" s="12"/>
      <c r="GD19" s="12"/>
      <c r="GE19" s="12"/>
      <c r="GF19" s="12"/>
      <c r="GG19" s="12"/>
      <c r="GH19" s="12"/>
      <c r="GI19" s="12"/>
      <c r="GJ19" s="12"/>
      <c r="GK19" s="12"/>
      <c r="GL19" s="12"/>
      <c r="GM19" s="12"/>
      <c r="GN19" s="12"/>
      <c r="GO19" s="12"/>
      <c r="GP19" s="12"/>
      <c r="GQ19" s="12"/>
      <c r="GR19" s="12"/>
      <c r="GS19" s="12"/>
      <c r="GT19" s="12"/>
      <c r="GU19" s="12"/>
      <c r="GV19" s="12"/>
      <c r="GW19" s="12"/>
      <c r="GX19" s="12"/>
      <c r="GY19" s="12"/>
      <c r="GZ19" s="12"/>
      <c r="HA19" s="12"/>
      <c r="HB19" s="12"/>
      <c r="HC19" s="12"/>
      <c r="HD19" s="12"/>
      <c r="HE19" s="12"/>
      <c r="HF19" s="12"/>
      <c r="HG19" s="12"/>
      <c r="HH19" s="12"/>
      <c r="HI19" s="12"/>
      <c r="HJ19" s="12"/>
      <c r="HK19" s="12"/>
      <c r="HL19" s="12"/>
      <c r="HM19" s="12"/>
      <c r="HN19" s="12"/>
      <c r="HO19" s="12"/>
      <c r="HP19" s="12"/>
      <c r="HQ19" s="12"/>
      <c r="HR19" s="12"/>
      <c r="HS19" s="12"/>
      <c r="HT19" s="12"/>
      <c r="HU19" s="12"/>
      <c r="HV19" s="12"/>
      <c r="HW19" s="12"/>
      <c r="HX19" s="12"/>
      <c r="HY19" s="12"/>
      <c r="HZ19" s="12"/>
      <c r="IA19" s="12"/>
      <c r="IB19" s="12"/>
      <c r="IC19" s="12"/>
      <c r="ID19" s="12"/>
      <c r="IE19" s="12"/>
      <c r="IF19" s="12"/>
      <c r="IG19" s="12"/>
      <c r="IH19" s="12"/>
      <c r="II19" s="12"/>
      <c r="IJ19" s="12"/>
      <c r="IK19" s="12"/>
      <c r="IL19" s="12"/>
      <c r="IM19" s="12"/>
      <c r="IN19" s="12"/>
      <c r="IO19" s="12"/>
      <c r="IP19" s="12"/>
      <c r="IQ19" s="12"/>
      <c r="IR19" s="12"/>
      <c r="IS19" s="12"/>
      <c r="IT19" s="12"/>
      <c r="IU19" s="12"/>
      <c r="IV19" s="12"/>
      <c r="IW19" s="12"/>
    </row>
    <row r="20" customFormat="false" ht="11.25" hidden="false" customHeight="false" outlineLevel="0" collapsed="false">
      <c r="A20" s="30" t="n">
        <f aca="false">DATE(YEAR(A19),MONTH(A19)+1,1)</f>
        <v>46327</v>
      </c>
      <c r="B20" s="21" t="n">
        <v>2.125</v>
      </c>
      <c r="C20" s="21" t="n">
        <v>2.13</v>
      </c>
      <c r="D20" s="30" t="n">
        <f aca="false">DATE(YEAR(D19),MONTH(D19)+1,1)</f>
        <v>46327</v>
      </c>
      <c r="E20" s="21" t="n">
        <v>18.921</v>
      </c>
      <c r="F20" s="21" t="n">
        <v>18.966</v>
      </c>
      <c r="G20" s="6"/>
      <c r="H20" s="22" t="n">
        <f aca="false">A20</f>
        <v>46327</v>
      </c>
      <c r="I20" s="23" t="n">
        <f aca="false">IF($J$1="bid",B20,C20)</f>
        <v>2.13</v>
      </c>
      <c r="J20" s="24" t="n">
        <f aca="false">D20</f>
        <v>46327</v>
      </c>
      <c r="K20" s="23" t="n">
        <f aca="false">IF($J$1="bid",E20,F20)</f>
        <v>18.966</v>
      </c>
      <c r="L20" s="11"/>
      <c r="M20" s="11" t="n">
        <v>12</v>
      </c>
      <c r="N20" s="29" t="e">
        <f aca="false">IF(MONTH($A$6)&gt;M20,0,IF(MONTH($A$6)=M20,+I$6,LOOKUP(DATE(N$8-1900,$M20,1),$H$6:$H$296,$I$6:$I$296)))</f>
        <v>#VALUE!</v>
      </c>
      <c r="O20" s="29" t="e">
        <f aca="false">LOOKUP(DATE(N$8-1900+1,$M20,1),$H$6:$H$296,$I$6:$I$296)</f>
        <v>#VALUE!</v>
      </c>
      <c r="P20" s="29" t="e">
        <f aca="false">LOOKUP(DATE(O$8-1900+1,$M20,1),$H$6:$H$296,$I$6:$I$296)</f>
        <v>#VALUE!</v>
      </c>
      <c r="Q20" s="29" t="e">
        <f aca="false">LOOKUP(DATE(P$8-1900+1,$M20,1),$H$6:$H$296,$I$6:$I$296)</f>
        <v>#VALUE!</v>
      </c>
      <c r="R20" s="29" t="e">
        <f aca="false">LOOKUP(DATE(Q$8-1900+1,$M20,1),$H$6:$H$296,$I$6:$I$296)</f>
        <v>#VALUE!</v>
      </c>
      <c r="S20" s="29" t="e">
        <f aca="false">LOOKUP(DATE(R$8-1900+1,$M20,1),$H$6:$H$296,$I$6:$I$296)</f>
        <v>#VALUE!</v>
      </c>
      <c r="T20" s="29" t="e">
        <f aca="false">LOOKUP(DATE(S$8-1900+1,$M20,1),$H$6:$H$296,$I$6:$I$296)</f>
        <v>#VALUE!</v>
      </c>
      <c r="U20" s="29" t="e">
        <f aca="false">LOOKUP(DATE(T$8-1900+1,$M20,1),$H$6:$H$296,$I$6:$I$296)</f>
        <v>#VALUE!</v>
      </c>
      <c r="V20" s="29" t="e">
        <f aca="false">LOOKUP(DATE(U$8-1900+1,$M20,1),$H$6:$H$296,$I$6:$I$296)</f>
        <v>#VALUE!</v>
      </c>
      <c r="W20" s="29" t="e">
        <f aca="false">LOOKUP(DATE(V$8-1900+1,$M20,1),$H$6:$H$296,$I$6:$I$296)</f>
        <v>#VALUE!</v>
      </c>
      <c r="X20" s="29" t="e">
        <f aca="false">LOOKUP(DATE(W$8-1900+1,$M20,1),$H$6:$H$296,$I$6:$I$296)</f>
        <v>#VALUE!</v>
      </c>
      <c r="Y20" s="29" t="e">
        <f aca="false">LOOKUP(DATE(X$8-1900+1,$M20,1),$H$6:$H$296,$I$6:$I$296)</f>
        <v>#VALUE!</v>
      </c>
      <c r="Z20" s="29" t="e">
        <f aca="false">LOOKUP(DATE(Y$8-1900+1,$M20,1),$H$6:$H$296,$I$6:$I$296)</f>
        <v>#VALUE!</v>
      </c>
      <c r="AA20" s="29" t="e">
        <f aca="false">LOOKUP(DATE(Z$8-1900+1,$M20,1),$H$6:$H$296,$I$6:$I$296)</f>
        <v>#VALUE!</v>
      </c>
      <c r="AB20" s="29" t="e">
        <f aca="false">LOOKUP(DATE(AA$8-1900+1,$M20,1),$H$6:$H$296,$I$6:$I$296)</f>
        <v>#VALUE!</v>
      </c>
      <c r="AC20" s="29" t="e">
        <f aca="false">LOOKUP(DATE(AB$8-1900+1,$M20,1),$H$6:$H$296,$I$6:$I$296)</f>
        <v>#VALUE!</v>
      </c>
      <c r="AD20" s="29" t="e">
        <f aca="false">LOOKUP(DATE(AC$8-1900+1,$M20,1),$H$6:$H$296,$I$6:$I$296)</f>
        <v>#VALUE!</v>
      </c>
      <c r="AE20" s="29" t="e">
        <f aca="false">LOOKUP(DATE(AD$8-1900+1,$M20,1),$H$6:$H$296,$I$6:$I$296)</f>
        <v>#VALUE!</v>
      </c>
      <c r="AF20" s="29" t="e">
        <f aca="false">LOOKUP(DATE(AE$8-1900+1,$M20,1),$H$6:$H$296,$I$6:$I$296)</f>
        <v>#VALUE!</v>
      </c>
      <c r="AG20" s="29" t="e">
        <f aca="false">LOOKUP(DATE(AF$8-1900+1,$M20,1),$H$6:$H$296,$I$6:$I$296)</f>
        <v>#VALUE!</v>
      </c>
      <c r="AH20" s="29" t="e">
        <f aca="false">LOOKUP(DATE(AG$8-1900+1,$M20,1),$H$6:$H$296,$I$6:$I$296)</f>
        <v>#VALUE!</v>
      </c>
      <c r="AI20" s="29" t="e">
        <f aca="false">LOOKUP(DATE(AH$8-1900+1,$M20,1),$H$6:$H$296,$I$6:$I$296)</f>
        <v>#VALUE!</v>
      </c>
      <c r="AJ20" s="29" t="e">
        <f aca="false">LOOKUP(DATE(AI$8-1900+1,$M20,1),$H$6:$H$296,$I$6:$I$296)</f>
        <v>#VALUE!</v>
      </c>
      <c r="AK20" s="29" t="e">
        <f aca="false">LOOKUP(DATE(AJ$8-1900+1,$M20,1),$H$6:$H$296,$I$6:$I$296)</f>
        <v>#VALUE!</v>
      </c>
      <c r="AL20" s="29" t="e">
        <f aca="false">LOOKUP(DATE(AK$8-1900+1,$M20,1),$H$6:$H$296,$I$6:$I$296)</f>
        <v>#VALUE!</v>
      </c>
      <c r="AM20" s="11"/>
      <c r="AN20" s="11"/>
      <c r="AO20" s="11"/>
      <c r="AP20" s="11"/>
      <c r="AQ20" s="11"/>
      <c r="AR20" s="5"/>
      <c r="AS20" s="12"/>
      <c r="AT20" s="12"/>
      <c r="AU20" s="12"/>
      <c r="AV20" s="12"/>
      <c r="AW20" s="12"/>
      <c r="AX20" s="12"/>
      <c r="AY20" s="12"/>
      <c r="AZ20" s="12"/>
      <c r="BA20" s="12"/>
      <c r="BB20" s="12"/>
      <c r="BC20" s="12"/>
      <c r="BD20" s="12"/>
      <c r="BE20" s="12"/>
      <c r="BF20" s="12"/>
      <c r="BG20" s="12"/>
      <c r="BH20" s="12"/>
      <c r="BI20" s="12"/>
      <c r="BJ20" s="12"/>
      <c r="BK20" s="12"/>
      <c r="BL20" s="12"/>
      <c r="BM20" s="12"/>
      <c r="BN20" s="12"/>
      <c r="BO20" s="12"/>
      <c r="BP20" s="12"/>
      <c r="BQ20" s="12"/>
      <c r="BR20" s="12"/>
      <c r="BS20" s="12"/>
      <c r="BT20" s="12"/>
      <c r="BU20" s="12"/>
      <c r="BV20" s="12"/>
      <c r="BW20" s="12"/>
      <c r="BX20" s="12"/>
      <c r="BY20" s="12"/>
      <c r="BZ20" s="12"/>
      <c r="CA20" s="12"/>
      <c r="CB20" s="12"/>
      <c r="CC20" s="12"/>
      <c r="CD20" s="12"/>
      <c r="CE20" s="12"/>
      <c r="CF20" s="12"/>
      <c r="CG20" s="12"/>
      <c r="CH20" s="12"/>
      <c r="CI20" s="12"/>
      <c r="CJ20" s="12"/>
      <c r="CK20" s="12"/>
      <c r="CL20" s="12"/>
      <c r="CM20" s="12"/>
      <c r="CN20" s="12"/>
      <c r="CO20" s="12"/>
      <c r="CP20" s="12"/>
      <c r="CQ20" s="12"/>
      <c r="CR20" s="12"/>
      <c r="CS20" s="12"/>
      <c r="CT20" s="12"/>
      <c r="CU20" s="12"/>
      <c r="CV20" s="12"/>
      <c r="CW20" s="12"/>
      <c r="CX20" s="12"/>
      <c r="CY20" s="12"/>
      <c r="CZ20" s="12"/>
      <c r="DA20" s="12"/>
      <c r="DB20" s="12"/>
      <c r="DC20" s="12"/>
      <c r="DD20" s="12"/>
      <c r="DE20" s="12"/>
      <c r="DF20" s="12"/>
      <c r="DG20" s="12"/>
      <c r="DH20" s="12"/>
      <c r="DI20" s="12"/>
      <c r="DJ20" s="12"/>
      <c r="DK20" s="12"/>
      <c r="DL20" s="12"/>
      <c r="DM20" s="12"/>
      <c r="DN20" s="12"/>
      <c r="DO20" s="12"/>
      <c r="DP20" s="12"/>
      <c r="DQ20" s="12"/>
      <c r="DR20" s="12"/>
      <c r="DS20" s="12"/>
      <c r="DT20" s="12"/>
      <c r="DU20" s="12"/>
      <c r="DV20" s="12"/>
      <c r="DW20" s="12"/>
      <c r="DX20" s="12"/>
      <c r="DY20" s="12"/>
      <c r="DZ20" s="12"/>
      <c r="EA20" s="12"/>
      <c r="EB20" s="12"/>
      <c r="EC20" s="12"/>
      <c r="ED20" s="12"/>
      <c r="EE20" s="12"/>
      <c r="EF20" s="12"/>
      <c r="EG20" s="12"/>
      <c r="EH20" s="12"/>
      <c r="EI20" s="12"/>
      <c r="EJ20" s="12"/>
      <c r="EK20" s="12"/>
      <c r="EL20" s="12"/>
      <c r="EM20" s="12"/>
      <c r="EN20" s="12"/>
      <c r="EO20" s="12"/>
      <c r="EP20" s="12"/>
      <c r="EQ20" s="12"/>
      <c r="ER20" s="12"/>
      <c r="ES20" s="12"/>
      <c r="ET20" s="12"/>
      <c r="EU20" s="12"/>
      <c r="EV20" s="12"/>
      <c r="EW20" s="12"/>
      <c r="EX20" s="12"/>
      <c r="EY20" s="12"/>
      <c r="EZ20" s="12"/>
      <c r="FA20" s="12"/>
      <c r="FB20" s="12"/>
      <c r="FC20" s="12"/>
      <c r="FD20" s="12"/>
      <c r="FE20" s="12"/>
      <c r="FF20" s="12"/>
      <c r="FG20" s="12"/>
      <c r="FH20" s="12"/>
      <c r="FI20" s="12"/>
      <c r="FJ20" s="12"/>
      <c r="FK20" s="12"/>
      <c r="FL20" s="12"/>
      <c r="FM20" s="12"/>
      <c r="FN20" s="12"/>
      <c r="FO20" s="12"/>
      <c r="FP20" s="12"/>
      <c r="FQ20" s="12"/>
      <c r="FR20" s="12"/>
      <c r="FS20" s="12"/>
      <c r="FT20" s="12"/>
      <c r="FU20" s="12"/>
      <c r="FV20" s="12"/>
      <c r="FW20" s="12"/>
      <c r="FX20" s="12"/>
      <c r="FY20" s="12"/>
      <c r="FZ20" s="12"/>
      <c r="GA20" s="12"/>
      <c r="GB20" s="12"/>
      <c r="GC20" s="12"/>
      <c r="GD20" s="12"/>
      <c r="GE20" s="12"/>
      <c r="GF20" s="12"/>
      <c r="GG20" s="12"/>
      <c r="GH20" s="12"/>
      <c r="GI20" s="12"/>
      <c r="GJ20" s="12"/>
      <c r="GK20" s="12"/>
      <c r="GL20" s="12"/>
      <c r="GM20" s="12"/>
      <c r="GN20" s="12"/>
      <c r="GO20" s="12"/>
      <c r="GP20" s="12"/>
      <c r="GQ20" s="12"/>
      <c r="GR20" s="12"/>
      <c r="GS20" s="12"/>
      <c r="GT20" s="12"/>
      <c r="GU20" s="12"/>
      <c r="GV20" s="12"/>
      <c r="GW20" s="12"/>
      <c r="GX20" s="12"/>
      <c r="GY20" s="12"/>
      <c r="GZ20" s="12"/>
      <c r="HA20" s="12"/>
      <c r="HB20" s="12"/>
      <c r="HC20" s="12"/>
      <c r="HD20" s="12"/>
      <c r="HE20" s="12"/>
      <c r="HF20" s="12"/>
      <c r="HG20" s="12"/>
      <c r="HH20" s="12"/>
      <c r="HI20" s="12"/>
      <c r="HJ20" s="12"/>
      <c r="HK20" s="12"/>
      <c r="HL20" s="12"/>
      <c r="HM20" s="12"/>
      <c r="HN20" s="12"/>
      <c r="HO20" s="12"/>
      <c r="HP20" s="12"/>
      <c r="HQ20" s="12"/>
      <c r="HR20" s="12"/>
      <c r="HS20" s="12"/>
      <c r="HT20" s="12"/>
      <c r="HU20" s="12"/>
      <c r="HV20" s="12"/>
      <c r="HW20" s="12"/>
      <c r="HX20" s="12"/>
      <c r="HY20" s="12"/>
      <c r="HZ20" s="12"/>
      <c r="IA20" s="12"/>
      <c r="IB20" s="12"/>
      <c r="IC20" s="12"/>
      <c r="ID20" s="12"/>
      <c r="IE20" s="12"/>
      <c r="IF20" s="12"/>
      <c r="IG20" s="12"/>
      <c r="IH20" s="12"/>
      <c r="II20" s="12"/>
      <c r="IJ20" s="12"/>
      <c r="IK20" s="12"/>
      <c r="IL20" s="12"/>
      <c r="IM20" s="12"/>
      <c r="IN20" s="12"/>
      <c r="IO20" s="12"/>
      <c r="IP20" s="12"/>
      <c r="IQ20" s="12"/>
      <c r="IR20" s="12"/>
      <c r="IS20" s="12"/>
      <c r="IT20" s="12"/>
      <c r="IU20" s="12"/>
      <c r="IV20" s="12"/>
      <c r="IW20" s="12"/>
    </row>
    <row r="21" customFormat="false" ht="11.25" hidden="false" customHeight="false" outlineLevel="0" collapsed="false">
      <c r="A21" s="25" t="n">
        <f aca="false">DATE(YEAR(A20),MONTH(A20)+1,1)</f>
        <v>46357</v>
      </c>
      <c r="B21" s="21" t="n">
        <v>2.057</v>
      </c>
      <c r="C21" s="21" t="n">
        <v>2.062</v>
      </c>
      <c r="D21" s="25" t="n">
        <f aca="false">DATE(YEAR(D20),MONTH(D20)+1,1)</f>
        <v>46357</v>
      </c>
      <c r="E21" s="21" t="n">
        <v>18.815</v>
      </c>
      <c r="F21" s="21" t="n">
        <v>18.86</v>
      </c>
      <c r="G21" s="6"/>
      <c r="H21" s="22" t="n">
        <f aca="false">A21</f>
        <v>46357</v>
      </c>
      <c r="I21" s="23" t="n">
        <f aca="false">IF($J$1="bid",B21,C21)</f>
        <v>2.062</v>
      </c>
      <c r="J21" s="24" t="n">
        <f aca="false">D21</f>
        <v>46357</v>
      </c>
      <c r="K21" s="23" t="n">
        <f aca="false">IF($J$1="bid",E21,F21)</f>
        <v>18.86</v>
      </c>
      <c r="L21" s="31" t="s">
        <v>11</v>
      </c>
      <c r="M21" s="31"/>
      <c r="N21" s="31" t="n">
        <f aca="false">IF(ISERR(SUM(N9:N20)/COUNTIF(N9:N20,"&gt;0")),0,SUM(N9:N20)/COUNTIF(N9:N20,"&gt;0"))</f>
        <v>0</v>
      </c>
      <c r="O21" s="31" t="n">
        <f aca="false">IF(ISERR(SUM(O9:O20)/COUNTIF(O9:O20,"&gt;0")),0,SUM(O9:O20)/COUNTIF(O9:O20,"&gt;0"))</f>
        <v>0</v>
      </c>
      <c r="P21" s="31" t="n">
        <f aca="false">IF(ISERR(SUM(P9:P20)/COUNTIF(P9:P20,"&gt;0")),0,SUM(P9:P20)/COUNTIF(P9:P20,"&gt;0"))</f>
        <v>0</v>
      </c>
      <c r="Q21" s="31" t="n">
        <f aca="false">IF(ISERR(SUM(Q9:Q20)/COUNTIF(Q9:Q20,"&gt;0")),0,SUM(Q9:Q20)/COUNTIF(Q9:Q20,"&gt;0"))</f>
        <v>0</v>
      </c>
      <c r="R21" s="31" t="n">
        <f aca="false">IF(ISERR(SUM(R9:R20)/COUNTIF(R9:R20,"&gt;0")),0,SUM(R9:R20)/COUNTIF(R9:R20,"&gt;0"))</f>
        <v>0</v>
      </c>
      <c r="S21" s="31" t="n">
        <f aca="false">IF(ISERR(SUM(S9:S20)/COUNTIF(S9:S20,"&gt;0")),0,SUM(S9:S20)/COUNTIF(S9:S20,"&gt;0"))</f>
        <v>0</v>
      </c>
      <c r="T21" s="31" t="n">
        <f aca="false">IF(ISERR(SUM(T9:T20)/COUNTIF(T9:T20,"&gt;0")),0,SUM(T9:T20)/COUNTIF(T9:T20,"&gt;0"))</f>
        <v>0</v>
      </c>
      <c r="U21" s="31" t="n">
        <f aca="false">IF(ISERR(SUM(U9:U20)/COUNTIF(U9:U20,"&gt;0")),0,SUM(U9:U20)/COUNTIF(U9:U20,"&gt;0"))</f>
        <v>0</v>
      </c>
      <c r="V21" s="31" t="n">
        <f aca="false">IF(ISERR(SUM(V9:V20)/COUNTIF(V9:V20,"&gt;0")),0,SUM(V9:V20)/COUNTIF(V9:V20,"&gt;0"))</f>
        <v>0</v>
      </c>
      <c r="W21" s="31" t="n">
        <f aca="false">IF(ISERR(SUM(W9:W20)/COUNTIF(W9:W20,"&gt;0")),0,SUM(W9:W20)/COUNTIF(W9:W20,"&gt;0"))</f>
        <v>0</v>
      </c>
      <c r="X21" s="31" t="n">
        <f aca="false">IF(ISERR(SUM(X9:X20)/COUNTIF(X9:X20,"&gt;0")),0,SUM(X9:X20)/COUNTIF(X9:X20,"&gt;0"))</f>
        <v>0</v>
      </c>
      <c r="Y21" s="31" t="n">
        <f aca="false">IF(ISERR(SUM(Y9:Y20)/COUNTIF(Y9:Y20,"&gt;0")),0,SUM(Y9:Y20)/COUNTIF(Y9:Y20,"&gt;0"))</f>
        <v>0</v>
      </c>
      <c r="Z21" s="31" t="n">
        <f aca="false">IF(ISERR(SUM(Z9:Z20)/COUNTIF(Z9:Z20,"&gt;0")),0,SUM(Z9:Z20)/COUNTIF(Z9:Z20,"&gt;0"))</f>
        <v>0</v>
      </c>
      <c r="AA21" s="31" t="n">
        <f aca="false">IF(ISERR(SUM(AA9:AA20)/COUNTIF(AA9:AA20,"&gt;0")),0,SUM(AA9:AA20)/COUNTIF(AA9:AA20,"&gt;0"))</f>
        <v>0</v>
      </c>
      <c r="AB21" s="31" t="n">
        <f aca="false">IF(ISERR(SUM(AB9:AB20)/COUNTIF(AB9:AB20,"&gt;0")),0,SUM(AB9:AB20)/COUNTIF(AB9:AB20,"&gt;0"))</f>
        <v>0</v>
      </c>
      <c r="AC21" s="31" t="n">
        <f aca="false">IF(ISERR(SUM(AC9:AC20)/COUNTIF(AC9:AC20,"&gt;0")),0,SUM(AC9:AC20)/COUNTIF(AC9:AC20,"&gt;0"))</f>
        <v>0</v>
      </c>
      <c r="AD21" s="31" t="n">
        <f aca="false">IF(ISERR(SUM(AD9:AD20)/COUNTIF(AD9:AD20,"&gt;0")),0,SUM(AD9:AD20)/COUNTIF(AD9:AD20,"&gt;0"))</f>
        <v>0</v>
      </c>
      <c r="AE21" s="31" t="n">
        <f aca="false">IF(ISERR(SUM(AE9:AE20)/COUNTIF(AE9:AE20,"&gt;0")),0,SUM(AE9:AE20)/COUNTIF(AE9:AE20,"&gt;0"))</f>
        <v>0</v>
      </c>
      <c r="AF21" s="31" t="n">
        <f aca="false">IF(ISERR(SUM(AF9:AF20)/COUNTIF(AF9:AF20,"&gt;0")),0,SUM(AF9:AF20)/COUNTIF(AF9:AF20,"&gt;0"))</f>
        <v>0</v>
      </c>
      <c r="AG21" s="31" t="n">
        <f aca="false">IF(ISERR(SUM(AG9:AG20)/COUNTIF(AG9:AG20,"&gt;0")),0,SUM(AG9:AG20)/COUNTIF(AG9:AG20,"&gt;0"))</f>
        <v>0</v>
      </c>
      <c r="AH21" s="31" t="n">
        <f aca="false">IF(ISERR(SUM(AH9:AH20)/COUNTIF(AH9:AH20,"&gt;0")),0,SUM(AH9:AH20)/COUNTIF(AH9:AH20,"&gt;0"))</f>
        <v>0</v>
      </c>
      <c r="AI21" s="31" t="n">
        <f aca="false">IF(ISERR(SUM(AI9:AI20)/COUNTIF(AI9:AI20,"&gt;0")),0,SUM(AI9:AI20)/COUNTIF(AI9:AI20,"&gt;0"))</f>
        <v>0</v>
      </c>
      <c r="AJ21" s="31" t="n">
        <f aca="false">IF(ISERR(SUM(AJ9:AJ20)/COUNTIF(AJ9:AJ20,"&gt;0")),0,SUM(AJ9:AJ20)/COUNTIF(AJ9:AJ20,"&gt;0"))</f>
        <v>0</v>
      </c>
      <c r="AK21" s="31" t="n">
        <f aca="false">IF(ISERR(SUM(AK9:AK20)/COUNTIF(AK9:AK20,"&gt;0")),0,SUM(AK9:AK20)/COUNTIF(AK9:AK20,"&gt;0"))</f>
        <v>0</v>
      </c>
      <c r="AL21" s="31" t="n">
        <f aca="false">IF(ISERR(SUM(AL9:AL20)/COUNTIF(AL9:AL20,"&gt;0")),0,SUM(AL9:AL20)/COUNTIF(AL9:AL20,"&gt;0"))</f>
        <v>0</v>
      </c>
      <c r="AM21" s="31" t="n">
        <f aca="false">IF(ISERR(SUM(AM9:AM20)/COUNTIF(AM9:AM20,"&gt;0")),0,SUM(AM9:AM20)/COUNTIF(AM9:AM20,"&gt;0"))</f>
        <v>0</v>
      </c>
      <c r="AN21" s="31" t="n">
        <f aca="false">IF(ISERR(SUM(AN9:AN20)/COUNTIF(AN9:AN20,"&gt;0")),0,SUM(AN9:AN20)/COUNTIF(AN9:AN20,"&gt;0"))</f>
        <v>0</v>
      </c>
      <c r="AO21" s="31" t="n">
        <f aca="false">IF(ISERR(SUM(AO9:AO20)/COUNTIF(AO9:AO20,"&gt;0")),0,SUM(AO9:AO20)/COUNTIF(AO9:AO20,"&gt;0"))</f>
        <v>0</v>
      </c>
      <c r="AP21" s="31" t="n">
        <f aca="false">IF(ISERR(SUM(AP9:AP20)/COUNTIF(AP9:AP20,"&gt;0")),0,SUM(AP9:AP20)/COUNTIF(AP9:AP20,"&gt;0"))</f>
        <v>0</v>
      </c>
      <c r="AQ21" s="31" t="n">
        <f aca="false">IF(ISERR(SUM(AQ9:AQ20)/COUNTIF(AQ9:AQ20,"&gt;0")),0,SUM(AQ9:AQ20)/COUNTIF(AQ9:AQ20,"&gt;0"))</f>
        <v>0</v>
      </c>
      <c r="AR21" s="5"/>
      <c r="AS21" s="12"/>
      <c r="AT21" s="12"/>
      <c r="AU21" s="12"/>
      <c r="AV21" s="12"/>
      <c r="AW21" s="12"/>
      <c r="AX21" s="12"/>
      <c r="AY21" s="12"/>
      <c r="AZ21" s="12"/>
      <c r="BA21" s="12"/>
      <c r="BB21" s="12"/>
      <c r="BC21" s="12"/>
      <c r="BD21" s="12"/>
      <c r="BE21" s="12"/>
      <c r="BF21" s="12"/>
      <c r="BG21" s="12"/>
      <c r="BH21" s="12"/>
      <c r="BI21" s="12"/>
      <c r="BJ21" s="12"/>
      <c r="BK21" s="12"/>
      <c r="BL21" s="12"/>
      <c r="BM21" s="12"/>
      <c r="BN21" s="12"/>
      <c r="BO21" s="12"/>
      <c r="BP21" s="12"/>
      <c r="BQ21" s="12"/>
      <c r="BR21" s="12"/>
      <c r="BS21" s="12"/>
      <c r="BT21" s="12"/>
      <c r="BU21" s="12"/>
      <c r="BV21" s="12"/>
      <c r="BW21" s="12"/>
      <c r="BX21" s="12"/>
      <c r="BY21" s="12"/>
      <c r="BZ21" s="12"/>
      <c r="CA21" s="12"/>
      <c r="CB21" s="12"/>
      <c r="CC21" s="12"/>
      <c r="CD21" s="12"/>
      <c r="CE21" s="12"/>
      <c r="CF21" s="12"/>
      <c r="CG21" s="12"/>
      <c r="CH21" s="12"/>
      <c r="CI21" s="12"/>
      <c r="CJ21" s="12"/>
      <c r="CK21" s="12"/>
      <c r="CL21" s="12"/>
      <c r="CM21" s="12"/>
      <c r="CN21" s="12"/>
      <c r="CO21" s="12"/>
      <c r="CP21" s="12"/>
      <c r="CQ21" s="12"/>
      <c r="CR21" s="12"/>
      <c r="CS21" s="12"/>
      <c r="CT21" s="12"/>
      <c r="CU21" s="12"/>
      <c r="CV21" s="12"/>
      <c r="CW21" s="12"/>
      <c r="CX21" s="12"/>
      <c r="CY21" s="12"/>
      <c r="CZ21" s="12"/>
      <c r="DA21" s="12"/>
      <c r="DB21" s="12"/>
      <c r="DC21" s="12"/>
      <c r="DD21" s="12"/>
      <c r="DE21" s="12"/>
      <c r="DF21" s="12"/>
      <c r="DG21" s="12"/>
      <c r="DH21" s="12"/>
      <c r="DI21" s="12"/>
      <c r="DJ21" s="12"/>
      <c r="DK21" s="12"/>
      <c r="DL21" s="12"/>
      <c r="DM21" s="12"/>
      <c r="DN21" s="12"/>
      <c r="DO21" s="12"/>
      <c r="DP21" s="12"/>
      <c r="DQ21" s="12"/>
      <c r="DR21" s="12"/>
      <c r="DS21" s="12"/>
      <c r="DT21" s="12"/>
      <c r="DU21" s="12"/>
      <c r="DV21" s="12"/>
      <c r="DW21" s="12"/>
      <c r="DX21" s="12"/>
      <c r="DY21" s="12"/>
      <c r="DZ21" s="12"/>
      <c r="EA21" s="12"/>
      <c r="EB21" s="12"/>
      <c r="EC21" s="12"/>
      <c r="ED21" s="12"/>
      <c r="EE21" s="12"/>
      <c r="EF21" s="12"/>
      <c r="EG21" s="12"/>
      <c r="EH21" s="12"/>
      <c r="EI21" s="12"/>
      <c r="EJ21" s="12"/>
      <c r="EK21" s="12"/>
      <c r="EL21" s="12"/>
      <c r="EM21" s="12"/>
      <c r="EN21" s="12"/>
      <c r="EO21" s="12"/>
      <c r="EP21" s="12"/>
      <c r="EQ21" s="12"/>
      <c r="ER21" s="12"/>
      <c r="ES21" s="12"/>
      <c r="ET21" s="12"/>
      <c r="EU21" s="12"/>
      <c r="EV21" s="12"/>
      <c r="EW21" s="12"/>
      <c r="EX21" s="12"/>
      <c r="EY21" s="12"/>
      <c r="EZ21" s="12"/>
      <c r="FA21" s="12"/>
      <c r="FB21" s="12"/>
      <c r="FC21" s="12"/>
      <c r="FD21" s="12"/>
      <c r="FE21" s="12"/>
      <c r="FF21" s="12"/>
      <c r="FG21" s="12"/>
      <c r="FH21" s="12"/>
      <c r="FI21" s="12"/>
      <c r="FJ21" s="12"/>
      <c r="FK21" s="12"/>
      <c r="FL21" s="12"/>
      <c r="FM21" s="12"/>
      <c r="FN21" s="12"/>
      <c r="FO21" s="12"/>
      <c r="FP21" s="12"/>
      <c r="FQ21" s="12"/>
      <c r="FR21" s="12"/>
      <c r="FS21" s="12"/>
      <c r="FT21" s="12"/>
      <c r="FU21" s="12"/>
      <c r="FV21" s="12"/>
      <c r="FW21" s="12"/>
      <c r="FX21" s="12"/>
      <c r="FY21" s="12"/>
      <c r="FZ21" s="12"/>
      <c r="GA21" s="12"/>
      <c r="GB21" s="12"/>
      <c r="GC21" s="12"/>
      <c r="GD21" s="12"/>
      <c r="GE21" s="12"/>
      <c r="GF21" s="12"/>
      <c r="GG21" s="12"/>
      <c r="GH21" s="12"/>
      <c r="GI21" s="12"/>
      <c r="GJ21" s="12"/>
      <c r="GK21" s="12"/>
      <c r="GL21" s="12"/>
      <c r="GM21" s="12"/>
      <c r="GN21" s="12"/>
      <c r="GO21" s="12"/>
      <c r="GP21" s="12"/>
      <c r="GQ21" s="12"/>
      <c r="GR21" s="12"/>
      <c r="GS21" s="12"/>
      <c r="GT21" s="12"/>
      <c r="GU21" s="12"/>
      <c r="GV21" s="12"/>
      <c r="GW21" s="12"/>
      <c r="GX21" s="12"/>
      <c r="GY21" s="12"/>
      <c r="GZ21" s="12"/>
      <c r="HA21" s="12"/>
      <c r="HB21" s="12"/>
      <c r="HC21" s="12"/>
      <c r="HD21" s="12"/>
      <c r="HE21" s="12"/>
      <c r="HF21" s="12"/>
      <c r="HG21" s="12"/>
      <c r="HH21" s="12"/>
      <c r="HI21" s="12"/>
      <c r="HJ21" s="12"/>
      <c r="HK21" s="12"/>
      <c r="HL21" s="12"/>
      <c r="HM21" s="12"/>
      <c r="HN21" s="12"/>
      <c r="HO21" s="12"/>
      <c r="HP21" s="12"/>
      <c r="HQ21" s="12"/>
      <c r="HR21" s="12"/>
      <c r="HS21" s="12"/>
      <c r="HT21" s="12"/>
      <c r="HU21" s="12"/>
      <c r="HV21" s="12"/>
      <c r="HW21" s="12"/>
      <c r="HX21" s="12"/>
      <c r="HY21" s="12"/>
      <c r="HZ21" s="12"/>
      <c r="IA21" s="12"/>
      <c r="IB21" s="12"/>
      <c r="IC21" s="12"/>
      <c r="ID21" s="12"/>
      <c r="IE21" s="12"/>
      <c r="IF21" s="12"/>
      <c r="IG21" s="12"/>
      <c r="IH21" s="12"/>
      <c r="II21" s="12"/>
      <c r="IJ21" s="12"/>
      <c r="IK21" s="12"/>
      <c r="IL21" s="12"/>
      <c r="IM21" s="12"/>
      <c r="IN21" s="12"/>
      <c r="IO21" s="12"/>
      <c r="IP21" s="12"/>
      <c r="IQ21" s="12"/>
      <c r="IR21" s="12"/>
      <c r="IS21" s="12"/>
      <c r="IT21" s="12"/>
      <c r="IU21" s="12"/>
      <c r="IV21" s="12"/>
      <c r="IW21" s="12"/>
    </row>
    <row r="22" customFormat="false" ht="11.25" hidden="false" customHeight="false" outlineLevel="0" collapsed="false">
      <c r="A22" s="25" t="n">
        <f aca="false">DATE(YEAR(A21),MONTH(A21)+1,1)</f>
        <v>46388</v>
      </c>
      <c r="B22" s="21" t="n">
        <v>1.995</v>
      </c>
      <c r="C22" s="21" t="n">
        <v>2</v>
      </c>
      <c r="D22" s="25" t="n">
        <f aca="false">DATE(YEAR(D21),MONTH(D21)+1,1)</f>
        <v>46388</v>
      </c>
      <c r="E22" s="21" t="n">
        <v>18.687</v>
      </c>
      <c r="F22" s="21" t="n">
        <v>18.732</v>
      </c>
      <c r="G22" s="6"/>
      <c r="H22" s="22" t="n">
        <f aca="false">A22</f>
        <v>46388</v>
      </c>
      <c r="I22" s="23" t="n">
        <f aca="false">IF($J$1="bid",B22,C22)</f>
        <v>2</v>
      </c>
      <c r="J22" s="24" t="n">
        <f aca="false">D22</f>
        <v>46388</v>
      </c>
      <c r="K22" s="23" t="n">
        <f aca="false">IF($J$1="bid",E22,F22)</f>
        <v>18.732</v>
      </c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  <c r="AA22" s="11"/>
      <c r="AB22" s="11"/>
      <c r="AC22" s="11"/>
      <c r="AD22" s="11"/>
      <c r="AE22" s="11"/>
      <c r="AF22" s="11"/>
      <c r="AG22" s="11"/>
      <c r="AH22" s="11"/>
      <c r="AI22" s="11"/>
      <c r="AJ22" s="11"/>
      <c r="AK22" s="11"/>
      <c r="AL22" s="11"/>
      <c r="AM22" s="11"/>
      <c r="AN22" s="11"/>
      <c r="AO22" s="11"/>
      <c r="AP22" s="11"/>
      <c r="AQ22" s="11"/>
      <c r="AR22" s="5"/>
      <c r="AS22" s="12"/>
      <c r="AT22" s="12"/>
      <c r="AU22" s="12"/>
      <c r="AV22" s="12"/>
      <c r="AW22" s="12"/>
      <c r="AX22" s="12"/>
      <c r="AY22" s="12"/>
      <c r="AZ22" s="12"/>
      <c r="BA22" s="12"/>
      <c r="BB22" s="12"/>
      <c r="BC22" s="12"/>
      <c r="BD22" s="12"/>
      <c r="BE22" s="12"/>
      <c r="BF22" s="12"/>
      <c r="BG22" s="12"/>
      <c r="BH22" s="12"/>
      <c r="BI22" s="12"/>
      <c r="BJ22" s="12"/>
      <c r="BK22" s="12"/>
      <c r="BL22" s="12"/>
      <c r="BM22" s="12"/>
      <c r="BN22" s="12"/>
      <c r="BO22" s="12"/>
      <c r="BP22" s="12"/>
      <c r="BQ22" s="12"/>
      <c r="BR22" s="12"/>
      <c r="BS22" s="12"/>
      <c r="BT22" s="12"/>
      <c r="BU22" s="12"/>
      <c r="BV22" s="12"/>
      <c r="BW22" s="12"/>
      <c r="BX22" s="12"/>
      <c r="BY22" s="12"/>
      <c r="BZ22" s="12"/>
      <c r="CA22" s="12"/>
      <c r="CB22" s="12"/>
      <c r="CC22" s="12"/>
      <c r="CD22" s="12"/>
      <c r="CE22" s="12"/>
      <c r="CF22" s="12"/>
      <c r="CG22" s="12"/>
      <c r="CH22" s="12"/>
      <c r="CI22" s="12"/>
      <c r="CJ22" s="12"/>
      <c r="CK22" s="12"/>
      <c r="CL22" s="12"/>
      <c r="CM22" s="12"/>
      <c r="CN22" s="12"/>
      <c r="CO22" s="12"/>
      <c r="CP22" s="12"/>
      <c r="CQ22" s="12"/>
      <c r="CR22" s="12"/>
      <c r="CS22" s="12"/>
      <c r="CT22" s="12"/>
      <c r="CU22" s="12"/>
      <c r="CV22" s="12"/>
      <c r="CW22" s="12"/>
      <c r="CX22" s="12"/>
      <c r="CY22" s="12"/>
      <c r="CZ22" s="12"/>
      <c r="DA22" s="12"/>
      <c r="DB22" s="12"/>
      <c r="DC22" s="12"/>
      <c r="DD22" s="12"/>
      <c r="DE22" s="12"/>
      <c r="DF22" s="12"/>
      <c r="DG22" s="12"/>
      <c r="DH22" s="12"/>
      <c r="DI22" s="12"/>
      <c r="DJ22" s="12"/>
      <c r="DK22" s="12"/>
      <c r="DL22" s="12"/>
      <c r="DM22" s="12"/>
      <c r="DN22" s="12"/>
      <c r="DO22" s="12"/>
      <c r="DP22" s="12"/>
      <c r="DQ22" s="12"/>
      <c r="DR22" s="12"/>
      <c r="DS22" s="12"/>
      <c r="DT22" s="12"/>
      <c r="DU22" s="12"/>
      <c r="DV22" s="12"/>
      <c r="DW22" s="12"/>
      <c r="DX22" s="12"/>
      <c r="DY22" s="12"/>
      <c r="DZ22" s="12"/>
      <c r="EA22" s="12"/>
      <c r="EB22" s="12"/>
      <c r="EC22" s="12"/>
      <c r="ED22" s="12"/>
      <c r="EE22" s="12"/>
      <c r="EF22" s="12"/>
      <c r="EG22" s="12"/>
      <c r="EH22" s="12"/>
      <c r="EI22" s="12"/>
      <c r="EJ22" s="12"/>
      <c r="EK22" s="12"/>
      <c r="EL22" s="12"/>
      <c r="EM22" s="12"/>
      <c r="EN22" s="12"/>
      <c r="EO22" s="12"/>
      <c r="EP22" s="12"/>
      <c r="EQ22" s="12"/>
      <c r="ER22" s="12"/>
      <c r="ES22" s="12"/>
      <c r="ET22" s="12"/>
      <c r="EU22" s="12"/>
      <c r="EV22" s="12"/>
      <c r="EW22" s="12"/>
      <c r="EX22" s="12"/>
      <c r="EY22" s="12"/>
      <c r="EZ22" s="12"/>
      <c r="FA22" s="12"/>
      <c r="FB22" s="12"/>
      <c r="FC22" s="12"/>
      <c r="FD22" s="12"/>
      <c r="FE22" s="12"/>
      <c r="FF22" s="12"/>
      <c r="FG22" s="12"/>
      <c r="FH22" s="12"/>
      <c r="FI22" s="12"/>
      <c r="FJ22" s="12"/>
      <c r="FK22" s="12"/>
      <c r="FL22" s="12"/>
      <c r="FM22" s="12"/>
      <c r="FN22" s="12"/>
      <c r="FO22" s="12"/>
      <c r="FP22" s="12"/>
      <c r="FQ22" s="12"/>
      <c r="FR22" s="12"/>
      <c r="FS22" s="12"/>
      <c r="FT22" s="12"/>
      <c r="FU22" s="12"/>
      <c r="FV22" s="12"/>
      <c r="FW22" s="12"/>
      <c r="FX22" s="12"/>
      <c r="FY22" s="12"/>
      <c r="FZ22" s="12"/>
      <c r="GA22" s="12"/>
      <c r="GB22" s="12"/>
      <c r="GC22" s="12"/>
      <c r="GD22" s="12"/>
      <c r="GE22" s="12"/>
      <c r="GF22" s="12"/>
      <c r="GG22" s="12"/>
      <c r="GH22" s="12"/>
      <c r="GI22" s="12"/>
      <c r="GJ22" s="12"/>
      <c r="GK22" s="12"/>
      <c r="GL22" s="12"/>
      <c r="GM22" s="12"/>
      <c r="GN22" s="12"/>
      <c r="GO22" s="12"/>
      <c r="GP22" s="12"/>
      <c r="GQ22" s="12"/>
      <c r="GR22" s="12"/>
      <c r="GS22" s="12"/>
      <c r="GT22" s="12"/>
      <c r="GU22" s="12"/>
      <c r="GV22" s="12"/>
      <c r="GW22" s="12"/>
      <c r="GX22" s="12"/>
      <c r="GY22" s="12"/>
      <c r="GZ22" s="12"/>
      <c r="HA22" s="12"/>
      <c r="HB22" s="12"/>
      <c r="HC22" s="12"/>
      <c r="HD22" s="12"/>
      <c r="HE22" s="12"/>
      <c r="HF22" s="12"/>
      <c r="HG22" s="12"/>
      <c r="HH22" s="12"/>
      <c r="HI22" s="12"/>
      <c r="HJ22" s="12"/>
      <c r="HK22" s="12"/>
      <c r="HL22" s="12"/>
      <c r="HM22" s="12"/>
      <c r="HN22" s="12"/>
      <c r="HO22" s="12"/>
      <c r="HP22" s="12"/>
      <c r="HQ22" s="12"/>
      <c r="HR22" s="12"/>
      <c r="HS22" s="12"/>
      <c r="HT22" s="12"/>
      <c r="HU22" s="12"/>
      <c r="HV22" s="12"/>
      <c r="HW22" s="12"/>
      <c r="HX22" s="12"/>
      <c r="HY22" s="12"/>
      <c r="HZ22" s="12"/>
      <c r="IA22" s="12"/>
      <c r="IB22" s="12"/>
      <c r="IC22" s="12"/>
      <c r="ID22" s="12"/>
      <c r="IE22" s="12"/>
      <c r="IF22" s="12"/>
      <c r="IG22" s="12"/>
      <c r="IH22" s="12"/>
      <c r="II22" s="12"/>
      <c r="IJ22" s="12"/>
      <c r="IK22" s="12"/>
      <c r="IL22" s="12"/>
      <c r="IM22" s="12"/>
      <c r="IN22" s="12"/>
      <c r="IO22" s="12"/>
      <c r="IP22" s="12"/>
      <c r="IQ22" s="12"/>
      <c r="IR22" s="12"/>
      <c r="IS22" s="12"/>
      <c r="IT22" s="12"/>
      <c r="IU22" s="12"/>
      <c r="IV22" s="12"/>
      <c r="IW22" s="12"/>
    </row>
    <row r="23" customFormat="false" ht="11.25" hidden="false" customHeight="false" outlineLevel="0" collapsed="false">
      <c r="A23" s="25" t="n">
        <f aca="false">DATE(YEAR(A22),MONTH(A22)+1,1)</f>
        <v>46419</v>
      </c>
      <c r="B23" s="21" t="n">
        <v>1.965</v>
      </c>
      <c r="C23" s="21" t="n">
        <v>1.97</v>
      </c>
      <c r="D23" s="25" t="n">
        <f aca="false">DATE(YEAR(D22),MONTH(D22)+1,1)</f>
        <v>46419</v>
      </c>
      <c r="E23" s="21" t="n">
        <v>18.565</v>
      </c>
      <c r="F23" s="21" t="n">
        <v>18.61</v>
      </c>
      <c r="G23" s="6"/>
      <c r="H23" s="22" t="n">
        <f aca="false">A23</f>
        <v>46419</v>
      </c>
      <c r="I23" s="23" t="n">
        <f aca="false">IF($J$1="bid",B23,C23)</f>
        <v>1.97</v>
      </c>
      <c r="J23" s="24" t="n">
        <f aca="false">D23</f>
        <v>46419</v>
      </c>
      <c r="K23" s="23" t="n">
        <f aca="false">IF($J$1="bid",E23,F23)</f>
        <v>18.61</v>
      </c>
      <c r="L23" s="10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  <c r="AA23" s="11"/>
      <c r="AB23" s="11"/>
      <c r="AC23" s="11"/>
      <c r="AD23" s="11"/>
      <c r="AE23" s="11"/>
      <c r="AF23" s="11"/>
      <c r="AG23" s="11"/>
      <c r="AH23" s="11"/>
      <c r="AI23" s="11"/>
      <c r="AJ23" s="11"/>
      <c r="AK23" s="11"/>
      <c r="AL23" s="11"/>
      <c r="AM23" s="11"/>
      <c r="AN23" s="11"/>
      <c r="AO23" s="11"/>
      <c r="AP23" s="11"/>
      <c r="AQ23" s="11"/>
      <c r="AR23" s="5"/>
      <c r="AS23" s="12"/>
      <c r="AT23" s="12"/>
      <c r="AU23" s="12"/>
      <c r="AV23" s="12"/>
      <c r="AW23" s="12"/>
      <c r="AX23" s="12"/>
      <c r="AY23" s="12"/>
      <c r="AZ23" s="12"/>
      <c r="BA23" s="12"/>
      <c r="BB23" s="12"/>
      <c r="BC23" s="12"/>
      <c r="BD23" s="12"/>
      <c r="BE23" s="12"/>
      <c r="BF23" s="12"/>
      <c r="BG23" s="12"/>
      <c r="BH23" s="12"/>
      <c r="BI23" s="12"/>
      <c r="BJ23" s="12"/>
      <c r="BK23" s="12"/>
      <c r="BL23" s="12"/>
      <c r="BM23" s="12"/>
      <c r="BN23" s="12"/>
      <c r="BO23" s="12"/>
      <c r="BP23" s="12"/>
      <c r="BQ23" s="12"/>
      <c r="BR23" s="12"/>
      <c r="BS23" s="12"/>
      <c r="BT23" s="12"/>
      <c r="BU23" s="12"/>
      <c r="BV23" s="12"/>
      <c r="BW23" s="12"/>
      <c r="BX23" s="12"/>
      <c r="BY23" s="12"/>
      <c r="BZ23" s="12"/>
      <c r="CA23" s="12"/>
      <c r="CB23" s="12"/>
      <c r="CC23" s="12"/>
      <c r="CD23" s="12"/>
      <c r="CE23" s="12"/>
      <c r="CF23" s="12"/>
      <c r="CG23" s="12"/>
      <c r="CH23" s="12"/>
      <c r="CI23" s="12"/>
      <c r="CJ23" s="12"/>
      <c r="CK23" s="12"/>
      <c r="CL23" s="12"/>
      <c r="CM23" s="12"/>
      <c r="CN23" s="12"/>
      <c r="CO23" s="12"/>
      <c r="CP23" s="12"/>
      <c r="CQ23" s="12"/>
      <c r="CR23" s="12"/>
      <c r="CS23" s="12"/>
      <c r="CT23" s="12"/>
      <c r="CU23" s="12"/>
      <c r="CV23" s="12"/>
      <c r="CW23" s="12"/>
      <c r="CX23" s="12"/>
      <c r="CY23" s="12"/>
      <c r="CZ23" s="12"/>
      <c r="DA23" s="12"/>
      <c r="DB23" s="12"/>
      <c r="DC23" s="12"/>
      <c r="DD23" s="12"/>
      <c r="DE23" s="12"/>
      <c r="DF23" s="12"/>
      <c r="DG23" s="12"/>
      <c r="DH23" s="12"/>
      <c r="DI23" s="12"/>
      <c r="DJ23" s="12"/>
      <c r="DK23" s="12"/>
      <c r="DL23" s="12"/>
      <c r="DM23" s="12"/>
      <c r="DN23" s="12"/>
      <c r="DO23" s="12"/>
      <c r="DP23" s="12"/>
      <c r="DQ23" s="12"/>
      <c r="DR23" s="12"/>
      <c r="DS23" s="12"/>
      <c r="DT23" s="12"/>
      <c r="DU23" s="12"/>
      <c r="DV23" s="12"/>
      <c r="DW23" s="12"/>
      <c r="DX23" s="12"/>
      <c r="DY23" s="12"/>
      <c r="DZ23" s="12"/>
      <c r="EA23" s="12"/>
      <c r="EB23" s="12"/>
      <c r="EC23" s="12"/>
      <c r="ED23" s="12"/>
      <c r="EE23" s="12"/>
      <c r="EF23" s="12"/>
      <c r="EG23" s="12"/>
      <c r="EH23" s="12"/>
      <c r="EI23" s="12"/>
      <c r="EJ23" s="12"/>
      <c r="EK23" s="12"/>
      <c r="EL23" s="12"/>
      <c r="EM23" s="12"/>
      <c r="EN23" s="12"/>
      <c r="EO23" s="12"/>
      <c r="EP23" s="12"/>
      <c r="EQ23" s="12"/>
      <c r="ER23" s="12"/>
      <c r="ES23" s="12"/>
      <c r="ET23" s="12"/>
      <c r="EU23" s="12"/>
      <c r="EV23" s="12"/>
      <c r="EW23" s="12"/>
      <c r="EX23" s="12"/>
      <c r="EY23" s="12"/>
      <c r="EZ23" s="12"/>
      <c r="FA23" s="12"/>
      <c r="FB23" s="12"/>
      <c r="FC23" s="12"/>
      <c r="FD23" s="12"/>
      <c r="FE23" s="12"/>
      <c r="FF23" s="12"/>
      <c r="FG23" s="12"/>
      <c r="FH23" s="12"/>
      <c r="FI23" s="12"/>
      <c r="FJ23" s="12"/>
      <c r="FK23" s="12"/>
      <c r="FL23" s="12"/>
      <c r="FM23" s="12"/>
      <c r="FN23" s="12"/>
      <c r="FO23" s="12"/>
      <c r="FP23" s="12"/>
      <c r="FQ23" s="12"/>
      <c r="FR23" s="12"/>
      <c r="FS23" s="12"/>
      <c r="FT23" s="12"/>
      <c r="FU23" s="12"/>
      <c r="FV23" s="12"/>
      <c r="FW23" s="12"/>
      <c r="FX23" s="12"/>
      <c r="FY23" s="12"/>
      <c r="FZ23" s="12"/>
      <c r="GA23" s="12"/>
      <c r="GB23" s="12"/>
      <c r="GC23" s="12"/>
      <c r="GD23" s="12"/>
      <c r="GE23" s="12"/>
      <c r="GF23" s="12"/>
      <c r="GG23" s="12"/>
      <c r="GH23" s="12"/>
      <c r="GI23" s="12"/>
      <c r="GJ23" s="12"/>
      <c r="GK23" s="12"/>
      <c r="GL23" s="12"/>
      <c r="GM23" s="12"/>
      <c r="GN23" s="12"/>
      <c r="GO23" s="12"/>
      <c r="GP23" s="12"/>
      <c r="GQ23" s="12"/>
      <c r="GR23" s="12"/>
      <c r="GS23" s="12"/>
      <c r="GT23" s="12"/>
      <c r="GU23" s="12"/>
      <c r="GV23" s="12"/>
      <c r="GW23" s="12"/>
      <c r="GX23" s="12"/>
      <c r="GY23" s="12"/>
      <c r="GZ23" s="12"/>
      <c r="HA23" s="12"/>
      <c r="HB23" s="12"/>
      <c r="HC23" s="12"/>
      <c r="HD23" s="12"/>
      <c r="HE23" s="12"/>
      <c r="HF23" s="12"/>
      <c r="HG23" s="12"/>
      <c r="HH23" s="12"/>
      <c r="HI23" s="12"/>
      <c r="HJ23" s="12"/>
      <c r="HK23" s="12"/>
      <c r="HL23" s="12"/>
      <c r="HM23" s="12"/>
      <c r="HN23" s="12"/>
      <c r="HO23" s="12"/>
      <c r="HP23" s="12"/>
      <c r="HQ23" s="12"/>
      <c r="HR23" s="12"/>
      <c r="HS23" s="12"/>
      <c r="HT23" s="12"/>
      <c r="HU23" s="12"/>
      <c r="HV23" s="12"/>
      <c r="HW23" s="12"/>
      <c r="HX23" s="12"/>
      <c r="HY23" s="12"/>
      <c r="HZ23" s="12"/>
      <c r="IA23" s="12"/>
      <c r="IB23" s="12"/>
      <c r="IC23" s="12"/>
      <c r="ID23" s="12"/>
      <c r="IE23" s="12"/>
      <c r="IF23" s="12"/>
      <c r="IG23" s="12"/>
      <c r="IH23" s="12"/>
      <c r="II23" s="12"/>
      <c r="IJ23" s="12"/>
      <c r="IK23" s="12"/>
      <c r="IL23" s="12"/>
      <c r="IM23" s="12"/>
      <c r="IN23" s="12"/>
      <c r="IO23" s="12"/>
      <c r="IP23" s="12"/>
      <c r="IQ23" s="12"/>
      <c r="IR23" s="12"/>
      <c r="IS23" s="12"/>
      <c r="IT23" s="12"/>
      <c r="IU23" s="12"/>
      <c r="IV23" s="12"/>
      <c r="IW23" s="12"/>
    </row>
    <row r="24" customFormat="false" ht="11.25" hidden="false" customHeight="false" outlineLevel="0" collapsed="false">
      <c r="A24" s="25" t="n">
        <f aca="false">DATE(YEAR(A23),MONTH(A23)+1,1)</f>
        <v>46447</v>
      </c>
      <c r="B24" s="21" t="n">
        <v>1.965</v>
      </c>
      <c r="C24" s="21" t="n">
        <v>1.97</v>
      </c>
      <c r="D24" s="25" t="n">
        <f aca="false">DATE(YEAR(D23),MONTH(D23)+1,1)</f>
        <v>46447</v>
      </c>
      <c r="E24" s="21" t="n">
        <v>18.468</v>
      </c>
      <c r="F24" s="21" t="n">
        <v>18.513</v>
      </c>
      <c r="G24" s="6"/>
      <c r="H24" s="22" t="n">
        <f aca="false">A24</f>
        <v>46447</v>
      </c>
      <c r="I24" s="23" t="n">
        <f aca="false">IF($J$1="bid",B24,C24)</f>
        <v>1.97</v>
      </c>
      <c r="J24" s="24" t="n">
        <f aca="false">D24</f>
        <v>46447</v>
      </c>
      <c r="K24" s="23" t="n">
        <f aca="false">IF($J$1="bid",E24,F24)</f>
        <v>18.513</v>
      </c>
      <c r="L24" s="11"/>
      <c r="M24" s="11"/>
      <c r="N24" s="28" t="n">
        <f aca="false">YEAR(J6)</f>
        <v>2025</v>
      </c>
      <c r="O24" s="28" t="n">
        <f aca="false">1+N24</f>
        <v>2026</v>
      </c>
      <c r="P24" s="28" t="n">
        <f aca="false">1+O24</f>
        <v>2027</v>
      </c>
      <c r="Q24" s="28" t="n">
        <f aca="false">1+P24</f>
        <v>2028</v>
      </c>
      <c r="R24" s="28" t="n">
        <f aca="false">1+Q24</f>
        <v>2029</v>
      </c>
      <c r="S24" s="28" t="n">
        <f aca="false">1+R24</f>
        <v>2030</v>
      </c>
      <c r="T24" s="28" t="n">
        <f aca="false">1+S24</f>
        <v>2031</v>
      </c>
      <c r="U24" s="28" t="n">
        <f aca="false">1+T24</f>
        <v>2032</v>
      </c>
      <c r="V24" s="28" t="n">
        <f aca="false">1+U24</f>
        <v>2033</v>
      </c>
      <c r="W24" s="28" t="n">
        <f aca="false">1+V24</f>
        <v>2034</v>
      </c>
      <c r="X24" s="28" t="n">
        <f aca="false">1+W24</f>
        <v>2035</v>
      </c>
      <c r="Y24" s="28" t="n">
        <f aca="false">1+X24</f>
        <v>2036</v>
      </c>
      <c r="Z24" s="28" t="n">
        <f aca="false">1+Y24</f>
        <v>2037</v>
      </c>
      <c r="AA24" s="28" t="n">
        <f aca="false">1+Z24</f>
        <v>2038</v>
      </c>
      <c r="AB24" s="28" t="n">
        <f aca="false">1+AA24</f>
        <v>2039</v>
      </c>
      <c r="AC24" s="28" t="n">
        <f aca="false">1+AB24</f>
        <v>2040</v>
      </c>
      <c r="AD24" s="28" t="n">
        <f aca="false">1+AC24</f>
        <v>2041</v>
      </c>
      <c r="AE24" s="28" t="n">
        <f aca="false">1+AD24</f>
        <v>2042</v>
      </c>
      <c r="AF24" s="28" t="n">
        <f aca="false">1+AE24</f>
        <v>2043</v>
      </c>
      <c r="AG24" s="28" t="n">
        <f aca="false">1+AF24</f>
        <v>2044</v>
      </c>
      <c r="AH24" s="28" t="n">
        <f aca="false">1+AG24</f>
        <v>2045</v>
      </c>
      <c r="AI24" s="28" t="n">
        <f aca="false">1+AH24</f>
        <v>2046</v>
      </c>
      <c r="AJ24" s="28" t="n">
        <f aca="false">1+AI24</f>
        <v>2047</v>
      </c>
      <c r="AK24" s="28" t="n">
        <f aca="false">1+AJ24</f>
        <v>2048</v>
      </c>
      <c r="AL24" s="28" t="n">
        <f aca="false">1+AK24</f>
        <v>2049</v>
      </c>
      <c r="AM24" s="27" t="n">
        <f aca="false">1+AL24</f>
        <v>2050</v>
      </c>
      <c r="AN24" s="27" t="n">
        <f aca="false">1+AM24</f>
        <v>2051</v>
      </c>
      <c r="AO24" s="27" t="n">
        <f aca="false">1+AN24</f>
        <v>2052</v>
      </c>
      <c r="AP24" s="27" t="n">
        <f aca="false">1+AO24</f>
        <v>2053</v>
      </c>
      <c r="AQ24" s="27" t="s">
        <v>10</v>
      </c>
      <c r="AR24" s="5"/>
      <c r="AS24" s="12"/>
      <c r="AT24" s="12"/>
      <c r="AU24" s="12"/>
      <c r="AV24" s="12"/>
      <c r="AW24" s="12"/>
      <c r="AX24" s="12"/>
      <c r="AY24" s="12"/>
      <c r="AZ24" s="12"/>
      <c r="BA24" s="12"/>
      <c r="BB24" s="12"/>
      <c r="BC24" s="12"/>
      <c r="BD24" s="12"/>
      <c r="BE24" s="12"/>
      <c r="BF24" s="12"/>
      <c r="BG24" s="12"/>
      <c r="BH24" s="12"/>
      <c r="BI24" s="12"/>
      <c r="BJ24" s="12"/>
      <c r="BK24" s="12"/>
      <c r="BL24" s="12"/>
      <c r="BM24" s="12"/>
      <c r="BN24" s="12"/>
      <c r="BO24" s="12"/>
      <c r="BP24" s="12"/>
      <c r="BQ24" s="12"/>
      <c r="BR24" s="12"/>
      <c r="BS24" s="12"/>
      <c r="BT24" s="12"/>
      <c r="BU24" s="12"/>
      <c r="BV24" s="12"/>
      <c r="BW24" s="12"/>
      <c r="BX24" s="12"/>
      <c r="BY24" s="12"/>
      <c r="BZ24" s="12"/>
      <c r="CA24" s="12"/>
      <c r="CB24" s="12"/>
      <c r="CC24" s="12"/>
      <c r="CD24" s="12"/>
      <c r="CE24" s="12"/>
      <c r="CF24" s="12"/>
      <c r="CG24" s="12"/>
      <c r="CH24" s="12"/>
      <c r="CI24" s="12"/>
      <c r="CJ24" s="12"/>
      <c r="CK24" s="12"/>
      <c r="CL24" s="12"/>
      <c r="CM24" s="12"/>
      <c r="CN24" s="12"/>
      <c r="CO24" s="12"/>
      <c r="CP24" s="12"/>
      <c r="CQ24" s="12"/>
      <c r="CR24" s="12"/>
      <c r="CS24" s="12"/>
      <c r="CT24" s="12"/>
      <c r="CU24" s="12"/>
      <c r="CV24" s="12"/>
      <c r="CW24" s="12"/>
      <c r="CX24" s="12"/>
      <c r="CY24" s="12"/>
      <c r="CZ24" s="12"/>
      <c r="DA24" s="12"/>
      <c r="DB24" s="12"/>
      <c r="DC24" s="12"/>
      <c r="DD24" s="12"/>
      <c r="DE24" s="12"/>
      <c r="DF24" s="12"/>
      <c r="DG24" s="12"/>
      <c r="DH24" s="12"/>
      <c r="DI24" s="12"/>
      <c r="DJ24" s="12"/>
      <c r="DK24" s="12"/>
      <c r="DL24" s="12"/>
      <c r="DM24" s="12"/>
      <c r="DN24" s="12"/>
      <c r="DO24" s="12"/>
      <c r="DP24" s="12"/>
      <c r="DQ24" s="12"/>
      <c r="DR24" s="12"/>
      <c r="DS24" s="12"/>
      <c r="DT24" s="12"/>
      <c r="DU24" s="12"/>
      <c r="DV24" s="12"/>
      <c r="DW24" s="12"/>
      <c r="DX24" s="12"/>
      <c r="DY24" s="12"/>
      <c r="DZ24" s="12"/>
      <c r="EA24" s="12"/>
      <c r="EB24" s="12"/>
      <c r="EC24" s="12"/>
      <c r="ED24" s="12"/>
      <c r="EE24" s="12"/>
      <c r="EF24" s="12"/>
      <c r="EG24" s="12"/>
      <c r="EH24" s="12"/>
      <c r="EI24" s="12"/>
      <c r="EJ24" s="12"/>
      <c r="EK24" s="12"/>
      <c r="EL24" s="12"/>
      <c r="EM24" s="12"/>
      <c r="EN24" s="12"/>
      <c r="EO24" s="12"/>
      <c r="EP24" s="12"/>
      <c r="EQ24" s="12"/>
      <c r="ER24" s="12"/>
      <c r="ES24" s="12"/>
      <c r="ET24" s="12"/>
      <c r="EU24" s="12"/>
      <c r="EV24" s="12"/>
      <c r="EW24" s="12"/>
      <c r="EX24" s="12"/>
      <c r="EY24" s="12"/>
      <c r="EZ24" s="12"/>
      <c r="FA24" s="12"/>
      <c r="FB24" s="12"/>
      <c r="FC24" s="12"/>
      <c r="FD24" s="12"/>
      <c r="FE24" s="12"/>
      <c r="FF24" s="12"/>
      <c r="FG24" s="12"/>
      <c r="FH24" s="12"/>
      <c r="FI24" s="12"/>
      <c r="FJ24" s="12"/>
      <c r="FK24" s="12"/>
      <c r="FL24" s="12"/>
      <c r="FM24" s="12"/>
      <c r="FN24" s="12"/>
      <c r="FO24" s="12"/>
      <c r="FP24" s="12"/>
      <c r="FQ24" s="12"/>
      <c r="FR24" s="12"/>
      <c r="FS24" s="12"/>
      <c r="FT24" s="12"/>
      <c r="FU24" s="12"/>
      <c r="FV24" s="12"/>
      <c r="FW24" s="12"/>
      <c r="FX24" s="12"/>
      <c r="FY24" s="12"/>
      <c r="FZ24" s="12"/>
      <c r="GA24" s="12"/>
      <c r="GB24" s="12"/>
      <c r="GC24" s="12"/>
      <c r="GD24" s="12"/>
      <c r="GE24" s="12"/>
      <c r="GF24" s="12"/>
      <c r="GG24" s="12"/>
      <c r="GH24" s="12"/>
      <c r="GI24" s="12"/>
      <c r="GJ24" s="12"/>
      <c r="GK24" s="12"/>
      <c r="GL24" s="12"/>
      <c r="GM24" s="12"/>
      <c r="GN24" s="12"/>
      <c r="GO24" s="12"/>
      <c r="GP24" s="12"/>
      <c r="GQ24" s="12"/>
      <c r="GR24" s="12"/>
      <c r="GS24" s="12"/>
      <c r="GT24" s="12"/>
      <c r="GU24" s="12"/>
      <c r="GV24" s="12"/>
      <c r="GW24" s="12"/>
      <c r="GX24" s="12"/>
      <c r="GY24" s="12"/>
      <c r="GZ24" s="12"/>
      <c r="HA24" s="12"/>
      <c r="HB24" s="12"/>
      <c r="HC24" s="12"/>
      <c r="HD24" s="12"/>
      <c r="HE24" s="12"/>
      <c r="HF24" s="12"/>
      <c r="HG24" s="12"/>
      <c r="HH24" s="12"/>
      <c r="HI24" s="12"/>
      <c r="HJ24" s="12"/>
      <c r="HK24" s="12"/>
      <c r="HL24" s="12"/>
      <c r="HM24" s="12"/>
      <c r="HN24" s="12"/>
      <c r="HO24" s="12"/>
      <c r="HP24" s="12"/>
      <c r="HQ24" s="12"/>
      <c r="HR24" s="12"/>
      <c r="HS24" s="12"/>
      <c r="HT24" s="12"/>
      <c r="HU24" s="12"/>
      <c r="HV24" s="12"/>
      <c r="HW24" s="12"/>
      <c r="HX24" s="12"/>
      <c r="HY24" s="12"/>
      <c r="HZ24" s="12"/>
      <c r="IA24" s="12"/>
      <c r="IB24" s="12"/>
      <c r="IC24" s="12"/>
      <c r="ID24" s="12"/>
      <c r="IE24" s="12"/>
      <c r="IF24" s="12"/>
      <c r="IG24" s="12"/>
      <c r="IH24" s="12"/>
      <c r="II24" s="12"/>
      <c r="IJ24" s="12"/>
      <c r="IK24" s="12"/>
      <c r="IL24" s="12"/>
      <c r="IM24" s="12"/>
      <c r="IN24" s="12"/>
      <c r="IO24" s="12"/>
      <c r="IP24" s="12"/>
      <c r="IQ24" s="12"/>
      <c r="IR24" s="12"/>
      <c r="IS24" s="12"/>
      <c r="IT24" s="12"/>
      <c r="IU24" s="12"/>
      <c r="IV24" s="12"/>
      <c r="IW24" s="12"/>
    </row>
    <row r="25" customFormat="false" ht="11.25" hidden="false" customHeight="false" outlineLevel="0" collapsed="false">
      <c r="A25" s="25" t="n">
        <f aca="false">DATE(YEAR(A24),MONTH(A24)+1,1)</f>
        <v>46478</v>
      </c>
      <c r="B25" s="21" t="n">
        <v>1.965</v>
      </c>
      <c r="C25" s="21" t="n">
        <v>1.97</v>
      </c>
      <c r="D25" s="25" t="n">
        <f aca="false">DATE(YEAR(D24),MONTH(D24)+1,1)</f>
        <v>46478</v>
      </c>
      <c r="E25" s="21" t="n">
        <v>18.399</v>
      </c>
      <c r="F25" s="21" t="n">
        <v>18.444</v>
      </c>
      <c r="G25" s="6"/>
      <c r="H25" s="22" t="n">
        <f aca="false">A25</f>
        <v>46478</v>
      </c>
      <c r="I25" s="23" t="n">
        <f aca="false">IF($J$1="bid",B25,C25)</f>
        <v>1.97</v>
      </c>
      <c r="J25" s="24" t="n">
        <f aca="false">D25</f>
        <v>46478</v>
      </c>
      <c r="K25" s="23" t="n">
        <f aca="false">IF($J$1="bid",E25,F25)</f>
        <v>18.444</v>
      </c>
      <c r="L25" s="11"/>
      <c r="M25" s="11" t="n">
        <v>1</v>
      </c>
      <c r="N25" s="29" t="n">
        <f aca="false">IF(MONTH($D$6)&gt;M25,0,IF(MONTH($D$6)=M25,+K$6,LOOKUP(DATE(N$24-1900,$M25,1),$J$6:$J$296,$K$6:$K$296)))</f>
        <v>0</v>
      </c>
      <c r="O25" s="29" t="e">
        <f aca="false">LOOKUP(DATE(N$24-1900+1,$M25,1),$J$6:$J$260,$K$6:$K$260)</f>
        <v>#VALUE!</v>
      </c>
      <c r="P25" s="29" t="e">
        <f aca="false">LOOKUP(DATE(O$24-1900+1,$M25,1),$J$6:$J$260,$K$6:$K$260)</f>
        <v>#VALUE!</v>
      </c>
      <c r="Q25" s="29" t="e">
        <f aca="false">LOOKUP(DATE(P$24-1900+1,$M25,1),$J$6:$J$260,$K$6:$K$260)</f>
        <v>#VALUE!</v>
      </c>
      <c r="R25" s="29" t="e">
        <f aca="false">LOOKUP(DATE(Q$24-1900+1,$M25,1),$J$6:$J$260,$K$6:$K$260)</f>
        <v>#VALUE!</v>
      </c>
      <c r="S25" s="29" t="e">
        <f aca="false">LOOKUP(DATE(R$24-1900+1,$M25,1),$J$6:$J$260,$K$6:$K$260)</f>
        <v>#VALUE!</v>
      </c>
      <c r="T25" s="29" t="e">
        <f aca="false">LOOKUP(DATE(S$24-1900+1,$M25,1),$J$6:$J$260,$K$6:$K$260)</f>
        <v>#VALUE!</v>
      </c>
      <c r="U25" s="29" t="e">
        <f aca="false">LOOKUP(DATE(T$24-1900+1,$M25,1),$J$6:$J$260,$K$6:$K$260)</f>
        <v>#VALUE!</v>
      </c>
      <c r="V25" s="29" t="e">
        <f aca="false">LOOKUP(DATE(U$24-1900+1,$M25,1),$J$6:$J$260,$K$6:$K$260)</f>
        <v>#VALUE!</v>
      </c>
      <c r="W25" s="29" t="e">
        <f aca="false">LOOKUP(DATE(V$24-1900+1,$M25,1),$J$6:$J$260,$K$6:$K$260)</f>
        <v>#VALUE!</v>
      </c>
      <c r="X25" s="29" t="e">
        <f aca="false">LOOKUP(DATE(W$24-1900+1,$M25,1),$J$6:$J$260,$K$6:$K$260)</f>
        <v>#VALUE!</v>
      </c>
      <c r="Y25" s="29" t="e">
        <f aca="false">LOOKUP(DATE(X$24-1900+1,$M25,1),$J$6:$J$260,$K$6:$K$260)</f>
        <v>#VALUE!</v>
      </c>
      <c r="Z25" s="29" t="e">
        <f aca="false">LOOKUP(DATE(Y$24-1900+1,$M25,1),$J$6:$J$260,$K$6:$K$260)</f>
        <v>#VALUE!</v>
      </c>
      <c r="AA25" s="29" t="e">
        <f aca="false">LOOKUP(DATE(Z$24-1900+1,$M25,1),$J$6:$J$260,$K$6:$K$260)</f>
        <v>#VALUE!</v>
      </c>
      <c r="AB25" s="29" t="e">
        <f aca="false">LOOKUP(DATE(AA$24-1900+1,$M25,1),$J$6:$J$260,$K$6:$K$260)</f>
        <v>#VALUE!</v>
      </c>
      <c r="AC25" s="29" t="e">
        <f aca="false">LOOKUP(DATE(AB$24-1900+1,$M25,1),$J$6:$J$260,$K$6:$K$260)</f>
        <v>#VALUE!</v>
      </c>
      <c r="AD25" s="29" t="e">
        <f aca="false">LOOKUP(DATE(AC$24-1900+1,$M25,1),$J$6:$J$260,$K$6:$K$260)</f>
        <v>#VALUE!</v>
      </c>
      <c r="AE25" s="29" t="e">
        <f aca="false">LOOKUP(DATE(AD$24-1900+1,$M25,1),$J$6:$J$260,$K$6:$K$260)</f>
        <v>#VALUE!</v>
      </c>
      <c r="AF25" s="29" t="e">
        <f aca="false">LOOKUP(DATE(AE$24-1900+1,$M25,1),$J$6:$J$260,$K$6:$K$260)</f>
        <v>#VALUE!</v>
      </c>
      <c r="AG25" s="29" t="e">
        <f aca="false">LOOKUP(DATE(AF$24-1900+1,$M25,1),$J$6:$J$260,$K$6:$K$260)</f>
        <v>#VALUE!</v>
      </c>
      <c r="AH25" s="29" t="e">
        <f aca="false">LOOKUP(DATE(AG$24-1900+1,$M25,1),$J$6:$J$260,$K$6:$K$260)</f>
        <v>#VALUE!</v>
      </c>
      <c r="AI25" s="29"/>
      <c r="AJ25" s="11"/>
      <c r="AK25" s="11"/>
      <c r="AL25" s="11"/>
      <c r="AM25" s="11"/>
      <c r="AN25" s="11"/>
      <c r="AO25" s="11"/>
      <c r="AP25" s="11"/>
      <c r="AQ25" s="11"/>
      <c r="AR25" s="5"/>
      <c r="AS25" s="12"/>
      <c r="AT25" s="12"/>
      <c r="AU25" s="12"/>
      <c r="AV25" s="12"/>
      <c r="AW25" s="12"/>
      <c r="AX25" s="12"/>
      <c r="AY25" s="12"/>
      <c r="AZ25" s="12"/>
      <c r="BA25" s="12"/>
      <c r="BB25" s="12"/>
      <c r="BC25" s="12"/>
      <c r="BD25" s="12"/>
      <c r="BE25" s="12"/>
      <c r="BF25" s="12"/>
      <c r="BG25" s="12"/>
      <c r="BH25" s="12"/>
      <c r="BI25" s="12"/>
      <c r="BJ25" s="12"/>
      <c r="BK25" s="12"/>
      <c r="BL25" s="12"/>
      <c r="BM25" s="12"/>
      <c r="BN25" s="12"/>
      <c r="BO25" s="12"/>
      <c r="BP25" s="12"/>
      <c r="BQ25" s="12"/>
      <c r="BR25" s="12"/>
      <c r="BS25" s="12"/>
      <c r="BT25" s="12"/>
      <c r="BU25" s="12"/>
      <c r="BV25" s="12"/>
      <c r="BW25" s="12"/>
      <c r="BX25" s="12"/>
      <c r="BY25" s="12"/>
      <c r="BZ25" s="12"/>
      <c r="CA25" s="12"/>
      <c r="CB25" s="12"/>
      <c r="CC25" s="12"/>
      <c r="CD25" s="12"/>
      <c r="CE25" s="12"/>
      <c r="CF25" s="12"/>
      <c r="CG25" s="12"/>
      <c r="CH25" s="12"/>
      <c r="CI25" s="12"/>
      <c r="CJ25" s="12"/>
      <c r="CK25" s="12"/>
      <c r="CL25" s="12"/>
      <c r="CM25" s="12"/>
      <c r="CN25" s="12"/>
      <c r="CO25" s="12"/>
      <c r="CP25" s="12"/>
      <c r="CQ25" s="12"/>
      <c r="CR25" s="12"/>
      <c r="CS25" s="12"/>
      <c r="CT25" s="12"/>
      <c r="CU25" s="12"/>
      <c r="CV25" s="12"/>
      <c r="CW25" s="12"/>
      <c r="CX25" s="12"/>
      <c r="CY25" s="12"/>
      <c r="CZ25" s="12"/>
      <c r="DA25" s="12"/>
      <c r="DB25" s="12"/>
      <c r="DC25" s="12"/>
      <c r="DD25" s="12"/>
      <c r="DE25" s="12"/>
      <c r="DF25" s="12"/>
      <c r="DG25" s="12"/>
      <c r="DH25" s="12"/>
      <c r="DI25" s="12"/>
      <c r="DJ25" s="12"/>
      <c r="DK25" s="12"/>
      <c r="DL25" s="12"/>
      <c r="DM25" s="12"/>
      <c r="DN25" s="12"/>
      <c r="DO25" s="12"/>
      <c r="DP25" s="12"/>
      <c r="DQ25" s="12"/>
      <c r="DR25" s="12"/>
      <c r="DS25" s="12"/>
      <c r="DT25" s="12"/>
      <c r="DU25" s="12"/>
      <c r="DV25" s="12"/>
      <c r="DW25" s="12"/>
      <c r="DX25" s="12"/>
      <c r="DY25" s="12"/>
      <c r="DZ25" s="12"/>
      <c r="EA25" s="12"/>
      <c r="EB25" s="12"/>
      <c r="EC25" s="12"/>
      <c r="ED25" s="12"/>
      <c r="EE25" s="12"/>
      <c r="EF25" s="12"/>
      <c r="EG25" s="12"/>
      <c r="EH25" s="12"/>
      <c r="EI25" s="12"/>
      <c r="EJ25" s="12"/>
      <c r="EK25" s="12"/>
      <c r="EL25" s="12"/>
      <c r="EM25" s="12"/>
      <c r="EN25" s="12"/>
      <c r="EO25" s="12"/>
      <c r="EP25" s="12"/>
      <c r="EQ25" s="12"/>
      <c r="ER25" s="12"/>
      <c r="ES25" s="12"/>
      <c r="ET25" s="12"/>
      <c r="EU25" s="12"/>
      <c r="EV25" s="12"/>
      <c r="EW25" s="12"/>
      <c r="EX25" s="12"/>
      <c r="EY25" s="12"/>
      <c r="EZ25" s="12"/>
      <c r="FA25" s="12"/>
      <c r="FB25" s="12"/>
      <c r="FC25" s="12"/>
      <c r="FD25" s="12"/>
      <c r="FE25" s="12"/>
      <c r="FF25" s="12"/>
      <c r="FG25" s="12"/>
      <c r="FH25" s="12"/>
      <c r="FI25" s="12"/>
      <c r="FJ25" s="12"/>
      <c r="FK25" s="12"/>
      <c r="FL25" s="12"/>
      <c r="FM25" s="12"/>
      <c r="FN25" s="12"/>
      <c r="FO25" s="12"/>
      <c r="FP25" s="12"/>
      <c r="FQ25" s="12"/>
      <c r="FR25" s="12"/>
      <c r="FS25" s="12"/>
      <c r="FT25" s="12"/>
      <c r="FU25" s="12"/>
      <c r="FV25" s="12"/>
      <c r="FW25" s="12"/>
      <c r="FX25" s="12"/>
      <c r="FY25" s="12"/>
      <c r="FZ25" s="12"/>
      <c r="GA25" s="12"/>
      <c r="GB25" s="12"/>
      <c r="GC25" s="12"/>
      <c r="GD25" s="12"/>
      <c r="GE25" s="12"/>
      <c r="GF25" s="12"/>
      <c r="GG25" s="12"/>
      <c r="GH25" s="12"/>
      <c r="GI25" s="12"/>
      <c r="GJ25" s="12"/>
      <c r="GK25" s="12"/>
      <c r="GL25" s="12"/>
      <c r="GM25" s="12"/>
      <c r="GN25" s="12"/>
      <c r="GO25" s="12"/>
      <c r="GP25" s="12"/>
      <c r="GQ25" s="12"/>
      <c r="GR25" s="12"/>
      <c r="GS25" s="12"/>
      <c r="GT25" s="12"/>
      <c r="GU25" s="12"/>
      <c r="GV25" s="12"/>
      <c r="GW25" s="12"/>
      <c r="GX25" s="12"/>
      <c r="GY25" s="12"/>
      <c r="GZ25" s="12"/>
      <c r="HA25" s="12"/>
      <c r="HB25" s="12"/>
      <c r="HC25" s="12"/>
      <c r="HD25" s="12"/>
      <c r="HE25" s="12"/>
      <c r="HF25" s="12"/>
      <c r="HG25" s="12"/>
      <c r="HH25" s="12"/>
      <c r="HI25" s="12"/>
      <c r="HJ25" s="12"/>
      <c r="HK25" s="12"/>
      <c r="HL25" s="12"/>
      <c r="HM25" s="12"/>
      <c r="HN25" s="12"/>
      <c r="HO25" s="12"/>
      <c r="HP25" s="12"/>
      <c r="HQ25" s="12"/>
      <c r="HR25" s="12"/>
      <c r="HS25" s="12"/>
      <c r="HT25" s="12"/>
      <c r="HU25" s="12"/>
      <c r="HV25" s="12"/>
      <c r="HW25" s="12"/>
      <c r="HX25" s="12"/>
      <c r="HY25" s="12"/>
      <c r="HZ25" s="12"/>
      <c r="IA25" s="12"/>
      <c r="IB25" s="12"/>
      <c r="IC25" s="12"/>
      <c r="ID25" s="12"/>
      <c r="IE25" s="12"/>
      <c r="IF25" s="12"/>
      <c r="IG25" s="12"/>
      <c r="IH25" s="12"/>
      <c r="II25" s="12"/>
      <c r="IJ25" s="12"/>
      <c r="IK25" s="12"/>
      <c r="IL25" s="12"/>
      <c r="IM25" s="12"/>
      <c r="IN25" s="12"/>
      <c r="IO25" s="12"/>
      <c r="IP25" s="12"/>
      <c r="IQ25" s="12"/>
      <c r="IR25" s="12"/>
      <c r="IS25" s="12"/>
      <c r="IT25" s="12"/>
      <c r="IU25" s="12"/>
      <c r="IV25" s="12"/>
      <c r="IW25" s="12"/>
    </row>
    <row r="26" customFormat="false" ht="11.25" hidden="false" customHeight="false" outlineLevel="0" collapsed="false">
      <c r="A26" s="30" t="n">
        <f aca="false">DATE(YEAR(A25),MONTH(A25)+1,1)</f>
        <v>46508</v>
      </c>
      <c r="B26" s="21" t="n">
        <v>1.965</v>
      </c>
      <c r="C26" s="21" t="n">
        <v>1.97</v>
      </c>
      <c r="D26" s="30" t="n">
        <f aca="false">DATE(YEAR(D25),MONTH(D25)+1,1)</f>
        <v>46508</v>
      </c>
      <c r="E26" s="21" t="n">
        <v>18.339</v>
      </c>
      <c r="F26" s="21" t="n">
        <v>18.384</v>
      </c>
      <c r="G26" s="6"/>
      <c r="H26" s="22" t="n">
        <f aca="false">A26</f>
        <v>46508</v>
      </c>
      <c r="I26" s="23" t="n">
        <f aca="false">IF($J$1="bid",B26,C26)</f>
        <v>1.97</v>
      </c>
      <c r="J26" s="24" t="n">
        <f aca="false">D26</f>
        <v>46508</v>
      </c>
      <c r="K26" s="23" t="n">
        <f aca="false">IF($J$1="bid",E26,F26)</f>
        <v>18.384</v>
      </c>
      <c r="L26" s="11"/>
      <c r="M26" s="11" t="n">
        <v>2</v>
      </c>
      <c r="N26" s="29" t="n">
        <f aca="false">IF(MONTH($D$6)&gt;M26,0,IF(MONTH($D$6)=M26,+K$6,LOOKUP(DATE(N$24-1900,$M26,1),$J$6:$J$296,$K$6:$K$296)))</f>
        <v>0</v>
      </c>
      <c r="O26" s="29" t="e">
        <f aca="false">LOOKUP(DATE(N$24-1900+1,$M26,1),$J$6:$J$260,$K$6:$K$260)</f>
        <v>#VALUE!</v>
      </c>
      <c r="P26" s="29" t="e">
        <f aca="false">LOOKUP(DATE(O$24-1900+1,$M26,1),$J$6:$J$260,$K$6:$K$260)</f>
        <v>#VALUE!</v>
      </c>
      <c r="Q26" s="29" t="e">
        <f aca="false">LOOKUP(DATE(P$24-1900+1,$M26,1),$J$6:$J$260,$K$6:$K$260)</f>
        <v>#VALUE!</v>
      </c>
      <c r="R26" s="29" t="e">
        <f aca="false">LOOKUP(DATE(Q$24-1900+1,$M26,1),$J$6:$J$260,$K$6:$K$260)</f>
        <v>#VALUE!</v>
      </c>
      <c r="S26" s="29" t="e">
        <f aca="false">LOOKUP(DATE(R$24-1900+1,$M26,1),$J$6:$J$260,$K$6:$K$260)</f>
        <v>#VALUE!</v>
      </c>
      <c r="T26" s="29" t="e">
        <f aca="false">LOOKUP(DATE(S$24-1900+1,$M26,1),$J$6:$J$260,$K$6:$K$260)</f>
        <v>#VALUE!</v>
      </c>
      <c r="U26" s="29" t="e">
        <f aca="false">LOOKUP(DATE(T$24-1900+1,$M26,1),$J$6:$J$260,$K$6:$K$260)</f>
        <v>#VALUE!</v>
      </c>
      <c r="V26" s="29" t="e">
        <f aca="false">LOOKUP(DATE(U$24-1900+1,$M26,1),$J$6:$J$260,$K$6:$K$260)</f>
        <v>#VALUE!</v>
      </c>
      <c r="W26" s="29" t="e">
        <f aca="false">LOOKUP(DATE(V$24-1900+1,$M26,1),$J$6:$J$260,$K$6:$K$260)</f>
        <v>#VALUE!</v>
      </c>
      <c r="X26" s="29" t="e">
        <f aca="false">LOOKUP(DATE(W$24-1900+1,$M26,1),$J$6:$J$260,$K$6:$K$260)</f>
        <v>#VALUE!</v>
      </c>
      <c r="Y26" s="29" t="e">
        <f aca="false">LOOKUP(DATE(X$24-1900+1,$M26,1),$J$6:$J$260,$K$6:$K$260)</f>
        <v>#VALUE!</v>
      </c>
      <c r="Z26" s="29" t="e">
        <f aca="false">LOOKUP(DATE(Y$24-1900+1,$M26,1),$J$6:$J$260,$K$6:$K$260)</f>
        <v>#VALUE!</v>
      </c>
      <c r="AA26" s="29" t="e">
        <f aca="false">LOOKUP(DATE(Z$24-1900+1,$M26,1),$J$6:$J$260,$K$6:$K$260)</f>
        <v>#VALUE!</v>
      </c>
      <c r="AB26" s="29" t="e">
        <f aca="false">LOOKUP(DATE(AA$24-1900+1,$M26,1),$J$6:$J$260,$K$6:$K$260)</f>
        <v>#VALUE!</v>
      </c>
      <c r="AC26" s="29" t="e">
        <f aca="false">LOOKUP(DATE(AB$24-1900+1,$M26,1),$J$6:$J$260,$K$6:$K$260)</f>
        <v>#VALUE!</v>
      </c>
      <c r="AD26" s="29" t="e">
        <f aca="false">LOOKUP(DATE(AC$24-1900+1,$M26,1),$J$6:$J$260,$K$6:$K$260)</f>
        <v>#VALUE!</v>
      </c>
      <c r="AE26" s="29" t="e">
        <f aca="false">LOOKUP(DATE(AD$24-1900+1,$M26,1),$J$6:$J$260,$K$6:$K$260)</f>
        <v>#VALUE!</v>
      </c>
      <c r="AF26" s="29" t="e">
        <f aca="false">LOOKUP(DATE(AE$24-1900+1,$M26,1),$J$6:$J$260,$K$6:$K$260)</f>
        <v>#VALUE!</v>
      </c>
      <c r="AG26" s="29" t="e">
        <f aca="false">LOOKUP(DATE(AF$24-1900+1,$M26,1),$J$6:$J$260,$K$6:$K$260)</f>
        <v>#VALUE!</v>
      </c>
      <c r="AH26" s="29" t="e">
        <f aca="false">LOOKUP(DATE(AG$24-1900+1,$M26,1),$J$6:$J$260,$K$6:$K$260)</f>
        <v>#VALUE!</v>
      </c>
      <c r="AI26" s="29"/>
      <c r="AJ26" s="11"/>
      <c r="AK26" s="11"/>
      <c r="AL26" s="11"/>
      <c r="AM26" s="11"/>
      <c r="AN26" s="11"/>
      <c r="AO26" s="11"/>
      <c r="AP26" s="11"/>
      <c r="AQ26" s="11"/>
      <c r="AR26" s="5"/>
      <c r="AS26" s="12"/>
      <c r="AT26" s="12"/>
      <c r="AU26" s="12"/>
      <c r="AV26" s="12"/>
      <c r="AW26" s="12"/>
      <c r="AX26" s="12"/>
      <c r="AY26" s="12"/>
      <c r="AZ26" s="12"/>
      <c r="BA26" s="12"/>
      <c r="BB26" s="12"/>
      <c r="BC26" s="12"/>
      <c r="BD26" s="12"/>
      <c r="BE26" s="12"/>
      <c r="BF26" s="12"/>
      <c r="BG26" s="12"/>
      <c r="BH26" s="12"/>
      <c r="BI26" s="12"/>
      <c r="BJ26" s="12"/>
      <c r="BK26" s="12"/>
      <c r="BL26" s="12"/>
      <c r="BM26" s="12"/>
      <c r="BN26" s="12"/>
      <c r="BO26" s="12"/>
      <c r="BP26" s="12"/>
      <c r="BQ26" s="12"/>
      <c r="BR26" s="12"/>
      <c r="BS26" s="12"/>
      <c r="BT26" s="12"/>
      <c r="BU26" s="12"/>
      <c r="BV26" s="12"/>
      <c r="BW26" s="12"/>
      <c r="BX26" s="12"/>
      <c r="BY26" s="12"/>
      <c r="BZ26" s="12"/>
      <c r="CA26" s="12"/>
      <c r="CB26" s="12"/>
      <c r="CC26" s="12"/>
      <c r="CD26" s="12"/>
      <c r="CE26" s="12"/>
      <c r="CF26" s="12"/>
      <c r="CG26" s="12"/>
      <c r="CH26" s="12"/>
      <c r="CI26" s="12"/>
      <c r="CJ26" s="12"/>
      <c r="CK26" s="12"/>
      <c r="CL26" s="12"/>
      <c r="CM26" s="12"/>
      <c r="CN26" s="12"/>
      <c r="CO26" s="12"/>
      <c r="CP26" s="12"/>
      <c r="CQ26" s="12"/>
      <c r="CR26" s="12"/>
      <c r="CS26" s="12"/>
      <c r="CT26" s="12"/>
      <c r="CU26" s="12"/>
      <c r="CV26" s="12"/>
      <c r="CW26" s="12"/>
      <c r="CX26" s="12"/>
      <c r="CY26" s="12"/>
      <c r="CZ26" s="12"/>
      <c r="DA26" s="12"/>
      <c r="DB26" s="12"/>
      <c r="DC26" s="12"/>
      <c r="DD26" s="12"/>
      <c r="DE26" s="12"/>
      <c r="DF26" s="12"/>
      <c r="DG26" s="12"/>
      <c r="DH26" s="12"/>
      <c r="DI26" s="12"/>
      <c r="DJ26" s="12"/>
      <c r="DK26" s="12"/>
      <c r="DL26" s="12"/>
      <c r="DM26" s="12"/>
      <c r="DN26" s="12"/>
      <c r="DO26" s="12"/>
      <c r="DP26" s="12"/>
      <c r="DQ26" s="12"/>
      <c r="DR26" s="12"/>
      <c r="DS26" s="12"/>
      <c r="DT26" s="12"/>
      <c r="DU26" s="12"/>
      <c r="DV26" s="12"/>
      <c r="DW26" s="12"/>
      <c r="DX26" s="12"/>
      <c r="DY26" s="12"/>
      <c r="DZ26" s="12"/>
      <c r="EA26" s="12"/>
      <c r="EB26" s="12"/>
      <c r="EC26" s="12"/>
      <c r="ED26" s="12"/>
      <c r="EE26" s="12"/>
      <c r="EF26" s="12"/>
      <c r="EG26" s="12"/>
      <c r="EH26" s="12"/>
      <c r="EI26" s="12"/>
      <c r="EJ26" s="12"/>
      <c r="EK26" s="12"/>
      <c r="EL26" s="12"/>
      <c r="EM26" s="12"/>
      <c r="EN26" s="12"/>
      <c r="EO26" s="12"/>
      <c r="EP26" s="12"/>
      <c r="EQ26" s="12"/>
      <c r="ER26" s="12"/>
      <c r="ES26" s="12"/>
      <c r="ET26" s="12"/>
      <c r="EU26" s="12"/>
      <c r="EV26" s="12"/>
      <c r="EW26" s="12"/>
      <c r="EX26" s="12"/>
      <c r="EY26" s="12"/>
      <c r="EZ26" s="12"/>
      <c r="FA26" s="12"/>
      <c r="FB26" s="12"/>
      <c r="FC26" s="12"/>
      <c r="FD26" s="12"/>
      <c r="FE26" s="12"/>
      <c r="FF26" s="12"/>
      <c r="FG26" s="12"/>
      <c r="FH26" s="12"/>
      <c r="FI26" s="12"/>
      <c r="FJ26" s="12"/>
      <c r="FK26" s="12"/>
      <c r="FL26" s="12"/>
      <c r="FM26" s="12"/>
      <c r="FN26" s="12"/>
      <c r="FO26" s="12"/>
      <c r="FP26" s="12"/>
      <c r="FQ26" s="12"/>
      <c r="FR26" s="12"/>
      <c r="FS26" s="12"/>
      <c r="FT26" s="12"/>
      <c r="FU26" s="12"/>
      <c r="FV26" s="12"/>
      <c r="FW26" s="12"/>
      <c r="FX26" s="12"/>
      <c r="FY26" s="12"/>
      <c r="FZ26" s="12"/>
      <c r="GA26" s="12"/>
      <c r="GB26" s="12"/>
      <c r="GC26" s="12"/>
      <c r="GD26" s="12"/>
      <c r="GE26" s="12"/>
      <c r="GF26" s="12"/>
      <c r="GG26" s="12"/>
      <c r="GH26" s="12"/>
      <c r="GI26" s="12"/>
      <c r="GJ26" s="12"/>
      <c r="GK26" s="12"/>
      <c r="GL26" s="12"/>
      <c r="GM26" s="12"/>
      <c r="GN26" s="12"/>
      <c r="GO26" s="12"/>
      <c r="GP26" s="12"/>
      <c r="GQ26" s="12"/>
      <c r="GR26" s="12"/>
      <c r="GS26" s="12"/>
      <c r="GT26" s="12"/>
      <c r="GU26" s="12"/>
      <c r="GV26" s="12"/>
      <c r="GW26" s="12"/>
      <c r="GX26" s="12"/>
      <c r="GY26" s="12"/>
      <c r="GZ26" s="12"/>
      <c r="HA26" s="12"/>
      <c r="HB26" s="12"/>
      <c r="HC26" s="12"/>
      <c r="HD26" s="12"/>
      <c r="HE26" s="12"/>
      <c r="HF26" s="12"/>
      <c r="HG26" s="12"/>
      <c r="HH26" s="12"/>
      <c r="HI26" s="12"/>
      <c r="HJ26" s="12"/>
      <c r="HK26" s="12"/>
      <c r="HL26" s="12"/>
      <c r="HM26" s="12"/>
      <c r="HN26" s="12"/>
      <c r="HO26" s="12"/>
      <c r="HP26" s="12"/>
      <c r="HQ26" s="12"/>
      <c r="HR26" s="12"/>
      <c r="HS26" s="12"/>
      <c r="HT26" s="12"/>
      <c r="HU26" s="12"/>
      <c r="HV26" s="12"/>
      <c r="HW26" s="12"/>
      <c r="HX26" s="12"/>
      <c r="HY26" s="12"/>
      <c r="HZ26" s="12"/>
      <c r="IA26" s="12"/>
      <c r="IB26" s="12"/>
      <c r="IC26" s="12"/>
      <c r="ID26" s="12"/>
      <c r="IE26" s="12"/>
      <c r="IF26" s="12"/>
      <c r="IG26" s="12"/>
      <c r="IH26" s="12"/>
      <c r="II26" s="12"/>
      <c r="IJ26" s="12"/>
      <c r="IK26" s="12"/>
      <c r="IL26" s="12"/>
      <c r="IM26" s="12"/>
      <c r="IN26" s="12"/>
      <c r="IO26" s="12"/>
      <c r="IP26" s="12"/>
      <c r="IQ26" s="12"/>
      <c r="IR26" s="12"/>
      <c r="IS26" s="12"/>
      <c r="IT26" s="12"/>
      <c r="IU26" s="12"/>
      <c r="IV26" s="12"/>
      <c r="IW26" s="12"/>
    </row>
    <row r="27" customFormat="false" ht="11.25" hidden="false" customHeight="false" outlineLevel="0" collapsed="false">
      <c r="A27" s="30" t="n">
        <f aca="false">DATE(YEAR(A26),MONTH(A26)+1,1)</f>
        <v>46539</v>
      </c>
      <c r="B27" s="21" t="n">
        <v>1.965</v>
      </c>
      <c r="C27" s="21" t="n">
        <v>1.97</v>
      </c>
      <c r="D27" s="30" t="n">
        <f aca="false">DATE(YEAR(D26),MONTH(D26)+1,1)</f>
        <v>46539</v>
      </c>
      <c r="E27" s="21" t="n">
        <v>18.312</v>
      </c>
      <c r="F27" s="21" t="n">
        <v>18.357</v>
      </c>
      <c r="G27" s="6"/>
      <c r="H27" s="22" t="n">
        <f aca="false">A27</f>
        <v>46539</v>
      </c>
      <c r="I27" s="23" t="n">
        <f aca="false">IF($J$1="bid",B27,C27)</f>
        <v>1.97</v>
      </c>
      <c r="J27" s="24" t="n">
        <f aca="false">D27</f>
        <v>46539</v>
      </c>
      <c r="K27" s="23" t="n">
        <f aca="false">IF($J$1="bid",E27,F27)</f>
        <v>18.357</v>
      </c>
      <c r="L27" s="11"/>
      <c r="M27" s="11" t="n">
        <v>3</v>
      </c>
      <c r="N27" s="29" t="n">
        <f aca="false">IF(MONTH($D$6)&gt;M27,0,IF(MONTH($D$6)=M27,+K$6,LOOKUP(DATE(N$24-1900,$M27,1),$J$6:$J$296,$K$6:$K$296)))</f>
        <v>0</v>
      </c>
      <c r="O27" s="29" t="e">
        <f aca="false">LOOKUP(DATE(N$24-1900+1,$M27,1),$J$6:$J$260,$K$6:$K$260)</f>
        <v>#VALUE!</v>
      </c>
      <c r="P27" s="29" t="e">
        <f aca="false">LOOKUP(DATE(O$24-1900+1,$M27,1),$J$6:$J$260,$K$6:$K$260)</f>
        <v>#VALUE!</v>
      </c>
      <c r="Q27" s="29" t="e">
        <f aca="false">LOOKUP(DATE(P$24-1900+1,$M27,1),$J$6:$J$260,$K$6:$K$260)</f>
        <v>#VALUE!</v>
      </c>
      <c r="R27" s="29" t="e">
        <f aca="false">LOOKUP(DATE(Q$24-1900+1,$M27,1),$J$6:$J$260,$K$6:$K$260)</f>
        <v>#VALUE!</v>
      </c>
      <c r="S27" s="29" t="e">
        <f aca="false">LOOKUP(DATE(R$24-1900+1,$M27,1),$J$6:$J$260,$K$6:$K$260)</f>
        <v>#VALUE!</v>
      </c>
      <c r="T27" s="29" t="e">
        <f aca="false">LOOKUP(DATE(S$24-1900+1,$M27,1),$J$6:$J$260,$K$6:$K$260)</f>
        <v>#VALUE!</v>
      </c>
      <c r="U27" s="29" t="e">
        <f aca="false">LOOKUP(DATE(T$24-1900+1,$M27,1),$J$6:$J$260,$K$6:$K$260)</f>
        <v>#VALUE!</v>
      </c>
      <c r="V27" s="29" t="e">
        <f aca="false">LOOKUP(DATE(U$24-1900+1,$M27,1),$J$6:$J$260,$K$6:$K$260)</f>
        <v>#VALUE!</v>
      </c>
      <c r="W27" s="29" t="e">
        <f aca="false">LOOKUP(DATE(V$24-1900+1,$M27,1),$J$6:$J$260,$K$6:$K$260)</f>
        <v>#VALUE!</v>
      </c>
      <c r="X27" s="29" t="e">
        <f aca="false">LOOKUP(DATE(W$24-1900+1,$M27,1),$J$6:$J$260,$K$6:$K$260)</f>
        <v>#VALUE!</v>
      </c>
      <c r="Y27" s="29" t="e">
        <f aca="false">LOOKUP(DATE(X$24-1900+1,$M27,1),$J$6:$J$260,$K$6:$K$260)</f>
        <v>#VALUE!</v>
      </c>
      <c r="Z27" s="29" t="e">
        <f aca="false">LOOKUP(DATE(Y$24-1900+1,$M27,1),$J$6:$J$260,$K$6:$K$260)</f>
        <v>#VALUE!</v>
      </c>
      <c r="AA27" s="29" t="e">
        <f aca="false">LOOKUP(DATE(Z$24-1900+1,$M27,1),$J$6:$J$260,$K$6:$K$260)</f>
        <v>#VALUE!</v>
      </c>
      <c r="AB27" s="29" t="e">
        <f aca="false">LOOKUP(DATE(AA$24-1900+1,$M27,1),$J$6:$J$260,$K$6:$K$260)</f>
        <v>#VALUE!</v>
      </c>
      <c r="AC27" s="29" t="e">
        <f aca="false">LOOKUP(DATE(AB$24-1900+1,$M27,1),$J$6:$J$260,$K$6:$K$260)</f>
        <v>#VALUE!</v>
      </c>
      <c r="AD27" s="29" t="e">
        <f aca="false">LOOKUP(DATE(AC$24-1900+1,$M27,1),$J$6:$J$260,$K$6:$K$260)</f>
        <v>#VALUE!</v>
      </c>
      <c r="AE27" s="29" t="e">
        <f aca="false">LOOKUP(DATE(AD$24-1900+1,$M27,1),$J$6:$J$260,$K$6:$K$260)</f>
        <v>#VALUE!</v>
      </c>
      <c r="AF27" s="29" t="e">
        <f aca="false">LOOKUP(DATE(AE$24-1900+1,$M27,1),$J$6:$J$260,$K$6:$K$260)</f>
        <v>#VALUE!</v>
      </c>
      <c r="AG27" s="29" t="e">
        <f aca="false">LOOKUP(DATE(AF$24-1900+1,$M27,1),$J$6:$J$260,$K$6:$K$260)</f>
        <v>#VALUE!</v>
      </c>
      <c r="AH27" s="29" t="e">
        <f aca="false">LOOKUP(DATE(AG$24-1900+1,$M27,1),$J$6:$J$260,$K$6:$K$260)</f>
        <v>#VALUE!</v>
      </c>
      <c r="AI27" s="29"/>
      <c r="AJ27" s="11"/>
      <c r="AK27" s="11"/>
      <c r="AL27" s="11"/>
      <c r="AM27" s="11"/>
      <c r="AN27" s="11"/>
      <c r="AO27" s="11"/>
      <c r="AP27" s="11"/>
      <c r="AQ27" s="11"/>
      <c r="AR27" s="5"/>
      <c r="AS27" s="12"/>
      <c r="AT27" s="12"/>
      <c r="AU27" s="12"/>
      <c r="AV27" s="12"/>
      <c r="AW27" s="12"/>
      <c r="AX27" s="12"/>
      <c r="AY27" s="12"/>
      <c r="AZ27" s="12"/>
      <c r="BA27" s="12"/>
      <c r="BB27" s="12"/>
      <c r="BC27" s="12"/>
      <c r="BD27" s="12"/>
      <c r="BE27" s="12"/>
      <c r="BF27" s="12"/>
      <c r="BG27" s="12"/>
      <c r="BH27" s="12"/>
      <c r="BI27" s="12"/>
      <c r="BJ27" s="12"/>
      <c r="BK27" s="12"/>
      <c r="BL27" s="12"/>
      <c r="BM27" s="12"/>
      <c r="BN27" s="12"/>
      <c r="BO27" s="12"/>
      <c r="BP27" s="12"/>
      <c r="BQ27" s="12"/>
      <c r="BR27" s="12"/>
      <c r="BS27" s="12"/>
      <c r="BT27" s="12"/>
      <c r="BU27" s="12"/>
      <c r="BV27" s="12"/>
      <c r="BW27" s="12"/>
      <c r="BX27" s="12"/>
      <c r="BY27" s="12"/>
      <c r="BZ27" s="12"/>
      <c r="CA27" s="12"/>
      <c r="CB27" s="12"/>
      <c r="CC27" s="12"/>
      <c r="CD27" s="12"/>
      <c r="CE27" s="12"/>
      <c r="CF27" s="12"/>
      <c r="CG27" s="12"/>
      <c r="CH27" s="12"/>
      <c r="CI27" s="12"/>
      <c r="CJ27" s="12"/>
      <c r="CK27" s="12"/>
      <c r="CL27" s="12"/>
      <c r="CM27" s="12"/>
      <c r="CN27" s="12"/>
      <c r="CO27" s="12"/>
      <c r="CP27" s="12"/>
      <c r="CQ27" s="12"/>
      <c r="CR27" s="12"/>
      <c r="CS27" s="12"/>
      <c r="CT27" s="12"/>
      <c r="CU27" s="12"/>
      <c r="CV27" s="12"/>
      <c r="CW27" s="12"/>
      <c r="CX27" s="12"/>
      <c r="CY27" s="12"/>
      <c r="CZ27" s="12"/>
      <c r="DA27" s="12"/>
      <c r="DB27" s="12"/>
      <c r="DC27" s="12"/>
      <c r="DD27" s="12"/>
      <c r="DE27" s="12"/>
      <c r="DF27" s="12"/>
      <c r="DG27" s="12"/>
      <c r="DH27" s="12"/>
      <c r="DI27" s="12"/>
      <c r="DJ27" s="12"/>
      <c r="DK27" s="12"/>
      <c r="DL27" s="12"/>
      <c r="DM27" s="12"/>
      <c r="DN27" s="12"/>
      <c r="DO27" s="12"/>
      <c r="DP27" s="12"/>
      <c r="DQ27" s="12"/>
      <c r="DR27" s="12"/>
      <c r="DS27" s="12"/>
      <c r="DT27" s="12"/>
      <c r="DU27" s="12"/>
      <c r="DV27" s="12"/>
      <c r="DW27" s="12"/>
      <c r="DX27" s="12"/>
      <c r="DY27" s="12"/>
      <c r="DZ27" s="12"/>
      <c r="EA27" s="12"/>
      <c r="EB27" s="12"/>
      <c r="EC27" s="12"/>
      <c r="ED27" s="12"/>
      <c r="EE27" s="12"/>
      <c r="EF27" s="12"/>
      <c r="EG27" s="12"/>
      <c r="EH27" s="12"/>
      <c r="EI27" s="12"/>
      <c r="EJ27" s="12"/>
      <c r="EK27" s="12"/>
      <c r="EL27" s="12"/>
      <c r="EM27" s="12"/>
      <c r="EN27" s="12"/>
      <c r="EO27" s="12"/>
      <c r="EP27" s="12"/>
      <c r="EQ27" s="12"/>
      <c r="ER27" s="12"/>
      <c r="ES27" s="12"/>
      <c r="ET27" s="12"/>
      <c r="EU27" s="12"/>
      <c r="EV27" s="12"/>
      <c r="EW27" s="12"/>
      <c r="EX27" s="12"/>
      <c r="EY27" s="12"/>
      <c r="EZ27" s="12"/>
      <c r="FA27" s="12"/>
      <c r="FB27" s="12"/>
      <c r="FC27" s="12"/>
      <c r="FD27" s="12"/>
      <c r="FE27" s="12"/>
      <c r="FF27" s="12"/>
      <c r="FG27" s="12"/>
      <c r="FH27" s="12"/>
      <c r="FI27" s="12"/>
      <c r="FJ27" s="12"/>
      <c r="FK27" s="12"/>
      <c r="FL27" s="12"/>
      <c r="FM27" s="12"/>
      <c r="FN27" s="12"/>
      <c r="FO27" s="12"/>
      <c r="FP27" s="12"/>
      <c r="FQ27" s="12"/>
      <c r="FR27" s="12"/>
      <c r="FS27" s="12"/>
      <c r="FT27" s="12"/>
      <c r="FU27" s="12"/>
      <c r="FV27" s="12"/>
      <c r="FW27" s="12"/>
      <c r="FX27" s="12"/>
      <c r="FY27" s="12"/>
      <c r="FZ27" s="12"/>
      <c r="GA27" s="12"/>
      <c r="GB27" s="12"/>
      <c r="GC27" s="12"/>
      <c r="GD27" s="12"/>
      <c r="GE27" s="12"/>
      <c r="GF27" s="12"/>
      <c r="GG27" s="12"/>
      <c r="GH27" s="12"/>
      <c r="GI27" s="12"/>
      <c r="GJ27" s="12"/>
      <c r="GK27" s="12"/>
      <c r="GL27" s="12"/>
      <c r="GM27" s="12"/>
      <c r="GN27" s="12"/>
      <c r="GO27" s="12"/>
      <c r="GP27" s="12"/>
      <c r="GQ27" s="12"/>
      <c r="GR27" s="12"/>
      <c r="GS27" s="12"/>
      <c r="GT27" s="12"/>
      <c r="GU27" s="12"/>
      <c r="GV27" s="12"/>
      <c r="GW27" s="12"/>
      <c r="GX27" s="12"/>
      <c r="GY27" s="12"/>
      <c r="GZ27" s="12"/>
      <c r="HA27" s="12"/>
      <c r="HB27" s="12"/>
      <c r="HC27" s="12"/>
      <c r="HD27" s="12"/>
      <c r="HE27" s="12"/>
      <c r="HF27" s="12"/>
      <c r="HG27" s="12"/>
      <c r="HH27" s="12"/>
      <c r="HI27" s="12"/>
      <c r="HJ27" s="12"/>
      <c r="HK27" s="12"/>
      <c r="HL27" s="12"/>
      <c r="HM27" s="12"/>
      <c r="HN27" s="12"/>
      <c r="HO27" s="12"/>
      <c r="HP27" s="12"/>
      <c r="HQ27" s="12"/>
      <c r="HR27" s="12"/>
      <c r="HS27" s="12"/>
      <c r="HT27" s="12"/>
      <c r="HU27" s="12"/>
      <c r="HV27" s="12"/>
      <c r="HW27" s="12"/>
      <c r="HX27" s="12"/>
      <c r="HY27" s="12"/>
      <c r="HZ27" s="12"/>
      <c r="IA27" s="12"/>
      <c r="IB27" s="12"/>
      <c r="IC27" s="12"/>
      <c r="ID27" s="12"/>
      <c r="IE27" s="12"/>
      <c r="IF27" s="12"/>
      <c r="IG27" s="12"/>
      <c r="IH27" s="12"/>
      <c r="II27" s="12"/>
      <c r="IJ27" s="12"/>
      <c r="IK27" s="12"/>
      <c r="IL27" s="12"/>
      <c r="IM27" s="12"/>
      <c r="IN27" s="12"/>
      <c r="IO27" s="12"/>
      <c r="IP27" s="12"/>
      <c r="IQ27" s="12"/>
      <c r="IR27" s="12"/>
      <c r="IS27" s="12"/>
      <c r="IT27" s="12"/>
      <c r="IU27" s="12"/>
      <c r="IV27" s="12"/>
      <c r="IW27" s="12"/>
    </row>
    <row r="28" customFormat="false" ht="11.25" hidden="false" customHeight="false" outlineLevel="0" collapsed="false">
      <c r="A28" s="25" t="n">
        <f aca="false">DATE(YEAR(A27),MONTH(A27)+1,1)</f>
        <v>46569</v>
      </c>
      <c r="B28" s="21" t="n">
        <v>1.965</v>
      </c>
      <c r="C28" s="21" t="n">
        <v>1.97</v>
      </c>
      <c r="D28" s="25" t="n">
        <f aca="false">DATE(YEAR(D27),MONTH(D27)+1,1)</f>
        <v>46569</v>
      </c>
      <c r="E28" s="21" t="n">
        <v>18.302</v>
      </c>
      <c r="F28" s="21" t="n">
        <v>18.347</v>
      </c>
      <c r="G28" s="6"/>
      <c r="H28" s="22" t="n">
        <f aca="false">A28</f>
        <v>46569</v>
      </c>
      <c r="I28" s="23" t="n">
        <f aca="false">IF($J$1="bid",B28,C28)</f>
        <v>1.97</v>
      </c>
      <c r="J28" s="24" t="n">
        <f aca="false">D28</f>
        <v>46569</v>
      </c>
      <c r="K28" s="23" t="n">
        <f aca="false">IF($J$1="bid",E28,F28)</f>
        <v>18.347</v>
      </c>
      <c r="L28" s="11"/>
      <c r="M28" s="11" t="n">
        <v>4</v>
      </c>
      <c r="N28" s="29" t="n">
        <f aca="false">IF(MONTH($D$6)&gt;M28,0,IF(MONTH($D$6)=M28,+K$6,LOOKUP(DATE(N$24-1900,$M28,1),$J$6:$J$296,$K$6:$K$296)))</f>
        <v>0</v>
      </c>
      <c r="O28" s="29" t="e">
        <f aca="false">LOOKUP(DATE(N$24-1900+1,$M28,1),$J$6:$J$260,$K$6:$K$260)</f>
        <v>#VALUE!</v>
      </c>
      <c r="P28" s="29" t="e">
        <f aca="false">LOOKUP(DATE(O$24-1900+1,$M28,1),$J$6:$J$260,$K$6:$K$260)</f>
        <v>#VALUE!</v>
      </c>
      <c r="Q28" s="29" t="e">
        <f aca="false">LOOKUP(DATE(P$24-1900+1,$M28,1),$J$6:$J$260,$K$6:$K$260)</f>
        <v>#VALUE!</v>
      </c>
      <c r="R28" s="29" t="e">
        <f aca="false">LOOKUP(DATE(Q$24-1900+1,$M28,1),$J$6:$J$260,$K$6:$K$260)</f>
        <v>#VALUE!</v>
      </c>
      <c r="S28" s="29" t="e">
        <f aca="false">LOOKUP(DATE(R$24-1900+1,$M28,1),$J$6:$J$260,$K$6:$K$260)</f>
        <v>#VALUE!</v>
      </c>
      <c r="T28" s="29" t="e">
        <f aca="false">LOOKUP(DATE(S$24-1900+1,$M28,1),$J$6:$J$260,$K$6:$K$260)</f>
        <v>#VALUE!</v>
      </c>
      <c r="U28" s="29" t="e">
        <f aca="false">LOOKUP(DATE(T$24-1900+1,$M28,1),$J$6:$J$260,$K$6:$K$260)</f>
        <v>#VALUE!</v>
      </c>
      <c r="V28" s="29" t="e">
        <f aca="false">LOOKUP(DATE(U$24-1900+1,$M28,1),$J$6:$J$260,$K$6:$K$260)</f>
        <v>#VALUE!</v>
      </c>
      <c r="W28" s="29" t="e">
        <f aca="false">LOOKUP(DATE(V$24-1900+1,$M28,1),$J$6:$J$260,$K$6:$K$260)</f>
        <v>#VALUE!</v>
      </c>
      <c r="X28" s="29" t="e">
        <f aca="false">LOOKUP(DATE(W$24-1900+1,$M28,1),$J$6:$J$260,$K$6:$K$260)</f>
        <v>#VALUE!</v>
      </c>
      <c r="Y28" s="29" t="e">
        <f aca="false">LOOKUP(DATE(X$24-1900+1,$M28,1),$J$6:$J$260,$K$6:$K$260)</f>
        <v>#VALUE!</v>
      </c>
      <c r="Z28" s="29" t="e">
        <f aca="false">LOOKUP(DATE(Y$24-1900+1,$M28,1),$J$6:$J$260,$K$6:$K$260)</f>
        <v>#VALUE!</v>
      </c>
      <c r="AA28" s="29" t="e">
        <f aca="false">LOOKUP(DATE(Z$24-1900+1,$M28,1),$J$6:$J$260,$K$6:$K$260)</f>
        <v>#VALUE!</v>
      </c>
      <c r="AB28" s="29" t="e">
        <f aca="false">LOOKUP(DATE(AA$24-1900+1,$M28,1),$J$6:$J$260,$K$6:$K$260)</f>
        <v>#VALUE!</v>
      </c>
      <c r="AC28" s="29" t="e">
        <f aca="false">LOOKUP(DATE(AB$24-1900+1,$M28,1),$J$6:$J$260,$K$6:$K$260)</f>
        <v>#VALUE!</v>
      </c>
      <c r="AD28" s="29" t="e">
        <f aca="false">LOOKUP(DATE(AC$24-1900+1,$M28,1),$J$6:$J$260,$K$6:$K$260)</f>
        <v>#VALUE!</v>
      </c>
      <c r="AE28" s="29" t="e">
        <f aca="false">LOOKUP(DATE(AD$24-1900+1,$M28,1),$J$6:$J$260,$K$6:$K$260)</f>
        <v>#VALUE!</v>
      </c>
      <c r="AF28" s="29" t="e">
        <f aca="false">LOOKUP(DATE(AE$24-1900+1,$M28,1),$J$6:$J$260,$K$6:$K$260)</f>
        <v>#VALUE!</v>
      </c>
      <c r="AG28" s="29" t="e">
        <f aca="false">LOOKUP(DATE(AF$24-1900+1,$M28,1),$J$6:$J$260,$K$6:$K$260)</f>
        <v>#VALUE!</v>
      </c>
      <c r="AH28" s="29" t="e">
        <f aca="false">LOOKUP(DATE(AG$24-1900+1,$M28,1),$J$6:$J$260,$K$6:$K$260)</f>
        <v>#VALUE!</v>
      </c>
      <c r="AI28" s="29"/>
      <c r="AJ28" s="11"/>
      <c r="AK28" s="11"/>
      <c r="AL28" s="11"/>
      <c r="AM28" s="11"/>
      <c r="AN28" s="11"/>
      <c r="AO28" s="11"/>
      <c r="AP28" s="11"/>
      <c r="AQ28" s="11"/>
      <c r="AR28" s="5"/>
      <c r="AS28" s="12"/>
      <c r="AT28" s="12"/>
      <c r="AU28" s="12"/>
      <c r="AV28" s="12"/>
      <c r="AW28" s="12"/>
      <c r="AX28" s="12"/>
      <c r="AY28" s="12"/>
      <c r="AZ28" s="12"/>
      <c r="BA28" s="12"/>
      <c r="BB28" s="12"/>
      <c r="BC28" s="12"/>
      <c r="BD28" s="12"/>
      <c r="BE28" s="12"/>
      <c r="BF28" s="12"/>
      <c r="BG28" s="12"/>
      <c r="BH28" s="12"/>
      <c r="BI28" s="12"/>
      <c r="BJ28" s="12"/>
      <c r="BK28" s="12"/>
      <c r="BL28" s="12"/>
      <c r="BM28" s="12"/>
      <c r="BN28" s="12"/>
      <c r="BO28" s="12"/>
      <c r="BP28" s="12"/>
      <c r="BQ28" s="12"/>
      <c r="BR28" s="12"/>
      <c r="BS28" s="12"/>
      <c r="BT28" s="12"/>
      <c r="BU28" s="12"/>
      <c r="BV28" s="12"/>
      <c r="BW28" s="12"/>
      <c r="BX28" s="12"/>
      <c r="BY28" s="12"/>
      <c r="BZ28" s="12"/>
      <c r="CA28" s="12"/>
      <c r="CB28" s="12"/>
      <c r="CC28" s="12"/>
      <c r="CD28" s="12"/>
      <c r="CE28" s="12"/>
      <c r="CF28" s="12"/>
      <c r="CG28" s="12"/>
      <c r="CH28" s="12"/>
      <c r="CI28" s="12"/>
      <c r="CJ28" s="12"/>
      <c r="CK28" s="12"/>
      <c r="CL28" s="12"/>
      <c r="CM28" s="12"/>
      <c r="CN28" s="12"/>
      <c r="CO28" s="12"/>
      <c r="CP28" s="12"/>
      <c r="CQ28" s="12"/>
      <c r="CR28" s="12"/>
      <c r="CS28" s="12"/>
      <c r="CT28" s="12"/>
      <c r="CU28" s="12"/>
      <c r="CV28" s="12"/>
      <c r="CW28" s="12"/>
      <c r="CX28" s="12"/>
      <c r="CY28" s="12"/>
      <c r="CZ28" s="12"/>
      <c r="DA28" s="12"/>
      <c r="DB28" s="12"/>
      <c r="DC28" s="12"/>
      <c r="DD28" s="12"/>
      <c r="DE28" s="12"/>
      <c r="DF28" s="12"/>
      <c r="DG28" s="12"/>
      <c r="DH28" s="12"/>
      <c r="DI28" s="12"/>
      <c r="DJ28" s="12"/>
      <c r="DK28" s="12"/>
      <c r="DL28" s="12"/>
      <c r="DM28" s="12"/>
      <c r="DN28" s="12"/>
      <c r="DO28" s="12"/>
      <c r="DP28" s="12"/>
      <c r="DQ28" s="12"/>
      <c r="DR28" s="12"/>
      <c r="DS28" s="12"/>
      <c r="DT28" s="12"/>
      <c r="DU28" s="12"/>
      <c r="DV28" s="12"/>
      <c r="DW28" s="12"/>
      <c r="DX28" s="12"/>
      <c r="DY28" s="12"/>
      <c r="DZ28" s="12"/>
      <c r="EA28" s="12"/>
      <c r="EB28" s="12"/>
      <c r="EC28" s="12"/>
      <c r="ED28" s="12"/>
      <c r="EE28" s="12"/>
      <c r="EF28" s="12"/>
      <c r="EG28" s="12"/>
      <c r="EH28" s="12"/>
      <c r="EI28" s="12"/>
      <c r="EJ28" s="12"/>
      <c r="EK28" s="12"/>
      <c r="EL28" s="12"/>
      <c r="EM28" s="12"/>
      <c r="EN28" s="12"/>
      <c r="EO28" s="12"/>
      <c r="EP28" s="12"/>
      <c r="EQ28" s="12"/>
      <c r="ER28" s="12"/>
      <c r="ES28" s="12"/>
      <c r="ET28" s="12"/>
      <c r="EU28" s="12"/>
      <c r="EV28" s="12"/>
      <c r="EW28" s="12"/>
      <c r="EX28" s="12"/>
      <c r="EY28" s="12"/>
      <c r="EZ28" s="12"/>
      <c r="FA28" s="12"/>
      <c r="FB28" s="12"/>
      <c r="FC28" s="12"/>
      <c r="FD28" s="12"/>
      <c r="FE28" s="12"/>
      <c r="FF28" s="12"/>
      <c r="FG28" s="12"/>
      <c r="FH28" s="12"/>
      <c r="FI28" s="12"/>
      <c r="FJ28" s="12"/>
      <c r="FK28" s="12"/>
      <c r="FL28" s="12"/>
      <c r="FM28" s="12"/>
      <c r="FN28" s="12"/>
      <c r="FO28" s="12"/>
      <c r="FP28" s="12"/>
      <c r="FQ28" s="12"/>
      <c r="FR28" s="12"/>
      <c r="FS28" s="12"/>
      <c r="FT28" s="12"/>
      <c r="FU28" s="12"/>
      <c r="FV28" s="12"/>
      <c r="FW28" s="12"/>
      <c r="FX28" s="12"/>
      <c r="FY28" s="12"/>
      <c r="FZ28" s="12"/>
      <c r="GA28" s="12"/>
      <c r="GB28" s="12"/>
      <c r="GC28" s="12"/>
      <c r="GD28" s="12"/>
      <c r="GE28" s="12"/>
      <c r="GF28" s="12"/>
      <c r="GG28" s="12"/>
      <c r="GH28" s="12"/>
      <c r="GI28" s="12"/>
      <c r="GJ28" s="12"/>
      <c r="GK28" s="12"/>
      <c r="GL28" s="12"/>
      <c r="GM28" s="12"/>
      <c r="GN28" s="12"/>
      <c r="GO28" s="12"/>
      <c r="GP28" s="12"/>
      <c r="GQ28" s="12"/>
      <c r="GR28" s="12"/>
      <c r="GS28" s="12"/>
      <c r="GT28" s="12"/>
      <c r="GU28" s="12"/>
      <c r="GV28" s="12"/>
      <c r="GW28" s="12"/>
      <c r="GX28" s="12"/>
      <c r="GY28" s="12"/>
      <c r="GZ28" s="12"/>
      <c r="HA28" s="12"/>
      <c r="HB28" s="12"/>
      <c r="HC28" s="12"/>
      <c r="HD28" s="12"/>
      <c r="HE28" s="12"/>
      <c r="HF28" s="12"/>
      <c r="HG28" s="12"/>
      <c r="HH28" s="12"/>
      <c r="HI28" s="12"/>
      <c r="HJ28" s="12"/>
      <c r="HK28" s="12"/>
      <c r="HL28" s="12"/>
      <c r="HM28" s="12"/>
      <c r="HN28" s="12"/>
      <c r="HO28" s="12"/>
      <c r="HP28" s="12"/>
      <c r="HQ28" s="12"/>
      <c r="HR28" s="12"/>
      <c r="HS28" s="12"/>
      <c r="HT28" s="12"/>
      <c r="HU28" s="12"/>
      <c r="HV28" s="12"/>
      <c r="HW28" s="12"/>
      <c r="HX28" s="12"/>
      <c r="HY28" s="12"/>
      <c r="HZ28" s="12"/>
      <c r="IA28" s="12"/>
      <c r="IB28" s="12"/>
      <c r="IC28" s="12"/>
      <c r="ID28" s="12"/>
      <c r="IE28" s="12"/>
      <c r="IF28" s="12"/>
      <c r="IG28" s="12"/>
      <c r="IH28" s="12"/>
      <c r="II28" s="12"/>
      <c r="IJ28" s="12"/>
      <c r="IK28" s="12"/>
      <c r="IL28" s="12"/>
      <c r="IM28" s="12"/>
      <c r="IN28" s="12"/>
      <c r="IO28" s="12"/>
      <c r="IP28" s="12"/>
      <c r="IQ28" s="12"/>
      <c r="IR28" s="12"/>
      <c r="IS28" s="12"/>
      <c r="IT28" s="12"/>
      <c r="IU28" s="12"/>
      <c r="IV28" s="12"/>
      <c r="IW28" s="12"/>
    </row>
    <row r="29" customFormat="false" ht="11.25" hidden="false" customHeight="false" outlineLevel="0" collapsed="false">
      <c r="A29" s="25" t="n">
        <f aca="false">DATE(YEAR(A28),MONTH(A28)+1,1)</f>
        <v>46600</v>
      </c>
      <c r="B29" s="21" t="n">
        <v>1.965</v>
      </c>
      <c r="C29" s="21" t="n">
        <v>1.97</v>
      </c>
      <c r="D29" s="25" t="n">
        <f aca="false">DATE(YEAR(D28),MONTH(D28)+1,1)</f>
        <v>46600</v>
      </c>
      <c r="E29" s="21" t="n">
        <v>18.291</v>
      </c>
      <c r="F29" s="21" t="n">
        <v>18.336</v>
      </c>
      <c r="G29" s="6"/>
      <c r="H29" s="22" t="n">
        <f aca="false">A29</f>
        <v>46600</v>
      </c>
      <c r="I29" s="23" t="n">
        <f aca="false">IF($J$1="bid",B29,C29)</f>
        <v>1.97</v>
      </c>
      <c r="J29" s="24" t="n">
        <f aca="false">D29</f>
        <v>46600</v>
      </c>
      <c r="K29" s="23" t="n">
        <f aca="false">IF($J$1="bid",E29,F29)</f>
        <v>18.336</v>
      </c>
      <c r="L29" s="11"/>
      <c r="M29" s="11" t="n">
        <v>5</v>
      </c>
      <c r="N29" s="29" t="n">
        <f aca="false">IF(MONTH($D$6)&gt;M29,0,IF(MONTH($D$6)=M29,+K$6,LOOKUP(DATE(N$24-1900,$M29,1),$J$6:$J$296,$K$6:$K$296)))</f>
        <v>0</v>
      </c>
      <c r="O29" s="29" t="e">
        <f aca="false">LOOKUP(DATE(N$24-1900+1,$M29,1),$J$6:$J$260,$K$6:$K$260)</f>
        <v>#VALUE!</v>
      </c>
      <c r="P29" s="29" t="e">
        <f aca="false">LOOKUP(DATE(O$24-1900+1,$M29,1),$J$6:$J$260,$K$6:$K$260)</f>
        <v>#VALUE!</v>
      </c>
      <c r="Q29" s="29" t="e">
        <f aca="false">LOOKUP(DATE(P$24-1900+1,$M29,1),$J$6:$J$260,$K$6:$K$260)</f>
        <v>#VALUE!</v>
      </c>
      <c r="R29" s="29" t="e">
        <f aca="false">LOOKUP(DATE(Q$24-1900+1,$M29,1),$J$6:$J$260,$K$6:$K$260)</f>
        <v>#VALUE!</v>
      </c>
      <c r="S29" s="29" t="e">
        <f aca="false">LOOKUP(DATE(R$24-1900+1,$M29,1),$J$6:$J$260,$K$6:$K$260)</f>
        <v>#VALUE!</v>
      </c>
      <c r="T29" s="29" t="e">
        <f aca="false">LOOKUP(DATE(S$24-1900+1,$M29,1),$J$6:$J$260,$K$6:$K$260)</f>
        <v>#VALUE!</v>
      </c>
      <c r="U29" s="29" t="e">
        <f aca="false">LOOKUP(DATE(T$24-1900+1,$M29,1),$J$6:$J$260,$K$6:$K$260)</f>
        <v>#VALUE!</v>
      </c>
      <c r="V29" s="29" t="e">
        <f aca="false">LOOKUP(DATE(U$24-1900+1,$M29,1),$J$6:$J$260,$K$6:$K$260)</f>
        <v>#VALUE!</v>
      </c>
      <c r="W29" s="29" t="e">
        <f aca="false">LOOKUP(DATE(V$24-1900+1,$M29,1),$J$6:$J$260,$K$6:$K$260)</f>
        <v>#VALUE!</v>
      </c>
      <c r="X29" s="29" t="e">
        <f aca="false">LOOKUP(DATE(W$24-1900+1,$M29,1),$J$6:$J$260,$K$6:$K$260)</f>
        <v>#VALUE!</v>
      </c>
      <c r="Y29" s="29" t="e">
        <f aca="false">LOOKUP(DATE(X$24-1900+1,$M29,1),$J$6:$J$260,$K$6:$K$260)</f>
        <v>#VALUE!</v>
      </c>
      <c r="Z29" s="29" t="e">
        <f aca="false">LOOKUP(DATE(Y$24-1900+1,$M29,1),$J$6:$J$260,$K$6:$K$260)</f>
        <v>#VALUE!</v>
      </c>
      <c r="AA29" s="29" t="e">
        <f aca="false">LOOKUP(DATE(Z$24-1900+1,$M29,1),$J$6:$J$260,$K$6:$K$260)</f>
        <v>#VALUE!</v>
      </c>
      <c r="AB29" s="29" t="e">
        <f aca="false">LOOKUP(DATE(AA$24-1900+1,$M29,1),$J$6:$J$260,$K$6:$K$260)</f>
        <v>#VALUE!</v>
      </c>
      <c r="AC29" s="29" t="e">
        <f aca="false">LOOKUP(DATE(AB$24-1900+1,$M29,1),$J$6:$J$260,$K$6:$K$260)</f>
        <v>#VALUE!</v>
      </c>
      <c r="AD29" s="29" t="e">
        <f aca="false">LOOKUP(DATE(AC$24-1900+1,$M29,1),$J$6:$J$260,$K$6:$K$260)</f>
        <v>#VALUE!</v>
      </c>
      <c r="AE29" s="29" t="e">
        <f aca="false">LOOKUP(DATE(AD$24-1900+1,$M29,1),$J$6:$J$260,$K$6:$K$260)</f>
        <v>#VALUE!</v>
      </c>
      <c r="AF29" s="29" t="e">
        <f aca="false">LOOKUP(DATE(AE$24-1900+1,$M29,1),$J$6:$J$260,$K$6:$K$260)</f>
        <v>#VALUE!</v>
      </c>
      <c r="AG29" s="29" t="e">
        <f aca="false">LOOKUP(DATE(AF$24-1900+1,$M29,1),$J$6:$J$260,$K$6:$K$260)</f>
        <v>#VALUE!</v>
      </c>
      <c r="AH29" s="29" t="e">
        <f aca="false">LOOKUP(DATE(AG$24-1900+1,$M29,1),$J$6:$J$260,$K$6:$K$260)</f>
        <v>#VALUE!</v>
      </c>
      <c r="AI29" s="29"/>
      <c r="AJ29" s="11"/>
      <c r="AK29" s="11"/>
      <c r="AL29" s="11"/>
      <c r="AM29" s="11"/>
      <c r="AN29" s="11"/>
      <c r="AO29" s="11"/>
      <c r="AP29" s="11"/>
      <c r="AQ29" s="11"/>
      <c r="AR29" s="5"/>
      <c r="AS29" s="12"/>
      <c r="AT29" s="12"/>
      <c r="AU29" s="12"/>
      <c r="AV29" s="12"/>
      <c r="AW29" s="12"/>
      <c r="AX29" s="12"/>
      <c r="AY29" s="12"/>
      <c r="AZ29" s="12"/>
      <c r="BA29" s="12"/>
      <c r="BB29" s="12"/>
      <c r="BC29" s="12"/>
      <c r="BD29" s="12"/>
      <c r="BE29" s="12"/>
      <c r="BF29" s="12"/>
      <c r="BG29" s="12"/>
      <c r="BH29" s="12"/>
      <c r="BI29" s="12"/>
      <c r="BJ29" s="12"/>
      <c r="BK29" s="12"/>
      <c r="BL29" s="12"/>
      <c r="BM29" s="12"/>
      <c r="BN29" s="12"/>
      <c r="BO29" s="12"/>
      <c r="BP29" s="12"/>
      <c r="BQ29" s="12"/>
      <c r="BR29" s="12"/>
      <c r="BS29" s="12"/>
      <c r="BT29" s="12"/>
      <c r="BU29" s="12"/>
      <c r="BV29" s="12"/>
      <c r="BW29" s="12"/>
      <c r="BX29" s="12"/>
      <c r="BY29" s="12"/>
      <c r="BZ29" s="12"/>
      <c r="CA29" s="12"/>
      <c r="CB29" s="12"/>
      <c r="CC29" s="12"/>
      <c r="CD29" s="12"/>
      <c r="CE29" s="12"/>
      <c r="CF29" s="12"/>
      <c r="CG29" s="12"/>
      <c r="CH29" s="12"/>
      <c r="CI29" s="12"/>
      <c r="CJ29" s="12"/>
      <c r="CK29" s="12"/>
      <c r="CL29" s="12"/>
      <c r="CM29" s="12"/>
      <c r="CN29" s="12"/>
      <c r="CO29" s="12"/>
      <c r="CP29" s="12"/>
      <c r="CQ29" s="12"/>
      <c r="CR29" s="12"/>
      <c r="CS29" s="12"/>
      <c r="CT29" s="12"/>
      <c r="CU29" s="12"/>
      <c r="CV29" s="12"/>
      <c r="CW29" s="12"/>
      <c r="CX29" s="12"/>
      <c r="CY29" s="12"/>
      <c r="CZ29" s="12"/>
      <c r="DA29" s="12"/>
      <c r="DB29" s="12"/>
      <c r="DC29" s="12"/>
      <c r="DD29" s="12"/>
      <c r="DE29" s="12"/>
      <c r="DF29" s="12"/>
      <c r="DG29" s="12"/>
      <c r="DH29" s="12"/>
      <c r="DI29" s="12"/>
      <c r="DJ29" s="12"/>
      <c r="DK29" s="12"/>
      <c r="DL29" s="12"/>
      <c r="DM29" s="12"/>
      <c r="DN29" s="12"/>
      <c r="DO29" s="12"/>
      <c r="DP29" s="12"/>
      <c r="DQ29" s="12"/>
      <c r="DR29" s="12"/>
      <c r="DS29" s="12"/>
      <c r="DT29" s="12"/>
      <c r="DU29" s="12"/>
      <c r="DV29" s="12"/>
      <c r="DW29" s="12"/>
      <c r="DX29" s="12"/>
      <c r="DY29" s="12"/>
      <c r="DZ29" s="12"/>
      <c r="EA29" s="12"/>
      <c r="EB29" s="12"/>
      <c r="EC29" s="12"/>
      <c r="ED29" s="12"/>
      <c r="EE29" s="12"/>
      <c r="EF29" s="12"/>
      <c r="EG29" s="12"/>
      <c r="EH29" s="12"/>
      <c r="EI29" s="12"/>
      <c r="EJ29" s="12"/>
      <c r="EK29" s="12"/>
      <c r="EL29" s="12"/>
      <c r="EM29" s="12"/>
      <c r="EN29" s="12"/>
      <c r="EO29" s="12"/>
      <c r="EP29" s="12"/>
      <c r="EQ29" s="12"/>
      <c r="ER29" s="12"/>
      <c r="ES29" s="12"/>
      <c r="ET29" s="12"/>
      <c r="EU29" s="12"/>
      <c r="EV29" s="12"/>
      <c r="EW29" s="12"/>
      <c r="EX29" s="12"/>
      <c r="EY29" s="12"/>
      <c r="EZ29" s="12"/>
      <c r="FA29" s="12"/>
      <c r="FB29" s="12"/>
      <c r="FC29" s="12"/>
      <c r="FD29" s="12"/>
      <c r="FE29" s="12"/>
      <c r="FF29" s="12"/>
      <c r="FG29" s="12"/>
      <c r="FH29" s="12"/>
      <c r="FI29" s="12"/>
      <c r="FJ29" s="12"/>
      <c r="FK29" s="12"/>
      <c r="FL29" s="12"/>
      <c r="FM29" s="12"/>
      <c r="FN29" s="12"/>
      <c r="FO29" s="12"/>
      <c r="FP29" s="12"/>
      <c r="FQ29" s="12"/>
      <c r="FR29" s="12"/>
      <c r="FS29" s="12"/>
      <c r="FT29" s="12"/>
      <c r="FU29" s="12"/>
      <c r="FV29" s="12"/>
      <c r="FW29" s="12"/>
      <c r="FX29" s="12"/>
      <c r="FY29" s="12"/>
      <c r="FZ29" s="12"/>
      <c r="GA29" s="12"/>
      <c r="GB29" s="12"/>
      <c r="GC29" s="12"/>
      <c r="GD29" s="12"/>
      <c r="GE29" s="12"/>
      <c r="GF29" s="12"/>
      <c r="GG29" s="12"/>
      <c r="GH29" s="12"/>
      <c r="GI29" s="12"/>
      <c r="GJ29" s="12"/>
      <c r="GK29" s="12"/>
      <c r="GL29" s="12"/>
      <c r="GM29" s="12"/>
      <c r="GN29" s="12"/>
      <c r="GO29" s="12"/>
      <c r="GP29" s="12"/>
      <c r="GQ29" s="12"/>
      <c r="GR29" s="12"/>
      <c r="GS29" s="12"/>
      <c r="GT29" s="12"/>
      <c r="GU29" s="12"/>
      <c r="GV29" s="12"/>
      <c r="GW29" s="12"/>
      <c r="GX29" s="12"/>
      <c r="GY29" s="12"/>
      <c r="GZ29" s="12"/>
      <c r="HA29" s="12"/>
      <c r="HB29" s="12"/>
      <c r="HC29" s="12"/>
      <c r="HD29" s="12"/>
      <c r="HE29" s="12"/>
      <c r="HF29" s="12"/>
      <c r="HG29" s="12"/>
      <c r="HH29" s="12"/>
      <c r="HI29" s="12"/>
      <c r="HJ29" s="12"/>
      <c r="HK29" s="12"/>
      <c r="HL29" s="12"/>
      <c r="HM29" s="12"/>
      <c r="HN29" s="12"/>
      <c r="HO29" s="12"/>
      <c r="HP29" s="12"/>
      <c r="HQ29" s="12"/>
      <c r="HR29" s="12"/>
      <c r="HS29" s="12"/>
      <c r="HT29" s="12"/>
      <c r="HU29" s="12"/>
      <c r="HV29" s="12"/>
      <c r="HW29" s="12"/>
      <c r="HX29" s="12"/>
      <c r="HY29" s="12"/>
      <c r="HZ29" s="12"/>
      <c r="IA29" s="12"/>
      <c r="IB29" s="12"/>
      <c r="IC29" s="12"/>
      <c r="ID29" s="12"/>
      <c r="IE29" s="12"/>
      <c r="IF29" s="12"/>
      <c r="IG29" s="12"/>
      <c r="IH29" s="12"/>
      <c r="II29" s="12"/>
      <c r="IJ29" s="12"/>
      <c r="IK29" s="12"/>
      <c r="IL29" s="12"/>
      <c r="IM29" s="12"/>
      <c r="IN29" s="12"/>
      <c r="IO29" s="12"/>
      <c r="IP29" s="12"/>
      <c r="IQ29" s="12"/>
      <c r="IR29" s="12"/>
      <c r="IS29" s="12"/>
      <c r="IT29" s="12"/>
      <c r="IU29" s="12"/>
      <c r="IV29" s="12"/>
      <c r="IW29" s="12"/>
    </row>
    <row r="30" customFormat="false" ht="11.25" hidden="false" customHeight="false" outlineLevel="0" collapsed="false">
      <c r="A30" s="25" t="n">
        <f aca="false">DATE(YEAR(A29),MONTH(A29)+1,1)</f>
        <v>46631</v>
      </c>
      <c r="B30" s="21" t="n">
        <v>2.039</v>
      </c>
      <c r="C30" s="21" t="n">
        <v>2.044</v>
      </c>
      <c r="D30" s="25" t="n">
        <f aca="false">DATE(YEAR(D29),MONTH(D29)+1,1)</f>
        <v>46631</v>
      </c>
      <c r="E30" s="21" t="n">
        <v>18.285</v>
      </c>
      <c r="F30" s="21" t="n">
        <v>18.33</v>
      </c>
      <c r="G30" s="6"/>
      <c r="H30" s="22" t="n">
        <f aca="false">A30</f>
        <v>46631</v>
      </c>
      <c r="I30" s="23" t="n">
        <f aca="false">IF($J$1="bid",B30,C30)</f>
        <v>2.044</v>
      </c>
      <c r="J30" s="24" t="n">
        <f aca="false">D30</f>
        <v>46631</v>
      </c>
      <c r="K30" s="23" t="n">
        <f aca="false">IF($J$1="bid",E30,F30)</f>
        <v>18.33</v>
      </c>
      <c r="L30" s="11"/>
      <c r="M30" s="11" t="n">
        <v>6</v>
      </c>
      <c r="N30" s="29" t="n">
        <f aca="false">IF(MONTH($D$6)&gt;M30,0,IF(MONTH($D$6)=M30,+K$6,LOOKUP(DATE(N$24-1900,$M30,1),$J$6:$J$296,$K$6:$K$296)))</f>
        <v>0</v>
      </c>
      <c r="O30" s="29" t="e">
        <f aca="false">LOOKUP(DATE(N$24-1900+1,$M30,1),$J$6:$J$260,$K$6:$K$260)</f>
        <v>#VALUE!</v>
      </c>
      <c r="P30" s="29" t="e">
        <f aca="false">LOOKUP(DATE(O$24-1900+1,$M30,1),$J$6:$J$260,$K$6:$K$260)</f>
        <v>#VALUE!</v>
      </c>
      <c r="Q30" s="29" t="e">
        <f aca="false">LOOKUP(DATE(P$24-1900+1,$M30,1),$J$6:$J$260,$K$6:$K$260)</f>
        <v>#VALUE!</v>
      </c>
      <c r="R30" s="29" t="e">
        <f aca="false">LOOKUP(DATE(Q$24-1900+1,$M30,1),$J$6:$J$260,$K$6:$K$260)</f>
        <v>#VALUE!</v>
      </c>
      <c r="S30" s="29" t="e">
        <f aca="false">LOOKUP(DATE(R$24-1900+1,$M30,1),$J$6:$J$260,$K$6:$K$260)</f>
        <v>#VALUE!</v>
      </c>
      <c r="T30" s="29" t="e">
        <f aca="false">LOOKUP(DATE(S$24-1900+1,$M30,1),$J$6:$J$260,$K$6:$K$260)</f>
        <v>#VALUE!</v>
      </c>
      <c r="U30" s="29" t="e">
        <f aca="false">LOOKUP(DATE(T$24-1900+1,$M30,1),$J$6:$J$260,$K$6:$K$260)</f>
        <v>#VALUE!</v>
      </c>
      <c r="V30" s="29" t="e">
        <f aca="false">LOOKUP(DATE(U$24-1900+1,$M30,1),$J$6:$J$260,$K$6:$K$260)</f>
        <v>#VALUE!</v>
      </c>
      <c r="W30" s="29" t="e">
        <f aca="false">LOOKUP(DATE(V$24-1900+1,$M30,1),$J$6:$J$260,$K$6:$K$260)</f>
        <v>#VALUE!</v>
      </c>
      <c r="X30" s="29" t="e">
        <f aca="false">LOOKUP(DATE(W$24-1900+1,$M30,1),$J$6:$J$260,$K$6:$K$260)</f>
        <v>#VALUE!</v>
      </c>
      <c r="Y30" s="29" t="e">
        <f aca="false">LOOKUP(DATE(X$24-1900+1,$M30,1),$J$6:$J$260,$K$6:$K$260)</f>
        <v>#VALUE!</v>
      </c>
      <c r="Z30" s="29" t="e">
        <f aca="false">LOOKUP(DATE(Y$24-1900+1,$M30,1),$J$6:$J$260,$K$6:$K$260)</f>
        <v>#VALUE!</v>
      </c>
      <c r="AA30" s="29" t="e">
        <f aca="false">LOOKUP(DATE(Z$24-1900+1,$M30,1),$J$6:$J$260,$K$6:$K$260)</f>
        <v>#VALUE!</v>
      </c>
      <c r="AB30" s="29" t="e">
        <f aca="false">LOOKUP(DATE(AA$24-1900+1,$M30,1),$J$6:$J$260,$K$6:$K$260)</f>
        <v>#VALUE!</v>
      </c>
      <c r="AC30" s="29" t="e">
        <f aca="false">LOOKUP(DATE(AB$24-1900+1,$M30,1),$J$6:$J$260,$K$6:$K$260)</f>
        <v>#VALUE!</v>
      </c>
      <c r="AD30" s="29" t="e">
        <f aca="false">LOOKUP(DATE(AC$24-1900+1,$M30,1),$J$6:$J$260,$K$6:$K$260)</f>
        <v>#VALUE!</v>
      </c>
      <c r="AE30" s="29" t="e">
        <f aca="false">LOOKUP(DATE(AD$24-1900+1,$M30,1),$J$6:$J$260,$K$6:$K$260)</f>
        <v>#VALUE!</v>
      </c>
      <c r="AF30" s="29" t="e">
        <f aca="false">LOOKUP(DATE(AE$24-1900+1,$M30,1),$J$6:$J$260,$K$6:$K$260)</f>
        <v>#VALUE!</v>
      </c>
      <c r="AG30" s="29" t="e">
        <f aca="false">LOOKUP(DATE(AF$24-1900+1,$M30,1),$J$6:$J$260,$K$6:$K$260)</f>
        <v>#VALUE!</v>
      </c>
      <c r="AH30" s="29" t="e">
        <f aca="false">LOOKUP(DATE(AG$24-1900+1,$M30,1),$J$6:$J$260,$K$6:$K$260)</f>
        <v>#VALUE!</v>
      </c>
      <c r="AI30" s="29"/>
      <c r="AJ30" s="11"/>
      <c r="AK30" s="11"/>
      <c r="AL30" s="11"/>
      <c r="AM30" s="11"/>
      <c r="AN30" s="11"/>
      <c r="AO30" s="11"/>
      <c r="AP30" s="11"/>
      <c r="AQ30" s="11"/>
      <c r="AR30" s="5"/>
      <c r="AS30" s="12"/>
      <c r="AT30" s="12"/>
      <c r="AU30" s="12"/>
      <c r="AV30" s="12"/>
      <c r="AW30" s="12"/>
      <c r="AX30" s="12"/>
      <c r="AY30" s="12"/>
      <c r="AZ30" s="12"/>
      <c r="BA30" s="12"/>
      <c r="BB30" s="12"/>
      <c r="BC30" s="12"/>
      <c r="BD30" s="12"/>
      <c r="BE30" s="12"/>
      <c r="BF30" s="12"/>
      <c r="BG30" s="12"/>
      <c r="BH30" s="12"/>
      <c r="BI30" s="12"/>
      <c r="BJ30" s="12"/>
      <c r="BK30" s="12"/>
      <c r="BL30" s="12"/>
      <c r="BM30" s="12"/>
      <c r="BN30" s="12"/>
      <c r="BO30" s="12"/>
      <c r="BP30" s="12"/>
      <c r="BQ30" s="12"/>
      <c r="BR30" s="12"/>
      <c r="BS30" s="12"/>
      <c r="BT30" s="12"/>
      <c r="BU30" s="12"/>
      <c r="BV30" s="12"/>
      <c r="BW30" s="12"/>
      <c r="BX30" s="12"/>
      <c r="BY30" s="12"/>
      <c r="BZ30" s="12"/>
      <c r="CA30" s="12"/>
      <c r="CB30" s="12"/>
      <c r="CC30" s="12"/>
      <c r="CD30" s="12"/>
      <c r="CE30" s="12"/>
      <c r="CF30" s="12"/>
      <c r="CG30" s="12"/>
      <c r="CH30" s="12"/>
      <c r="CI30" s="12"/>
      <c r="CJ30" s="12"/>
      <c r="CK30" s="12"/>
      <c r="CL30" s="12"/>
      <c r="CM30" s="12"/>
      <c r="CN30" s="12"/>
      <c r="CO30" s="12"/>
      <c r="CP30" s="12"/>
      <c r="CQ30" s="12"/>
      <c r="CR30" s="12"/>
      <c r="CS30" s="12"/>
      <c r="CT30" s="12"/>
      <c r="CU30" s="12"/>
      <c r="CV30" s="12"/>
      <c r="CW30" s="12"/>
      <c r="CX30" s="12"/>
      <c r="CY30" s="12"/>
      <c r="CZ30" s="12"/>
      <c r="DA30" s="12"/>
      <c r="DB30" s="12"/>
      <c r="DC30" s="12"/>
      <c r="DD30" s="12"/>
      <c r="DE30" s="12"/>
      <c r="DF30" s="12"/>
      <c r="DG30" s="12"/>
      <c r="DH30" s="12"/>
      <c r="DI30" s="12"/>
      <c r="DJ30" s="12"/>
      <c r="DK30" s="12"/>
      <c r="DL30" s="12"/>
      <c r="DM30" s="12"/>
      <c r="DN30" s="12"/>
      <c r="DO30" s="12"/>
      <c r="DP30" s="12"/>
      <c r="DQ30" s="12"/>
      <c r="DR30" s="12"/>
      <c r="DS30" s="12"/>
      <c r="DT30" s="12"/>
      <c r="DU30" s="12"/>
      <c r="DV30" s="12"/>
      <c r="DW30" s="12"/>
      <c r="DX30" s="12"/>
      <c r="DY30" s="12"/>
      <c r="DZ30" s="12"/>
      <c r="EA30" s="12"/>
      <c r="EB30" s="12"/>
      <c r="EC30" s="12"/>
      <c r="ED30" s="12"/>
      <c r="EE30" s="12"/>
      <c r="EF30" s="12"/>
      <c r="EG30" s="12"/>
      <c r="EH30" s="12"/>
      <c r="EI30" s="12"/>
      <c r="EJ30" s="12"/>
      <c r="EK30" s="12"/>
      <c r="EL30" s="12"/>
      <c r="EM30" s="12"/>
      <c r="EN30" s="12"/>
      <c r="EO30" s="12"/>
      <c r="EP30" s="12"/>
      <c r="EQ30" s="12"/>
      <c r="ER30" s="12"/>
      <c r="ES30" s="12"/>
      <c r="ET30" s="12"/>
      <c r="EU30" s="12"/>
      <c r="EV30" s="12"/>
      <c r="EW30" s="12"/>
      <c r="EX30" s="12"/>
      <c r="EY30" s="12"/>
      <c r="EZ30" s="12"/>
      <c r="FA30" s="12"/>
      <c r="FB30" s="12"/>
      <c r="FC30" s="12"/>
      <c r="FD30" s="12"/>
      <c r="FE30" s="12"/>
      <c r="FF30" s="12"/>
      <c r="FG30" s="12"/>
      <c r="FH30" s="12"/>
      <c r="FI30" s="12"/>
      <c r="FJ30" s="12"/>
      <c r="FK30" s="12"/>
      <c r="FL30" s="12"/>
      <c r="FM30" s="12"/>
      <c r="FN30" s="12"/>
      <c r="FO30" s="12"/>
      <c r="FP30" s="12"/>
      <c r="FQ30" s="12"/>
      <c r="FR30" s="12"/>
      <c r="FS30" s="12"/>
      <c r="FT30" s="12"/>
      <c r="FU30" s="12"/>
      <c r="FV30" s="12"/>
      <c r="FW30" s="12"/>
      <c r="FX30" s="12"/>
      <c r="FY30" s="12"/>
      <c r="FZ30" s="12"/>
      <c r="GA30" s="12"/>
      <c r="GB30" s="12"/>
      <c r="GC30" s="12"/>
      <c r="GD30" s="12"/>
      <c r="GE30" s="12"/>
      <c r="GF30" s="12"/>
      <c r="GG30" s="12"/>
      <c r="GH30" s="12"/>
      <c r="GI30" s="12"/>
      <c r="GJ30" s="12"/>
      <c r="GK30" s="12"/>
      <c r="GL30" s="12"/>
      <c r="GM30" s="12"/>
      <c r="GN30" s="12"/>
      <c r="GO30" s="12"/>
      <c r="GP30" s="12"/>
      <c r="GQ30" s="12"/>
      <c r="GR30" s="12"/>
      <c r="GS30" s="12"/>
      <c r="GT30" s="12"/>
      <c r="GU30" s="12"/>
      <c r="GV30" s="12"/>
      <c r="GW30" s="12"/>
      <c r="GX30" s="12"/>
      <c r="GY30" s="12"/>
      <c r="GZ30" s="12"/>
      <c r="HA30" s="12"/>
      <c r="HB30" s="12"/>
      <c r="HC30" s="12"/>
      <c r="HD30" s="12"/>
      <c r="HE30" s="12"/>
      <c r="HF30" s="12"/>
      <c r="HG30" s="12"/>
      <c r="HH30" s="12"/>
      <c r="HI30" s="12"/>
      <c r="HJ30" s="12"/>
      <c r="HK30" s="12"/>
      <c r="HL30" s="12"/>
      <c r="HM30" s="12"/>
      <c r="HN30" s="12"/>
      <c r="HO30" s="12"/>
      <c r="HP30" s="12"/>
      <c r="HQ30" s="12"/>
      <c r="HR30" s="12"/>
      <c r="HS30" s="12"/>
      <c r="HT30" s="12"/>
      <c r="HU30" s="12"/>
      <c r="HV30" s="12"/>
      <c r="HW30" s="12"/>
      <c r="HX30" s="12"/>
      <c r="HY30" s="12"/>
      <c r="HZ30" s="12"/>
      <c r="IA30" s="12"/>
      <c r="IB30" s="12"/>
      <c r="IC30" s="12"/>
      <c r="ID30" s="12"/>
      <c r="IE30" s="12"/>
      <c r="IF30" s="12"/>
      <c r="IG30" s="12"/>
      <c r="IH30" s="12"/>
      <c r="II30" s="12"/>
      <c r="IJ30" s="12"/>
      <c r="IK30" s="12"/>
      <c r="IL30" s="12"/>
      <c r="IM30" s="12"/>
      <c r="IN30" s="12"/>
      <c r="IO30" s="12"/>
      <c r="IP30" s="12"/>
      <c r="IQ30" s="12"/>
      <c r="IR30" s="12"/>
      <c r="IS30" s="12"/>
      <c r="IT30" s="12"/>
      <c r="IU30" s="12"/>
      <c r="IV30" s="12"/>
      <c r="IW30" s="12"/>
    </row>
    <row r="31" customFormat="false" ht="11.25" hidden="false" customHeight="false" outlineLevel="0" collapsed="false">
      <c r="A31" s="25" t="n">
        <f aca="false">DATE(YEAR(A30),MONTH(A30)+1,1)</f>
        <v>46661</v>
      </c>
      <c r="B31" s="21" t="n">
        <v>2.157</v>
      </c>
      <c r="C31" s="21" t="n">
        <v>2.162</v>
      </c>
      <c r="D31" s="25" t="n">
        <f aca="false">DATE(YEAR(D30),MONTH(D30)+1,1)</f>
        <v>46661</v>
      </c>
      <c r="E31" s="21" t="n">
        <v>18.279</v>
      </c>
      <c r="F31" s="21" t="n">
        <v>18.33</v>
      </c>
      <c r="G31" s="6"/>
      <c r="H31" s="22" t="n">
        <f aca="false">A31</f>
        <v>46661</v>
      </c>
      <c r="I31" s="23" t="n">
        <f aca="false">IF($J$1="bid",B31,C31)</f>
        <v>2.162</v>
      </c>
      <c r="J31" s="24" t="n">
        <f aca="false">D31</f>
        <v>46661</v>
      </c>
      <c r="K31" s="23" t="n">
        <f aca="false">IF($J$1="bid",E31,F31)</f>
        <v>18.33</v>
      </c>
      <c r="L31" s="11"/>
      <c r="M31" s="11" t="n">
        <v>7</v>
      </c>
      <c r="N31" s="29" t="n">
        <f aca="false">IF(MONTH($D$6)&gt;M31,0,IF(MONTH($D$6)=M31,+K$6,LOOKUP(DATE(N$24-1900,$M31,1),$J$6:$J$296,$K$6:$K$296)))</f>
        <v>0</v>
      </c>
      <c r="O31" s="29" t="e">
        <f aca="false">LOOKUP(DATE(N$24-1900+1,$M31,1),$J$6:$J$260,$K$6:$K$260)</f>
        <v>#VALUE!</v>
      </c>
      <c r="P31" s="29" t="e">
        <f aca="false">LOOKUP(DATE(O$24-1900+1,$M31,1),$J$6:$J$260,$K$6:$K$260)</f>
        <v>#VALUE!</v>
      </c>
      <c r="Q31" s="29" t="e">
        <f aca="false">LOOKUP(DATE(P$24-1900+1,$M31,1),$J$6:$J$260,$K$6:$K$260)</f>
        <v>#VALUE!</v>
      </c>
      <c r="R31" s="29" t="e">
        <f aca="false">LOOKUP(DATE(Q$24-1900+1,$M31,1),$J$6:$J$260,$K$6:$K$260)</f>
        <v>#VALUE!</v>
      </c>
      <c r="S31" s="29" t="e">
        <f aca="false">LOOKUP(DATE(R$24-1900+1,$M31,1),$J$6:$J$260,$K$6:$K$260)</f>
        <v>#VALUE!</v>
      </c>
      <c r="T31" s="29" t="e">
        <f aca="false">LOOKUP(DATE(S$24-1900+1,$M31,1),$J$6:$J$260,$K$6:$K$260)</f>
        <v>#VALUE!</v>
      </c>
      <c r="U31" s="29" t="e">
        <f aca="false">LOOKUP(DATE(T$24-1900+1,$M31,1),$J$6:$J$260,$K$6:$K$260)</f>
        <v>#VALUE!</v>
      </c>
      <c r="V31" s="29" t="e">
        <f aca="false">LOOKUP(DATE(U$24-1900+1,$M31,1),$J$6:$J$260,$K$6:$K$260)</f>
        <v>#VALUE!</v>
      </c>
      <c r="W31" s="29" t="e">
        <f aca="false">LOOKUP(DATE(V$24-1900+1,$M31,1),$J$6:$J$260,$K$6:$K$260)</f>
        <v>#VALUE!</v>
      </c>
      <c r="X31" s="29" t="e">
        <f aca="false">LOOKUP(DATE(W$24-1900+1,$M31,1),$J$6:$J$260,$K$6:$K$260)</f>
        <v>#VALUE!</v>
      </c>
      <c r="Y31" s="29" t="e">
        <f aca="false">LOOKUP(DATE(X$24-1900+1,$M31,1),$J$6:$J$260,$K$6:$K$260)</f>
        <v>#VALUE!</v>
      </c>
      <c r="Z31" s="29" t="e">
        <f aca="false">LOOKUP(DATE(Y$24-1900+1,$M31,1),$J$6:$J$260,$K$6:$K$260)</f>
        <v>#VALUE!</v>
      </c>
      <c r="AA31" s="29" t="e">
        <f aca="false">LOOKUP(DATE(Z$24-1900+1,$M31,1),$J$6:$J$260,$K$6:$K$260)</f>
        <v>#VALUE!</v>
      </c>
      <c r="AB31" s="29" t="e">
        <f aca="false">LOOKUP(DATE(AA$24-1900+1,$M31,1),$J$6:$J$260,$K$6:$K$260)</f>
        <v>#VALUE!</v>
      </c>
      <c r="AC31" s="29" t="e">
        <f aca="false">LOOKUP(DATE(AB$24-1900+1,$M31,1),$J$6:$J$260,$K$6:$K$260)</f>
        <v>#VALUE!</v>
      </c>
      <c r="AD31" s="29" t="e">
        <f aca="false">LOOKUP(DATE(AC$24-1900+1,$M31,1),$J$6:$J$260,$K$6:$K$260)</f>
        <v>#VALUE!</v>
      </c>
      <c r="AE31" s="29" t="e">
        <f aca="false">LOOKUP(DATE(AD$24-1900+1,$M31,1),$J$6:$J$260,$K$6:$K$260)</f>
        <v>#VALUE!</v>
      </c>
      <c r="AF31" s="29" t="e">
        <f aca="false">LOOKUP(DATE(AE$24-1900+1,$M31,1),$J$6:$J$260,$K$6:$K$260)</f>
        <v>#VALUE!</v>
      </c>
      <c r="AG31" s="29" t="e">
        <f aca="false">LOOKUP(DATE(AF$24-1900+1,$M31,1),$J$6:$J$260,$K$6:$K$260)</f>
        <v>#VALUE!</v>
      </c>
      <c r="AH31" s="29" t="e">
        <f aca="false">LOOKUP(DATE(AG$24-1900+1,$M31,1),$J$6:$J$260,$K$6:$K$260)</f>
        <v>#VALUE!</v>
      </c>
      <c r="AI31" s="29"/>
      <c r="AJ31" s="11"/>
      <c r="AK31" s="11"/>
      <c r="AL31" s="11"/>
      <c r="AM31" s="11"/>
      <c r="AN31" s="11"/>
      <c r="AO31" s="11"/>
      <c r="AP31" s="11"/>
      <c r="AQ31" s="11"/>
      <c r="AR31" s="5"/>
      <c r="AS31" s="12"/>
      <c r="AT31" s="12"/>
      <c r="AU31" s="12"/>
      <c r="AV31" s="12"/>
      <c r="AW31" s="12"/>
      <c r="AX31" s="12"/>
      <c r="AY31" s="12"/>
      <c r="AZ31" s="12"/>
      <c r="BA31" s="12"/>
      <c r="BB31" s="12"/>
      <c r="BC31" s="12"/>
      <c r="BD31" s="12"/>
      <c r="BE31" s="12"/>
      <c r="BF31" s="12"/>
      <c r="BG31" s="12"/>
      <c r="BH31" s="12"/>
      <c r="BI31" s="12"/>
      <c r="BJ31" s="12"/>
      <c r="BK31" s="12"/>
      <c r="BL31" s="12"/>
      <c r="BM31" s="12"/>
      <c r="BN31" s="12"/>
      <c r="BO31" s="12"/>
      <c r="BP31" s="12"/>
      <c r="BQ31" s="12"/>
      <c r="BR31" s="12"/>
      <c r="BS31" s="12"/>
      <c r="BT31" s="12"/>
      <c r="BU31" s="12"/>
      <c r="BV31" s="12"/>
      <c r="BW31" s="12"/>
      <c r="BX31" s="12"/>
      <c r="BY31" s="12"/>
      <c r="BZ31" s="12"/>
      <c r="CA31" s="12"/>
      <c r="CB31" s="12"/>
      <c r="CC31" s="12"/>
      <c r="CD31" s="12"/>
      <c r="CE31" s="12"/>
      <c r="CF31" s="12"/>
      <c r="CG31" s="12"/>
      <c r="CH31" s="12"/>
      <c r="CI31" s="12"/>
      <c r="CJ31" s="12"/>
      <c r="CK31" s="12"/>
      <c r="CL31" s="12"/>
      <c r="CM31" s="12"/>
      <c r="CN31" s="12"/>
      <c r="CO31" s="12"/>
      <c r="CP31" s="12"/>
      <c r="CQ31" s="12"/>
      <c r="CR31" s="12"/>
      <c r="CS31" s="12"/>
      <c r="CT31" s="12"/>
      <c r="CU31" s="12"/>
      <c r="CV31" s="12"/>
      <c r="CW31" s="12"/>
      <c r="CX31" s="12"/>
      <c r="CY31" s="12"/>
      <c r="CZ31" s="12"/>
      <c r="DA31" s="12"/>
      <c r="DB31" s="12"/>
      <c r="DC31" s="12"/>
      <c r="DD31" s="12"/>
      <c r="DE31" s="12"/>
      <c r="DF31" s="12"/>
      <c r="DG31" s="12"/>
      <c r="DH31" s="12"/>
      <c r="DI31" s="12"/>
      <c r="DJ31" s="12"/>
      <c r="DK31" s="12"/>
      <c r="DL31" s="12"/>
      <c r="DM31" s="12"/>
      <c r="DN31" s="12"/>
      <c r="DO31" s="12"/>
      <c r="DP31" s="12"/>
      <c r="DQ31" s="12"/>
      <c r="DR31" s="12"/>
      <c r="DS31" s="12"/>
      <c r="DT31" s="12"/>
      <c r="DU31" s="12"/>
      <c r="DV31" s="12"/>
      <c r="DW31" s="12"/>
      <c r="DX31" s="12"/>
      <c r="DY31" s="12"/>
      <c r="DZ31" s="12"/>
      <c r="EA31" s="12"/>
      <c r="EB31" s="12"/>
      <c r="EC31" s="12"/>
      <c r="ED31" s="12"/>
      <c r="EE31" s="12"/>
      <c r="EF31" s="12"/>
      <c r="EG31" s="12"/>
      <c r="EH31" s="12"/>
      <c r="EI31" s="12"/>
      <c r="EJ31" s="12"/>
      <c r="EK31" s="12"/>
      <c r="EL31" s="12"/>
      <c r="EM31" s="12"/>
      <c r="EN31" s="12"/>
      <c r="EO31" s="12"/>
      <c r="EP31" s="12"/>
      <c r="EQ31" s="12"/>
      <c r="ER31" s="12"/>
      <c r="ES31" s="12"/>
      <c r="ET31" s="12"/>
      <c r="EU31" s="12"/>
      <c r="EV31" s="12"/>
      <c r="EW31" s="12"/>
      <c r="EX31" s="12"/>
      <c r="EY31" s="12"/>
      <c r="EZ31" s="12"/>
      <c r="FA31" s="12"/>
      <c r="FB31" s="12"/>
      <c r="FC31" s="12"/>
      <c r="FD31" s="12"/>
      <c r="FE31" s="12"/>
      <c r="FF31" s="12"/>
      <c r="FG31" s="12"/>
      <c r="FH31" s="12"/>
      <c r="FI31" s="12"/>
      <c r="FJ31" s="12"/>
      <c r="FK31" s="12"/>
      <c r="FL31" s="12"/>
      <c r="FM31" s="12"/>
      <c r="FN31" s="12"/>
      <c r="FO31" s="12"/>
      <c r="FP31" s="12"/>
      <c r="FQ31" s="12"/>
      <c r="FR31" s="12"/>
      <c r="FS31" s="12"/>
      <c r="FT31" s="12"/>
      <c r="FU31" s="12"/>
      <c r="FV31" s="12"/>
      <c r="FW31" s="12"/>
      <c r="FX31" s="12"/>
      <c r="FY31" s="12"/>
      <c r="FZ31" s="12"/>
      <c r="GA31" s="12"/>
      <c r="GB31" s="12"/>
      <c r="GC31" s="12"/>
      <c r="GD31" s="12"/>
      <c r="GE31" s="12"/>
      <c r="GF31" s="12"/>
      <c r="GG31" s="12"/>
      <c r="GH31" s="12"/>
      <c r="GI31" s="12"/>
      <c r="GJ31" s="12"/>
      <c r="GK31" s="12"/>
      <c r="GL31" s="12"/>
      <c r="GM31" s="12"/>
      <c r="GN31" s="12"/>
      <c r="GO31" s="12"/>
      <c r="GP31" s="12"/>
      <c r="GQ31" s="12"/>
      <c r="GR31" s="12"/>
      <c r="GS31" s="12"/>
      <c r="GT31" s="12"/>
      <c r="GU31" s="12"/>
      <c r="GV31" s="12"/>
      <c r="GW31" s="12"/>
      <c r="GX31" s="12"/>
      <c r="GY31" s="12"/>
      <c r="GZ31" s="12"/>
      <c r="HA31" s="12"/>
      <c r="HB31" s="12"/>
      <c r="HC31" s="12"/>
      <c r="HD31" s="12"/>
      <c r="HE31" s="12"/>
      <c r="HF31" s="12"/>
      <c r="HG31" s="12"/>
      <c r="HH31" s="12"/>
      <c r="HI31" s="12"/>
      <c r="HJ31" s="12"/>
      <c r="HK31" s="12"/>
      <c r="HL31" s="12"/>
      <c r="HM31" s="12"/>
      <c r="HN31" s="12"/>
      <c r="HO31" s="12"/>
      <c r="HP31" s="12"/>
      <c r="HQ31" s="12"/>
      <c r="HR31" s="12"/>
      <c r="HS31" s="12"/>
      <c r="HT31" s="12"/>
      <c r="HU31" s="12"/>
      <c r="HV31" s="12"/>
      <c r="HW31" s="12"/>
      <c r="HX31" s="12"/>
      <c r="HY31" s="12"/>
      <c r="HZ31" s="12"/>
      <c r="IA31" s="12"/>
      <c r="IB31" s="12"/>
      <c r="IC31" s="12"/>
      <c r="ID31" s="12"/>
      <c r="IE31" s="12"/>
      <c r="IF31" s="12"/>
      <c r="IG31" s="12"/>
      <c r="IH31" s="12"/>
      <c r="II31" s="12"/>
      <c r="IJ31" s="12"/>
      <c r="IK31" s="12"/>
      <c r="IL31" s="12"/>
      <c r="IM31" s="12"/>
      <c r="IN31" s="12"/>
      <c r="IO31" s="12"/>
      <c r="IP31" s="12"/>
      <c r="IQ31" s="12"/>
      <c r="IR31" s="12"/>
      <c r="IS31" s="12"/>
      <c r="IT31" s="12"/>
      <c r="IU31" s="12"/>
      <c r="IV31" s="12"/>
      <c r="IW31" s="12"/>
    </row>
    <row r="32" customFormat="false" ht="11.25" hidden="false" customHeight="false" outlineLevel="0" collapsed="false">
      <c r="A32" s="25" t="n">
        <f aca="false">DATE(YEAR(A31),MONTH(A31)+1,1)</f>
        <v>46692</v>
      </c>
      <c r="B32" s="21" t="n">
        <v>2.158</v>
      </c>
      <c r="C32" s="21" t="n">
        <v>2.163</v>
      </c>
      <c r="D32" s="25" t="n">
        <f aca="false">DATE(YEAR(D31),MONTH(D31)+1,1)</f>
        <v>46692</v>
      </c>
      <c r="E32" s="21" t="n">
        <v>18.27</v>
      </c>
      <c r="F32" s="21" t="n">
        <v>18.33</v>
      </c>
      <c r="G32" s="6"/>
      <c r="H32" s="22" t="n">
        <f aca="false">A32</f>
        <v>46692</v>
      </c>
      <c r="I32" s="23" t="n">
        <f aca="false">IF($J$1="bid",B32,C32)</f>
        <v>2.163</v>
      </c>
      <c r="J32" s="24" t="n">
        <f aca="false">D32</f>
        <v>46692</v>
      </c>
      <c r="K32" s="23" t="n">
        <f aca="false">IF($J$1="bid",E32,F32)</f>
        <v>18.33</v>
      </c>
      <c r="L32" s="11"/>
      <c r="M32" s="11" t="n">
        <v>8</v>
      </c>
      <c r="N32" s="29" t="n">
        <f aca="false">IF(MONTH($D$6)&gt;M32,0,IF(MONTH($D$6)=M32,+K$6,LOOKUP(DATE(N$24-1900,$M32,1),$J$6:$J$296,$K$6:$K$296)))</f>
        <v>0</v>
      </c>
      <c r="O32" s="29" t="e">
        <f aca="false">LOOKUP(DATE(N$24-1900+1,$M32,1),$J$6:$J$260,$K$6:$K$260)</f>
        <v>#VALUE!</v>
      </c>
      <c r="P32" s="29" t="e">
        <f aca="false">LOOKUP(DATE(O$24-1900+1,$M32,1),$J$6:$J$260,$K$6:$K$260)</f>
        <v>#VALUE!</v>
      </c>
      <c r="Q32" s="29" t="e">
        <f aca="false">LOOKUP(DATE(P$24-1900+1,$M32,1),$J$6:$J$260,$K$6:$K$260)</f>
        <v>#VALUE!</v>
      </c>
      <c r="R32" s="29" t="e">
        <f aca="false">LOOKUP(DATE(Q$24-1900+1,$M32,1),$J$6:$J$260,$K$6:$K$260)</f>
        <v>#VALUE!</v>
      </c>
      <c r="S32" s="29" t="e">
        <f aca="false">LOOKUP(DATE(R$24-1900+1,$M32,1),$J$6:$J$260,$K$6:$K$260)</f>
        <v>#VALUE!</v>
      </c>
      <c r="T32" s="29" t="e">
        <f aca="false">LOOKUP(DATE(S$24-1900+1,$M32,1),$J$6:$J$260,$K$6:$K$260)</f>
        <v>#VALUE!</v>
      </c>
      <c r="U32" s="29" t="e">
        <f aca="false">LOOKUP(DATE(T$24-1900+1,$M32,1),$J$6:$J$260,$K$6:$K$260)</f>
        <v>#VALUE!</v>
      </c>
      <c r="V32" s="29" t="e">
        <f aca="false">LOOKUP(DATE(U$24-1900+1,$M32,1),$J$6:$J$260,$K$6:$K$260)</f>
        <v>#VALUE!</v>
      </c>
      <c r="W32" s="29" t="e">
        <f aca="false">LOOKUP(DATE(V$24-1900+1,$M32,1),$J$6:$J$260,$K$6:$K$260)</f>
        <v>#VALUE!</v>
      </c>
      <c r="X32" s="29" t="e">
        <f aca="false">LOOKUP(DATE(W$24-1900+1,$M32,1),$J$6:$J$260,$K$6:$K$260)</f>
        <v>#VALUE!</v>
      </c>
      <c r="Y32" s="29" t="e">
        <f aca="false">LOOKUP(DATE(X$24-1900+1,$M32,1),$J$6:$J$260,$K$6:$K$260)</f>
        <v>#VALUE!</v>
      </c>
      <c r="Z32" s="29" t="e">
        <f aca="false">LOOKUP(DATE(Y$24-1900+1,$M32,1),$J$6:$J$260,$K$6:$K$260)</f>
        <v>#VALUE!</v>
      </c>
      <c r="AA32" s="29" t="e">
        <f aca="false">LOOKUP(DATE(Z$24-1900+1,$M32,1),$J$6:$J$260,$K$6:$K$260)</f>
        <v>#VALUE!</v>
      </c>
      <c r="AB32" s="29" t="e">
        <f aca="false">LOOKUP(DATE(AA$24-1900+1,$M32,1),$J$6:$J$260,$K$6:$K$260)</f>
        <v>#VALUE!</v>
      </c>
      <c r="AC32" s="29" t="e">
        <f aca="false">LOOKUP(DATE(AB$24-1900+1,$M32,1),$J$6:$J$260,$K$6:$K$260)</f>
        <v>#VALUE!</v>
      </c>
      <c r="AD32" s="29" t="e">
        <f aca="false">LOOKUP(DATE(AC$24-1900+1,$M32,1),$J$6:$J$260,$K$6:$K$260)</f>
        <v>#VALUE!</v>
      </c>
      <c r="AE32" s="29" t="e">
        <f aca="false">LOOKUP(DATE(AD$24-1900+1,$M32,1),$J$6:$J$260,$K$6:$K$260)</f>
        <v>#VALUE!</v>
      </c>
      <c r="AF32" s="29" t="e">
        <f aca="false">LOOKUP(DATE(AE$24-1900+1,$M32,1),$J$6:$J$260,$K$6:$K$260)</f>
        <v>#VALUE!</v>
      </c>
      <c r="AG32" s="29" t="e">
        <f aca="false">LOOKUP(DATE(AF$24-1900+1,$M32,1),$J$6:$J$260,$K$6:$K$260)</f>
        <v>#VALUE!</v>
      </c>
      <c r="AH32" s="29" t="e">
        <f aca="false">LOOKUP(DATE(AG$24-1900+1,$M32,1),$J$6:$J$260,$K$6:$K$260)</f>
        <v>#VALUE!</v>
      </c>
      <c r="AI32" s="29"/>
      <c r="AJ32" s="11"/>
      <c r="AK32" s="11"/>
      <c r="AL32" s="11"/>
      <c r="AM32" s="11"/>
      <c r="AN32" s="11"/>
      <c r="AO32" s="11"/>
      <c r="AP32" s="11"/>
      <c r="AQ32" s="11"/>
      <c r="AR32" s="5"/>
      <c r="AS32" s="12"/>
      <c r="AT32" s="12"/>
      <c r="AU32" s="12"/>
      <c r="AV32" s="12"/>
      <c r="AW32" s="12"/>
      <c r="AX32" s="12"/>
      <c r="AY32" s="12"/>
      <c r="AZ32" s="12"/>
      <c r="BA32" s="12"/>
      <c r="BB32" s="12"/>
      <c r="BC32" s="12"/>
      <c r="BD32" s="12"/>
      <c r="BE32" s="12"/>
      <c r="BF32" s="12"/>
      <c r="BG32" s="12"/>
      <c r="BH32" s="12"/>
      <c r="BI32" s="12"/>
      <c r="BJ32" s="12"/>
      <c r="BK32" s="12"/>
      <c r="BL32" s="12"/>
      <c r="BM32" s="12"/>
      <c r="BN32" s="12"/>
      <c r="BO32" s="12"/>
      <c r="BP32" s="12"/>
      <c r="BQ32" s="12"/>
      <c r="BR32" s="12"/>
      <c r="BS32" s="12"/>
      <c r="BT32" s="12"/>
      <c r="BU32" s="12"/>
      <c r="BV32" s="12"/>
      <c r="BW32" s="12"/>
      <c r="BX32" s="12"/>
      <c r="BY32" s="12"/>
      <c r="BZ32" s="12"/>
      <c r="CA32" s="12"/>
      <c r="CB32" s="12"/>
      <c r="CC32" s="12"/>
      <c r="CD32" s="12"/>
      <c r="CE32" s="12"/>
      <c r="CF32" s="12"/>
      <c r="CG32" s="12"/>
      <c r="CH32" s="12"/>
      <c r="CI32" s="12"/>
      <c r="CJ32" s="12"/>
      <c r="CK32" s="12"/>
      <c r="CL32" s="12"/>
      <c r="CM32" s="12"/>
      <c r="CN32" s="12"/>
      <c r="CO32" s="12"/>
      <c r="CP32" s="12"/>
      <c r="CQ32" s="12"/>
      <c r="CR32" s="12"/>
      <c r="CS32" s="12"/>
      <c r="CT32" s="12"/>
      <c r="CU32" s="12"/>
      <c r="CV32" s="12"/>
      <c r="CW32" s="12"/>
      <c r="CX32" s="12"/>
      <c r="CY32" s="12"/>
      <c r="CZ32" s="12"/>
      <c r="DA32" s="12"/>
      <c r="DB32" s="12"/>
      <c r="DC32" s="12"/>
      <c r="DD32" s="12"/>
      <c r="DE32" s="12"/>
      <c r="DF32" s="12"/>
      <c r="DG32" s="12"/>
      <c r="DH32" s="12"/>
      <c r="DI32" s="12"/>
      <c r="DJ32" s="12"/>
      <c r="DK32" s="12"/>
      <c r="DL32" s="12"/>
      <c r="DM32" s="12"/>
      <c r="DN32" s="12"/>
      <c r="DO32" s="12"/>
      <c r="DP32" s="12"/>
      <c r="DQ32" s="12"/>
      <c r="DR32" s="12"/>
      <c r="DS32" s="12"/>
      <c r="DT32" s="12"/>
      <c r="DU32" s="12"/>
      <c r="DV32" s="12"/>
      <c r="DW32" s="12"/>
      <c r="DX32" s="12"/>
      <c r="DY32" s="12"/>
      <c r="DZ32" s="12"/>
      <c r="EA32" s="12"/>
      <c r="EB32" s="12"/>
      <c r="EC32" s="12"/>
      <c r="ED32" s="12"/>
      <c r="EE32" s="12"/>
      <c r="EF32" s="12"/>
      <c r="EG32" s="12"/>
      <c r="EH32" s="12"/>
      <c r="EI32" s="12"/>
      <c r="EJ32" s="12"/>
      <c r="EK32" s="12"/>
      <c r="EL32" s="12"/>
      <c r="EM32" s="12"/>
      <c r="EN32" s="12"/>
      <c r="EO32" s="12"/>
      <c r="EP32" s="12"/>
      <c r="EQ32" s="12"/>
      <c r="ER32" s="12"/>
      <c r="ES32" s="12"/>
      <c r="ET32" s="12"/>
      <c r="EU32" s="12"/>
      <c r="EV32" s="12"/>
      <c r="EW32" s="12"/>
      <c r="EX32" s="12"/>
      <c r="EY32" s="12"/>
      <c r="EZ32" s="12"/>
      <c r="FA32" s="12"/>
      <c r="FB32" s="12"/>
      <c r="FC32" s="12"/>
      <c r="FD32" s="12"/>
      <c r="FE32" s="12"/>
      <c r="FF32" s="12"/>
      <c r="FG32" s="12"/>
      <c r="FH32" s="12"/>
      <c r="FI32" s="12"/>
      <c r="FJ32" s="12"/>
      <c r="FK32" s="12"/>
      <c r="FL32" s="12"/>
      <c r="FM32" s="12"/>
      <c r="FN32" s="12"/>
      <c r="FO32" s="12"/>
      <c r="FP32" s="12"/>
      <c r="FQ32" s="12"/>
      <c r="FR32" s="12"/>
      <c r="FS32" s="12"/>
      <c r="FT32" s="12"/>
      <c r="FU32" s="12"/>
      <c r="FV32" s="12"/>
      <c r="FW32" s="12"/>
      <c r="FX32" s="12"/>
      <c r="FY32" s="12"/>
      <c r="FZ32" s="12"/>
      <c r="GA32" s="12"/>
      <c r="GB32" s="12"/>
      <c r="GC32" s="12"/>
      <c r="GD32" s="12"/>
      <c r="GE32" s="12"/>
      <c r="GF32" s="12"/>
      <c r="GG32" s="12"/>
      <c r="GH32" s="12"/>
      <c r="GI32" s="12"/>
      <c r="GJ32" s="12"/>
      <c r="GK32" s="12"/>
      <c r="GL32" s="12"/>
      <c r="GM32" s="12"/>
      <c r="GN32" s="12"/>
      <c r="GO32" s="12"/>
      <c r="GP32" s="12"/>
      <c r="GQ32" s="12"/>
      <c r="GR32" s="12"/>
      <c r="GS32" s="12"/>
      <c r="GT32" s="12"/>
      <c r="GU32" s="12"/>
      <c r="GV32" s="12"/>
      <c r="GW32" s="12"/>
      <c r="GX32" s="12"/>
      <c r="GY32" s="12"/>
      <c r="GZ32" s="12"/>
      <c r="HA32" s="12"/>
      <c r="HB32" s="12"/>
      <c r="HC32" s="12"/>
      <c r="HD32" s="12"/>
      <c r="HE32" s="12"/>
      <c r="HF32" s="12"/>
      <c r="HG32" s="12"/>
      <c r="HH32" s="12"/>
      <c r="HI32" s="12"/>
      <c r="HJ32" s="12"/>
      <c r="HK32" s="12"/>
      <c r="HL32" s="12"/>
      <c r="HM32" s="12"/>
      <c r="HN32" s="12"/>
      <c r="HO32" s="12"/>
      <c r="HP32" s="12"/>
      <c r="HQ32" s="12"/>
      <c r="HR32" s="12"/>
      <c r="HS32" s="12"/>
      <c r="HT32" s="12"/>
      <c r="HU32" s="12"/>
      <c r="HV32" s="12"/>
      <c r="HW32" s="12"/>
      <c r="HX32" s="12"/>
      <c r="HY32" s="12"/>
      <c r="HZ32" s="12"/>
      <c r="IA32" s="12"/>
      <c r="IB32" s="12"/>
      <c r="IC32" s="12"/>
      <c r="ID32" s="12"/>
      <c r="IE32" s="12"/>
      <c r="IF32" s="12"/>
      <c r="IG32" s="12"/>
      <c r="IH32" s="12"/>
      <c r="II32" s="12"/>
      <c r="IJ32" s="12"/>
      <c r="IK32" s="12"/>
      <c r="IL32" s="12"/>
      <c r="IM32" s="12"/>
      <c r="IN32" s="12"/>
      <c r="IO32" s="12"/>
      <c r="IP32" s="12"/>
      <c r="IQ32" s="12"/>
      <c r="IR32" s="12"/>
      <c r="IS32" s="12"/>
      <c r="IT32" s="12"/>
      <c r="IU32" s="12"/>
      <c r="IV32" s="12"/>
      <c r="IW32" s="12"/>
    </row>
    <row r="33" customFormat="false" ht="11.25" hidden="false" customHeight="false" outlineLevel="0" collapsed="false">
      <c r="A33" s="25" t="n">
        <f aca="false">DATE(YEAR(A32),MONTH(A32)+1,1)</f>
        <v>46722</v>
      </c>
      <c r="B33" s="21" t="n">
        <v>2.073</v>
      </c>
      <c r="C33" s="21" t="n">
        <v>2.078</v>
      </c>
      <c r="D33" s="25" t="n">
        <f aca="false">DATE(YEAR(D32),MONTH(D32)+1,1)</f>
        <v>46722</v>
      </c>
      <c r="E33" s="21" t="n">
        <v>18.272</v>
      </c>
      <c r="F33" s="21" t="n">
        <v>18.332</v>
      </c>
      <c r="G33" s="6"/>
      <c r="H33" s="22" t="n">
        <f aca="false">A33</f>
        <v>46722</v>
      </c>
      <c r="I33" s="23" t="n">
        <f aca="false">IF($J$1="bid",B33,C33)</f>
        <v>2.078</v>
      </c>
      <c r="J33" s="24" t="n">
        <f aca="false">D33</f>
        <v>46722</v>
      </c>
      <c r="K33" s="23" t="n">
        <f aca="false">IF($J$1="bid",E33,F33)</f>
        <v>18.332</v>
      </c>
      <c r="L33" s="11"/>
      <c r="M33" s="11" t="n">
        <v>9</v>
      </c>
      <c r="N33" s="29" t="n">
        <f aca="false">IF(MONTH($D$6)&gt;M33,0,IF(MONTH($D$6)=M33,+K$6,LOOKUP(DATE(N$24-1900,$M33,1),$J$6:$J$296,$K$6:$K$296)))</f>
        <v>23.387</v>
      </c>
      <c r="O33" s="29" t="e">
        <f aca="false">LOOKUP(DATE(N$24-1900+1,$M33,1),$J$6:$J$260,$K$6:$K$260)</f>
        <v>#VALUE!</v>
      </c>
      <c r="P33" s="29" t="e">
        <f aca="false">LOOKUP(DATE(O$24-1900+1,$M33,1),$J$6:$J$260,$K$6:$K$260)</f>
        <v>#VALUE!</v>
      </c>
      <c r="Q33" s="29" t="e">
        <f aca="false">LOOKUP(DATE(P$24-1900+1,$M33,1),$J$6:$J$260,$K$6:$K$260)</f>
        <v>#VALUE!</v>
      </c>
      <c r="R33" s="29" t="e">
        <f aca="false">LOOKUP(DATE(Q$24-1900+1,$M33,1),$J$6:$J$260,$K$6:$K$260)</f>
        <v>#VALUE!</v>
      </c>
      <c r="S33" s="29" t="e">
        <f aca="false">LOOKUP(DATE(R$24-1900+1,$M33,1),$J$6:$J$260,$K$6:$K$260)</f>
        <v>#VALUE!</v>
      </c>
      <c r="T33" s="29" t="e">
        <f aca="false">LOOKUP(DATE(S$24-1900+1,$M33,1),$J$6:$J$260,$K$6:$K$260)</f>
        <v>#VALUE!</v>
      </c>
      <c r="U33" s="29" t="e">
        <f aca="false">LOOKUP(DATE(T$24-1900+1,$M33,1),$J$6:$J$260,$K$6:$K$260)</f>
        <v>#VALUE!</v>
      </c>
      <c r="V33" s="29" t="e">
        <f aca="false">LOOKUP(DATE(U$24-1900+1,$M33,1),$J$6:$J$260,$K$6:$K$260)</f>
        <v>#VALUE!</v>
      </c>
      <c r="W33" s="29" t="e">
        <f aca="false">LOOKUP(DATE(V$24-1900+1,$M33,1),$J$6:$J$260,$K$6:$K$260)</f>
        <v>#VALUE!</v>
      </c>
      <c r="X33" s="29" t="e">
        <f aca="false">LOOKUP(DATE(W$24-1900+1,$M33,1),$J$6:$J$260,$K$6:$K$260)</f>
        <v>#VALUE!</v>
      </c>
      <c r="Y33" s="29" t="e">
        <f aca="false">LOOKUP(DATE(X$24-1900+1,$M33,1),$J$6:$J$260,$K$6:$K$260)</f>
        <v>#VALUE!</v>
      </c>
      <c r="Z33" s="29" t="e">
        <f aca="false">LOOKUP(DATE(Y$24-1900+1,$M33,1),$J$6:$J$260,$K$6:$K$260)</f>
        <v>#VALUE!</v>
      </c>
      <c r="AA33" s="29" t="e">
        <f aca="false">LOOKUP(DATE(Z$24-1900+1,$M33,1),$J$6:$J$260,$K$6:$K$260)</f>
        <v>#VALUE!</v>
      </c>
      <c r="AB33" s="29" t="e">
        <f aca="false">LOOKUP(DATE(AA$24-1900+1,$M33,1),$J$6:$J$260,$K$6:$K$260)</f>
        <v>#VALUE!</v>
      </c>
      <c r="AC33" s="29" t="e">
        <f aca="false">LOOKUP(DATE(AB$24-1900+1,$M33,1),$J$6:$J$260,$K$6:$K$260)</f>
        <v>#VALUE!</v>
      </c>
      <c r="AD33" s="29" t="e">
        <f aca="false">LOOKUP(DATE(AC$24-1900+1,$M33,1),$J$6:$J$260,$K$6:$K$260)</f>
        <v>#VALUE!</v>
      </c>
      <c r="AE33" s="29" t="e">
        <f aca="false">LOOKUP(DATE(AD$24-1900+1,$M33,1),$J$6:$J$260,$K$6:$K$260)</f>
        <v>#VALUE!</v>
      </c>
      <c r="AF33" s="29" t="e">
        <f aca="false">LOOKUP(DATE(AE$24-1900+1,$M33,1),$J$6:$J$260,$K$6:$K$260)</f>
        <v>#VALUE!</v>
      </c>
      <c r="AG33" s="29" t="e">
        <f aca="false">LOOKUP(DATE(AF$24-1900+1,$M33,1),$J$6:$J$260,$K$6:$K$260)</f>
        <v>#VALUE!</v>
      </c>
      <c r="AH33" s="29" t="e">
        <f aca="false">LOOKUP(DATE(AG$24-1900+1,$M33,1),$J$6:$J$260,$K$6:$K$260)</f>
        <v>#VALUE!</v>
      </c>
      <c r="AI33" s="29"/>
      <c r="AJ33" s="11"/>
      <c r="AK33" s="11"/>
      <c r="AL33" s="11"/>
      <c r="AM33" s="11"/>
      <c r="AN33" s="11"/>
      <c r="AO33" s="11"/>
      <c r="AP33" s="11"/>
      <c r="AQ33" s="11"/>
      <c r="AR33" s="5"/>
      <c r="AS33" s="12"/>
      <c r="AT33" s="12"/>
      <c r="AU33" s="12"/>
      <c r="AV33" s="12"/>
      <c r="AW33" s="12"/>
      <c r="AX33" s="12"/>
      <c r="AY33" s="12"/>
      <c r="AZ33" s="12"/>
      <c r="BA33" s="12"/>
      <c r="BB33" s="12"/>
      <c r="BC33" s="12"/>
      <c r="BD33" s="12"/>
      <c r="BE33" s="12"/>
      <c r="BF33" s="12"/>
      <c r="BG33" s="12"/>
      <c r="BH33" s="12"/>
      <c r="BI33" s="12"/>
      <c r="BJ33" s="12"/>
      <c r="BK33" s="12"/>
      <c r="BL33" s="12"/>
      <c r="BM33" s="12"/>
      <c r="BN33" s="12"/>
      <c r="BO33" s="12"/>
      <c r="BP33" s="12"/>
      <c r="BQ33" s="12"/>
      <c r="BR33" s="12"/>
      <c r="BS33" s="12"/>
      <c r="BT33" s="12"/>
      <c r="BU33" s="12"/>
      <c r="BV33" s="12"/>
      <c r="BW33" s="12"/>
      <c r="BX33" s="12"/>
      <c r="BY33" s="12"/>
      <c r="BZ33" s="12"/>
      <c r="CA33" s="12"/>
      <c r="CB33" s="12"/>
      <c r="CC33" s="12"/>
      <c r="CD33" s="12"/>
      <c r="CE33" s="12"/>
      <c r="CF33" s="12"/>
      <c r="CG33" s="12"/>
      <c r="CH33" s="12"/>
      <c r="CI33" s="12"/>
      <c r="CJ33" s="12"/>
      <c r="CK33" s="12"/>
      <c r="CL33" s="12"/>
      <c r="CM33" s="12"/>
      <c r="CN33" s="12"/>
      <c r="CO33" s="12"/>
      <c r="CP33" s="12"/>
      <c r="CQ33" s="12"/>
      <c r="CR33" s="12"/>
      <c r="CS33" s="12"/>
      <c r="CT33" s="12"/>
      <c r="CU33" s="12"/>
      <c r="CV33" s="12"/>
      <c r="CW33" s="12"/>
      <c r="CX33" s="12"/>
      <c r="CY33" s="12"/>
      <c r="CZ33" s="12"/>
      <c r="DA33" s="12"/>
      <c r="DB33" s="12"/>
      <c r="DC33" s="12"/>
      <c r="DD33" s="12"/>
      <c r="DE33" s="12"/>
      <c r="DF33" s="12"/>
      <c r="DG33" s="12"/>
      <c r="DH33" s="12"/>
      <c r="DI33" s="12"/>
      <c r="DJ33" s="12"/>
      <c r="DK33" s="12"/>
      <c r="DL33" s="12"/>
      <c r="DM33" s="12"/>
      <c r="DN33" s="12"/>
      <c r="DO33" s="12"/>
      <c r="DP33" s="12"/>
      <c r="DQ33" s="12"/>
      <c r="DR33" s="12"/>
      <c r="DS33" s="12"/>
      <c r="DT33" s="12"/>
      <c r="DU33" s="12"/>
      <c r="DV33" s="12"/>
      <c r="DW33" s="12"/>
      <c r="DX33" s="12"/>
      <c r="DY33" s="12"/>
      <c r="DZ33" s="12"/>
      <c r="EA33" s="12"/>
      <c r="EB33" s="12"/>
      <c r="EC33" s="12"/>
      <c r="ED33" s="12"/>
      <c r="EE33" s="12"/>
      <c r="EF33" s="12"/>
      <c r="EG33" s="12"/>
      <c r="EH33" s="12"/>
      <c r="EI33" s="12"/>
      <c r="EJ33" s="12"/>
      <c r="EK33" s="12"/>
      <c r="EL33" s="12"/>
      <c r="EM33" s="12"/>
      <c r="EN33" s="12"/>
      <c r="EO33" s="12"/>
      <c r="EP33" s="12"/>
      <c r="EQ33" s="12"/>
      <c r="ER33" s="12"/>
      <c r="ES33" s="12"/>
      <c r="ET33" s="12"/>
      <c r="EU33" s="12"/>
      <c r="EV33" s="12"/>
      <c r="EW33" s="12"/>
      <c r="EX33" s="12"/>
      <c r="EY33" s="12"/>
      <c r="EZ33" s="12"/>
      <c r="FA33" s="12"/>
      <c r="FB33" s="12"/>
      <c r="FC33" s="12"/>
      <c r="FD33" s="12"/>
      <c r="FE33" s="12"/>
      <c r="FF33" s="12"/>
      <c r="FG33" s="12"/>
      <c r="FH33" s="12"/>
      <c r="FI33" s="12"/>
      <c r="FJ33" s="12"/>
      <c r="FK33" s="12"/>
      <c r="FL33" s="12"/>
      <c r="FM33" s="12"/>
      <c r="FN33" s="12"/>
      <c r="FO33" s="12"/>
      <c r="FP33" s="12"/>
      <c r="FQ33" s="12"/>
      <c r="FR33" s="12"/>
      <c r="FS33" s="12"/>
      <c r="FT33" s="12"/>
      <c r="FU33" s="12"/>
      <c r="FV33" s="12"/>
      <c r="FW33" s="12"/>
      <c r="FX33" s="12"/>
      <c r="FY33" s="12"/>
      <c r="FZ33" s="12"/>
      <c r="GA33" s="12"/>
      <c r="GB33" s="12"/>
      <c r="GC33" s="12"/>
      <c r="GD33" s="12"/>
      <c r="GE33" s="12"/>
      <c r="GF33" s="12"/>
      <c r="GG33" s="12"/>
      <c r="GH33" s="12"/>
      <c r="GI33" s="12"/>
      <c r="GJ33" s="12"/>
      <c r="GK33" s="12"/>
      <c r="GL33" s="12"/>
      <c r="GM33" s="12"/>
      <c r="GN33" s="12"/>
      <c r="GO33" s="12"/>
      <c r="GP33" s="12"/>
      <c r="GQ33" s="12"/>
      <c r="GR33" s="12"/>
      <c r="GS33" s="12"/>
      <c r="GT33" s="12"/>
      <c r="GU33" s="12"/>
      <c r="GV33" s="12"/>
      <c r="GW33" s="12"/>
      <c r="GX33" s="12"/>
      <c r="GY33" s="12"/>
      <c r="GZ33" s="12"/>
      <c r="HA33" s="12"/>
      <c r="HB33" s="12"/>
      <c r="HC33" s="12"/>
      <c r="HD33" s="12"/>
      <c r="HE33" s="12"/>
      <c r="HF33" s="12"/>
      <c r="HG33" s="12"/>
      <c r="HH33" s="12"/>
      <c r="HI33" s="12"/>
      <c r="HJ33" s="12"/>
      <c r="HK33" s="12"/>
      <c r="HL33" s="12"/>
      <c r="HM33" s="12"/>
      <c r="HN33" s="12"/>
      <c r="HO33" s="12"/>
      <c r="HP33" s="12"/>
      <c r="HQ33" s="12"/>
      <c r="HR33" s="12"/>
      <c r="HS33" s="12"/>
      <c r="HT33" s="12"/>
      <c r="HU33" s="12"/>
      <c r="HV33" s="12"/>
      <c r="HW33" s="12"/>
      <c r="HX33" s="12"/>
      <c r="HY33" s="12"/>
      <c r="HZ33" s="12"/>
      <c r="IA33" s="12"/>
      <c r="IB33" s="12"/>
      <c r="IC33" s="12"/>
      <c r="ID33" s="12"/>
      <c r="IE33" s="12"/>
      <c r="IF33" s="12"/>
      <c r="IG33" s="12"/>
      <c r="IH33" s="12"/>
      <c r="II33" s="12"/>
      <c r="IJ33" s="12"/>
      <c r="IK33" s="12"/>
      <c r="IL33" s="12"/>
      <c r="IM33" s="12"/>
      <c r="IN33" s="12"/>
      <c r="IO33" s="12"/>
      <c r="IP33" s="12"/>
      <c r="IQ33" s="12"/>
      <c r="IR33" s="12"/>
      <c r="IS33" s="12"/>
      <c r="IT33" s="12"/>
      <c r="IU33" s="12"/>
      <c r="IV33" s="12"/>
      <c r="IW33" s="12"/>
    </row>
    <row r="34" customFormat="false" ht="11.25" hidden="false" customHeight="false" outlineLevel="0" collapsed="false">
      <c r="A34" s="30" t="n">
        <f aca="false">DATE(YEAR(A33),MONTH(A33)+1,1)</f>
        <v>46753</v>
      </c>
      <c r="B34" s="21" t="n">
        <v>2.007</v>
      </c>
      <c r="C34" s="21" t="n">
        <v>2.012</v>
      </c>
      <c r="D34" s="30" t="n">
        <f aca="false">DATE(YEAR(D33),MONTH(D33)+1,1)</f>
        <v>46753</v>
      </c>
      <c r="E34" s="21" t="n">
        <v>18.279</v>
      </c>
      <c r="F34" s="21" t="n">
        <v>18.339</v>
      </c>
      <c r="G34" s="6"/>
      <c r="H34" s="22" t="n">
        <f aca="false">A34</f>
        <v>46753</v>
      </c>
      <c r="I34" s="23" t="n">
        <f aca="false">IF($J$1="bid",B34,C34)</f>
        <v>2.012</v>
      </c>
      <c r="J34" s="24" t="n">
        <f aca="false">D34</f>
        <v>46753</v>
      </c>
      <c r="K34" s="23" t="n">
        <f aca="false">IF($J$1="bid",E34,F34)</f>
        <v>18.339</v>
      </c>
      <c r="L34" s="11"/>
      <c r="M34" s="11" t="n">
        <v>10</v>
      </c>
      <c r="N34" s="29" t="e">
        <f aca="false">IF(MONTH($D$6)&gt;M34,0,IF(MONTH($D$6)=M34,+K$6,LOOKUP(DATE(N$24-1900,$M34,1),$J$6:$J$296,$K$6:$K$296)))</f>
        <v>#VALUE!</v>
      </c>
      <c r="O34" s="29" t="e">
        <f aca="false">LOOKUP(DATE(N$24-1900+1,$M34,1),$J$6:$J$260,$K$6:$K$260)</f>
        <v>#VALUE!</v>
      </c>
      <c r="P34" s="29" t="e">
        <f aca="false">LOOKUP(DATE(O$24-1900+1,$M34,1),$J$6:$J$260,$K$6:$K$260)</f>
        <v>#VALUE!</v>
      </c>
      <c r="Q34" s="29" t="e">
        <f aca="false">LOOKUP(DATE(P$24-1900+1,$M34,1),$J$6:$J$260,$K$6:$K$260)</f>
        <v>#VALUE!</v>
      </c>
      <c r="R34" s="29" t="e">
        <f aca="false">LOOKUP(DATE(Q$24-1900+1,$M34,1),$J$6:$J$260,$K$6:$K$260)</f>
        <v>#VALUE!</v>
      </c>
      <c r="S34" s="29" t="e">
        <f aca="false">LOOKUP(DATE(R$24-1900+1,$M34,1),$J$6:$J$260,$K$6:$K$260)</f>
        <v>#VALUE!</v>
      </c>
      <c r="T34" s="29" t="e">
        <f aca="false">LOOKUP(DATE(S$24-1900+1,$M34,1),$J$6:$J$260,$K$6:$K$260)</f>
        <v>#VALUE!</v>
      </c>
      <c r="U34" s="29" t="e">
        <f aca="false">LOOKUP(DATE(T$24-1900+1,$M34,1),$J$6:$J$260,$K$6:$K$260)</f>
        <v>#VALUE!</v>
      </c>
      <c r="V34" s="29" t="e">
        <f aca="false">LOOKUP(DATE(U$24-1900+1,$M34,1),$J$6:$J$260,$K$6:$K$260)</f>
        <v>#VALUE!</v>
      </c>
      <c r="W34" s="29" t="e">
        <f aca="false">LOOKUP(DATE(V$24-1900+1,$M34,1),$J$6:$J$260,$K$6:$K$260)</f>
        <v>#VALUE!</v>
      </c>
      <c r="X34" s="29" t="e">
        <f aca="false">LOOKUP(DATE(W$24-1900+1,$M34,1),$J$6:$J$260,$K$6:$K$260)</f>
        <v>#VALUE!</v>
      </c>
      <c r="Y34" s="29" t="e">
        <f aca="false">LOOKUP(DATE(X$24-1900+1,$M34,1),$J$6:$J$260,$K$6:$K$260)</f>
        <v>#VALUE!</v>
      </c>
      <c r="Z34" s="29" t="e">
        <f aca="false">LOOKUP(DATE(Y$24-1900+1,$M34,1),$J$6:$J$260,$K$6:$K$260)</f>
        <v>#VALUE!</v>
      </c>
      <c r="AA34" s="29" t="e">
        <f aca="false">LOOKUP(DATE(Z$24-1900+1,$M34,1),$J$6:$J$260,$K$6:$K$260)</f>
        <v>#VALUE!</v>
      </c>
      <c r="AB34" s="29" t="e">
        <f aca="false">LOOKUP(DATE(AA$24-1900+1,$M34,1),$J$6:$J$260,$K$6:$K$260)</f>
        <v>#VALUE!</v>
      </c>
      <c r="AC34" s="29" t="e">
        <f aca="false">LOOKUP(DATE(AB$24-1900+1,$M34,1),$J$6:$J$260,$K$6:$K$260)</f>
        <v>#VALUE!</v>
      </c>
      <c r="AD34" s="29" t="e">
        <f aca="false">LOOKUP(DATE(AC$24-1900+1,$M34,1),$J$6:$J$260,$K$6:$K$260)</f>
        <v>#VALUE!</v>
      </c>
      <c r="AE34" s="29" t="e">
        <f aca="false">LOOKUP(DATE(AD$24-1900+1,$M34,1),$J$6:$J$260,$K$6:$K$260)</f>
        <v>#VALUE!</v>
      </c>
      <c r="AF34" s="29" t="e">
        <f aca="false">LOOKUP(DATE(AE$24-1900+1,$M34,1),$J$6:$J$260,$K$6:$K$260)</f>
        <v>#VALUE!</v>
      </c>
      <c r="AG34" s="29" t="e">
        <f aca="false">LOOKUP(DATE(AF$24-1900+1,$M34,1),$J$6:$J$260,$K$6:$K$260)</f>
        <v>#VALUE!</v>
      </c>
      <c r="AH34" s="29" t="e">
        <f aca="false">LOOKUP(DATE(AG$24-1900+1,$M34,1),$J$6:$J$260,$K$6:$K$260)</f>
        <v>#VALUE!</v>
      </c>
      <c r="AI34" s="29"/>
      <c r="AJ34" s="11"/>
      <c r="AK34" s="11"/>
      <c r="AL34" s="11"/>
      <c r="AM34" s="11"/>
      <c r="AN34" s="11"/>
      <c r="AO34" s="11"/>
      <c r="AP34" s="11"/>
      <c r="AQ34" s="11"/>
      <c r="AR34" s="5"/>
      <c r="AS34" s="12"/>
      <c r="AT34" s="12"/>
      <c r="AU34" s="12"/>
      <c r="AV34" s="12"/>
      <c r="AW34" s="12"/>
      <c r="AX34" s="12"/>
      <c r="AY34" s="12"/>
      <c r="AZ34" s="12"/>
      <c r="BA34" s="12"/>
      <c r="BB34" s="12"/>
      <c r="BC34" s="12"/>
      <c r="BD34" s="12"/>
      <c r="BE34" s="12"/>
      <c r="BF34" s="12"/>
      <c r="BG34" s="12"/>
      <c r="BH34" s="12"/>
      <c r="BI34" s="12"/>
      <c r="BJ34" s="12"/>
      <c r="BK34" s="12"/>
      <c r="BL34" s="12"/>
      <c r="BM34" s="12"/>
      <c r="BN34" s="12"/>
      <c r="BO34" s="12"/>
      <c r="BP34" s="12"/>
      <c r="BQ34" s="12"/>
      <c r="BR34" s="12"/>
      <c r="BS34" s="12"/>
      <c r="BT34" s="12"/>
      <c r="BU34" s="12"/>
      <c r="BV34" s="12"/>
      <c r="BW34" s="12"/>
      <c r="BX34" s="12"/>
      <c r="BY34" s="12"/>
      <c r="BZ34" s="12"/>
      <c r="CA34" s="12"/>
      <c r="CB34" s="12"/>
      <c r="CC34" s="12"/>
      <c r="CD34" s="12"/>
      <c r="CE34" s="12"/>
      <c r="CF34" s="12"/>
      <c r="CG34" s="12"/>
      <c r="CH34" s="12"/>
      <c r="CI34" s="12"/>
      <c r="CJ34" s="12"/>
      <c r="CK34" s="12"/>
      <c r="CL34" s="12"/>
      <c r="CM34" s="12"/>
      <c r="CN34" s="12"/>
      <c r="CO34" s="12"/>
      <c r="CP34" s="12"/>
      <c r="CQ34" s="12"/>
      <c r="CR34" s="12"/>
      <c r="CS34" s="12"/>
      <c r="CT34" s="12"/>
      <c r="CU34" s="12"/>
      <c r="CV34" s="12"/>
      <c r="CW34" s="12"/>
      <c r="CX34" s="12"/>
      <c r="CY34" s="12"/>
      <c r="CZ34" s="12"/>
      <c r="DA34" s="12"/>
      <c r="DB34" s="12"/>
      <c r="DC34" s="12"/>
      <c r="DD34" s="12"/>
      <c r="DE34" s="12"/>
      <c r="DF34" s="12"/>
      <c r="DG34" s="12"/>
      <c r="DH34" s="12"/>
      <c r="DI34" s="12"/>
      <c r="DJ34" s="12"/>
      <c r="DK34" s="12"/>
      <c r="DL34" s="12"/>
      <c r="DM34" s="12"/>
      <c r="DN34" s="12"/>
      <c r="DO34" s="12"/>
      <c r="DP34" s="12"/>
      <c r="DQ34" s="12"/>
      <c r="DR34" s="12"/>
      <c r="DS34" s="12"/>
      <c r="DT34" s="12"/>
      <c r="DU34" s="12"/>
      <c r="DV34" s="12"/>
      <c r="DW34" s="12"/>
      <c r="DX34" s="12"/>
      <c r="DY34" s="12"/>
      <c r="DZ34" s="12"/>
      <c r="EA34" s="12"/>
      <c r="EB34" s="12"/>
      <c r="EC34" s="12"/>
      <c r="ED34" s="12"/>
      <c r="EE34" s="12"/>
      <c r="EF34" s="12"/>
      <c r="EG34" s="12"/>
      <c r="EH34" s="12"/>
      <c r="EI34" s="12"/>
      <c r="EJ34" s="12"/>
      <c r="EK34" s="12"/>
      <c r="EL34" s="12"/>
      <c r="EM34" s="12"/>
      <c r="EN34" s="12"/>
      <c r="EO34" s="12"/>
      <c r="EP34" s="12"/>
      <c r="EQ34" s="12"/>
      <c r="ER34" s="12"/>
      <c r="ES34" s="12"/>
      <c r="ET34" s="12"/>
      <c r="EU34" s="12"/>
      <c r="EV34" s="12"/>
      <c r="EW34" s="12"/>
      <c r="EX34" s="12"/>
      <c r="EY34" s="12"/>
      <c r="EZ34" s="12"/>
      <c r="FA34" s="12"/>
      <c r="FB34" s="12"/>
      <c r="FC34" s="12"/>
      <c r="FD34" s="12"/>
      <c r="FE34" s="12"/>
      <c r="FF34" s="12"/>
      <c r="FG34" s="12"/>
      <c r="FH34" s="12"/>
      <c r="FI34" s="12"/>
      <c r="FJ34" s="12"/>
      <c r="FK34" s="12"/>
      <c r="FL34" s="12"/>
      <c r="FM34" s="12"/>
      <c r="FN34" s="12"/>
      <c r="FO34" s="12"/>
      <c r="FP34" s="12"/>
      <c r="FQ34" s="12"/>
      <c r="FR34" s="12"/>
      <c r="FS34" s="12"/>
      <c r="FT34" s="12"/>
      <c r="FU34" s="12"/>
      <c r="FV34" s="12"/>
      <c r="FW34" s="12"/>
      <c r="FX34" s="12"/>
      <c r="FY34" s="12"/>
      <c r="FZ34" s="12"/>
      <c r="GA34" s="12"/>
      <c r="GB34" s="12"/>
      <c r="GC34" s="12"/>
      <c r="GD34" s="12"/>
      <c r="GE34" s="12"/>
      <c r="GF34" s="12"/>
      <c r="GG34" s="12"/>
      <c r="GH34" s="12"/>
      <c r="GI34" s="12"/>
      <c r="GJ34" s="12"/>
      <c r="GK34" s="12"/>
      <c r="GL34" s="12"/>
      <c r="GM34" s="12"/>
      <c r="GN34" s="12"/>
      <c r="GO34" s="12"/>
      <c r="GP34" s="12"/>
      <c r="GQ34" s="12"/>
      <c r="GR34" s="12"/>
      <c r="GS34" s="12"/>
      <c r="GT34" s="12"/>
      <c r="GU34" s="12"/>
      <c r="GV34" s="12"/>
      <c r="GW34" s="12"/>
      <c r="GX34" s="12"/>
      <c r="GY34" s="12"/>
      <c r="GZ34" s="12"/>
      <c r="HA34" s="12"/>
      <c r="HB34" s="12"/>
      <c r="HC34" s="12"/>
      <c r="HD34" s="12"/>
      <c r="HE34" s="12"/>
      <c r="HF34" s="12"/>
      <c r="HG34" s="12"/>
      <c r="HH34" s="12"/>
      <c r="HI34" s="12"/>
      <c r="HJ34" s="12"/>
      <c r="HK34" s="12"/>
      <c r="HL34" s="12"/>
      <c r="HM34" s="12"/>
      <c r="HN34" s="12"/>
      <c r="HO34" s="12"/>
      <c r="HP34" s="12"/>
      <c r="HQ34" s="12"/>
      <c r="HR34" s="12"/>
      <c r="HS34" s="12"/>
      <c r="HT34" s="12"/>
      <c r="HU34" s="12"/>
      <c r="HV34" s="12"/>
      <c r="HW34" s="12"/>
      <c r="HX34" s="12"/>
      <c r="HY34" s="12"/>
      <c r="HZ34" s="12"/>
      <c r="IA34" s="12"/>
      <c r="IB34" s="12"/>
      <c r="IC34" s="12"/>
      <c r="ID34" s="12"/>
      <c r="IE34" s="12"/>
      <c r="IF34" s="12"/>
      <c r="IG34" s="12"/>
      <c r="IH34" s="12"/>
      <c r="II34" s="12"/>
      <c r="IJ34" s="12"/>
      <c r="IK34" s="12"/>
      <c r="IL34" s="12"/>
      <c r="IM34" s="12"/>
      <c r="IN34" s="12"/>
      <c r="IO34" s="12"/>
      <c r="IP34" s="12"/>
      <c r="IQ34" s="12"/>
      <c r="IR34" s="12"/>
      <c r="IS34" s="12"/>
      <c r="IT34" s="12"/>
      <c r="IU34" s="12"/>
      <c r="IV34" s="12"/>
      <c r="IW34" s="12"/>
    </row>
    <row r="35" customFormat="false" ht="11.25" hidden="false" customHeight="false" outlineLevel="0" collapsed="false">
      <c r="A35" s="30" t="n">
        <f aca="false">DATE(YEAR(A34),MONTH(A34)+1,1)</f>
        <v>46784</v>
      </c>
      <c r="B35" s="21" t="n">
        <v>1.958</v>
      </c>
      <c r="C35" s="21" t="n">
        <v>1.963</v>
      </c>
      <c r="D35" s="30" t="n">
        <f aca="false">DATE(YEAR(D34),MONTH(D34)+1,1)</f>
        <v>46784</v>
      </c>
      <c r="E35" s="21" t="n">
        <v>18.286</v>
      </c>
      <c r="F35" s="21" t="n">
        <v>18.346</v>
      </c>
      <c r="G35" s="6"/>
      <c r="H35" s="22" t="n">
        <f aca="false">A35</f>
        <v>46784</v>
      </c>
      <c r="I35" s="23" t="n">
        <f aca="false">IF($J$1="bid",B35,C35)</f>
        <v>1.963</v>
      </c>
      <c r="J35" s="24" t="n">
        <f aca="false">D35</f>
        <v>46784</v>
      </c>
      <c r="K35" s="23" t="n">
        <f aca="false">IF($J$1="bid",E35,F35)</f>
        <v>18.346</v>
      </c>
      <c r="L35" s="11"/>
      <c r="M35" s="11" t="n">
        <v>11</v>
      </c>
      <c r="N35" s="29" t="e">
        <f aca="false">IF(MONTH($D$6)&gt;M35,0,IF(MONTH($D$6)=M35,+K$6,LOOKUP(DATE(N$24-1900,$M35,1),$J$6:$J$296,$K$6:$K$296)))</f>
        <v>#VALUE!</v>
      </c>
      <c r="O35" s="29" t="e">
        <f aca="false">LOOKUP(DATE(N$24-1900+1,$M35,1),$J$6:$J$260,$K$6:$K$260)</f>
        <v>#VALUE!</v>
      </c>
      <c r="P35" s="29" t="e">
        <f aca="false">LOOKUP(DATE(O$24-1900+1,$M35,1),$J$6:$J$260,$K$6:$K$260)</f>
        <v>#VALUE!</v>
      </c>
      <c r="Q35" s="29" t="e">
        <f aca="false">LOOKUP(DATE(P$24-1900+1,$M35,1),$J$6:$J$260,$K$6:$K$260)</f>
        <v>#VALUE!</v>
      </c>
      <c r="R35" s="29" t="e">
        <f aca="false">LOOKUP(DATE(Q$24-1900+1,$M35,1),$J$6:$J$260,$K$6:$K$260)</f>
        <v>#VALUE!</v>
      </c>
      <c r="S35" s="29" t="e">
        <f aca="false">LOOKUP(DATE(R$24-1900+1,$M35,1),$J$6:$J$260,$K$6:$K$260)</f>
        <v>#VALUE!</v>
      </c>
      <c r="T35" s="29" t="e">
        <f aca="false">LOOKUP(DATE(S$24-1900+1,$M35,1),$J$6:$J$260,$K$6:$K$260)</f>
        <v>#VALUE!</v>
      </c>
      <c r="U35" s="29" t="e">
        <f aca="false">LOOKUP(DATE(T$24-1900+1,$M35,1),$J$6:$J$260,$K$6:$K$260)</f>
        <v>#VALUE!</v>
      </c>
      <c r="V35" s="29" t="e">
        <f aca="false">LOOKUP(DATE(U$24-1900+1,$M35,1),$J$6:$J$260,$K$6:$K$260)</f>
        <v>#VALUE!</v>
      </c>
      <c r="W35" s="29" t="e">
        <f aca="false">LOOKUP(DATE(V$24-1900+1,$M35,1),$J$6:$J$260,$K$6:$K$260)</f>
        <v>#VALUE!</v>
      </c>
      <c r="X35" s="29" t="e">
        <f aca="false">LOOKUP(DATE(W$24-1900+1,$M35,1),$J$6:$J$260,$K$6:$K$260)</f>
        <v>#VALUE!</v>
      </c>
      <c r="Y35" s="29" t="e">
        <f aca="false">LOOKUP(DATE(X$24-1900+1,$M35,1),$J$6:$J$260,$K$6:$K$260)</f>
        <v>#VALUE!</v>
      </c>
      <c r="Z35" s="29" t="e">
        <f aca="false">LOOKUP(DATE(Y$24-1900+1,$M35,1),$J$6:$J$260,$K$6:$K$260)</f>
        <v>#VALUE!</v>
      </c>
      <c r="AA35" s="29" t="e">
        <f aca="false">LOOKUP(DATE(Z$24-1900+1,$M35,1),$J$6:$J$260,$K$6:$K$260)</f>
        <v>#VALUE!</v>
      </c>
      <c r="AB35" s="29" t="e">
        <f aca="false">LOOKUP(DATE(AA$24-1900+1,$M35,1),$J$6:$J$260,$K$6:$K$260)</f>
        <v>#VALUE!</v>
      </c>
      <c r="AC35" s="29" t="e">
        <f aca="false">LOOKUP(DATE(AB$24-1900+1,$M35,1),$J$6:$J$260,$K$6:$K$260)</f>
        <v>#VALUE!</v>
      </c>
      <c r="AD35" s="29" t="e">
        <f aca="false">LOOKUP(DATE(AC$24-1900+1,$M35,1),$J$6:$J$260,$K$6:$K$260)</f>
        <v>#VALUE!</v>
      </c>
      <c r="AE35" s="29" t="e">
        <f aca="false">LOOKUP(DATE(AD$24-1900+1,$M35,1),$J$6:$J$260,$K$6:$K$260)</f>
        <v>#VALUE!</v>
      </c>
      <c r="AF35" s="29" t="e">
        <f aca="false">LOOKUP(DATE(AE$24-1900+1,$M35,1),$J$6:$J$260,$K$6:$K$260)</f>
        <v>#VALUE!</v>
      </c>
      <c r="AG35" s="29" t="e">
        <f aca="false">LOOKUP(DATE(AF$24-1900+1,$M35,1),$J$6:$J$260,$K$6:$K$260)</f>
        <v>#VALUE!</v>
      </c>
      <c r="AH35" s="29" t="e">
        <f aca="false">LOOKUP(DATE(AG$24-1900+1,$M35,1),$J$6:$J$260,$K$6:$K$260)</f>
        <v>#VALUE!</v>
      </c>
      <c r="AI35" s="29"/>
      <c r="AJ35" s="11"/>
      <c r="AK35" s="11"/>
      <c r="AL35" s="11"/>
      <c r="AM35" s="11"/>
      <c r="AN35" s="11"/>
      <c r="AO35" s="11"/>
      <c r="AP35" s="11"/>
      <c r="AQ35" s="11"/>
      <c r="AR35" s="5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  <c r="BM35" s="12"/>
      <c r="BN35" s="12"/>
      <c r="BO35" s="12"/>
      <c r="BP35" s="12"/>
      <c r="BQ35" s="12"/>
      <c r="BR35" s="12"/>
      <c r="BS35" s="12"/>
      <c r="BT35" s="12"/>
      <c r="BU35" s="12"/>
      <c r="BV35" s="12"/>
      <c r="BW35" s="12"/>
      <c r="BX35" s="12"/>
      <c r="BY35" s="12"/>
      <c r="BZ35" s="12"/>
      <c r="CA35" s="12"/>
      <c r="CB35" s="12"/>
      <c r="CC35" s="12"/>
      <c r="CD35" s="12"/>
      <c r="CE35" s="12"/>
      <c r="CF35" s="12"/>
      <c r="CG35" s="12"/>
      <c r="CH35" s="12"/>
      <c r="CI35" s="12"/>
      <c r="CJ35" s="12"/>
      <c r="CK35" s="12"/>
      <c r="CL35" s="12"/>
      <c r="CM35" s="12"/>
      <c r="CN35" s="12"/>
      <c r="CO35" s="12"/>
      <c r="CP35" s="12"/>
      <c r="CQ35" s="12"/>
      <c r="CR35" s="12"/>
      <c r="CS35" s="12"/>
      <c r="CT35" s="12"/>
      <c r="CU35" s="12"/>
      <c r="CV35" s="12"/>
      <c r="CW35" s="12"/>
      <c r="CX35" s="12"/>
      <c r="CY35" s="12"/>
      <c r="CZ35" s="12"/>
      <c r="DA35" s="12"/>
      <c r="DB35" s="12"/>
      <c r="DC35" s="12"/>
      <c r="DD35" s="12"/>
      <c r="DE35" s="12"/>
      <c r="DF35" s="12"/>
      <c r="DG35" s="12"/>
      <c r="DH35" s="12"/>
      <c r="DI35" s="12"/>
      <c r="DJ35" s="12"/>
      <c r="DK35" s="12"/>
      <c r="DL35" s="12"/>
      <c r="DM35" s="12"/>
      <c r="DN35" s="12"/>
      <c r="DO35" s="12"/>
      <c r="DP35" s="12"/>
      <c r="DQ35" s="12"/>
      <c r="DR35" s="12"/>
      <c r="DS35" s="12"/>
      <c r="DT35" s="12"/>
      <c r="DU35" s="12"/>
      <c r="DV35" s="12"/>
      <c r="DW35" s="12"/>
      <c r="DX35" s="12"/>
      <c r="DY35" s="12"/>
      <c r="DZ35" s="12"/>
      <c r="EA35" s="12"/>
      <c r="EB35" s="12"/>
      <c r="EC35" s="12"/>
      <c r="ED35" s="12"/>
      <c r="EE35" s="12"/>
      <c r="EF35" s="12"/>
      <c r="EG35" s="12"/>
      <c r="EH35" s="12"/>
      <c r="EI35" s="12"/>
      <c r="EJ35" s="12"/>
      <c r="EK35" s="12"/>
      <c r="EL35" s="12"/>
      <c r="EM35" s="12"/>
      <c r="EN35" s="12"/>
      <c r="EO35" s="12"/>
      <c r="EP35" s="12"/>
      <c r="EQ35" s="12"/>
      <c r="ER35" s="12"/>
      <c r="ES35" s="12"/>
      <c r="ET35" s="12"/>
      <c r="EU35" s="12"/>
      <c r="EV35" s="12"/>
      <c r="EW35" s="12"/>
      <c r="EX35" s="12"/>
      <c r="EY35" s="12"/>
      <c r="EZ35" s="12"/>
      <c r="FA35" s="12"/>
      <c r="FB35" s="12"/>
      <c r="FC35" s="12"/>
      <c r="FD35" s="12"/>
      <c r="FE35" s="12"/>
      <c r="FF35" s="12"/>
      <c r="FG35" s="12"/>
      <c r="FH35" s="12"/>
      <c r="FI35" s="12"/>
      <c r="FJ35" s="12"/>
      <c r="FK35" s="12"/>
      <c r="FL35" s="12"/>
      <c r="FM35" s="12"/>
      <c r="FN35" s="12"/>
      <c r="FO35" s="12"/>
      <c r="FP35" s="12"/>
      <c r="FQ35" s="12"/>
      <c r="FR35" s="12"/>
      <c r="FS35" s="12"/>
      <c r="FT35" s="12"/>
      <c r="FU35" s="12"/>
      <c r="FV35" s="12"/>
      <c r="FW35" s="12"/>
      <c r="FX35" s="12"/>
      <c r="FY35" s="12"/>
      <c r="FZ35" s="12"/>
      <c r="GA35" s="12"/>
      <c r="GB35" s="12"/>
      <c r="GC35" s="12"/>
      <c r="GD35" s="12"/>
      <c r="GE35" s="12"/>
      <c r="GF35" s="12"/>
      <c r="GG35" s="12"/>
      <c r="GH35" s="12"/>
      <c r="GI35" s="12"/>
      <c r="GJ35" s="12"/>
      <c r="GK35" s="12"/>
      <c r="GL35" s="12"/>
      <c r="GM35" s="12"/>
      <c r="GN35" s="12"/>
      <c r="GO35" s="12"/>
      <c r="GP35" s="12"/>
      <c r="GQ35" s="12"/>
      <c r="GR35" s="12"/>
      <c r="GS35" s="12"/>
      <c r="GT35" s="12"/>
      <c r="GU35" s="12"/>
      <c r="GV35" s="12"/>
      <c r="GW35" s="12"/>
      <c r="GX35" s="12"/>
      <c r="GY35" s="12"/>
      <c r="GZ35" s="12"/>
      <c r="HA35" s="12"/>
      <c r="HB35" s="12"/>
      <c r="HC35" s="12"/>
      <c r="HD35" s="12"/>
      <c r="HE35" s="12"/>
      <c r="HF35" s="12"/>
      <c r="HG35" s="12"/>
      <c r="HH35" s="12"/>
      <c r="HI35" s="12"/>
      <c r="HJ35" s="12"/>
      <c r="HK35" s="12"/>
      <c r="HL35" s="12"/>
      <c r="HM35" s="12"/>
      <c r="HN35" s="12"/>
      <c r="HO35" s="12"/>
      <c r="HP35" s="12"/>
      <c r="HQ35" s="12"/>
      <c r="HR35" s="12"/>
      <c r="HS35" s="12"/>
      <c r="HT35" s="12"/>
      <c r="HU35" s="12"/>
      <c r="HV35" s="12"/>
      <c r="HW35" s="12"/>
      <c r="HX35" s="12"/>
      <c r="HY35" s="12"/>
      <c r="HZ35" s="12"/>
      <c r="IA35" s="12"/>
      <c r="IB35" s="12"/>
      <c r="IC35" s="12"/>
      <c r="ID35" s="12"/>
      <c r="IE35" s="12"/>
      <c r="IF35" s="12"/>
      <c r="IG35" s="12"/>
      <c r="IH35" s="12"/>
      <c r="II35" s="12"/>
      <c r="IJ35" s="12"/>
      <c r="IK35" s="12"/>
      <c r="IL35" s="12"/>
      <c r="IM35" s="12"/>
      <c r="IN35" s="12"/>
      <c r="IO35" s="12"/>
      <c r="IP35" s="12"/>
      <c r="IQ35" s="12"/>
      <c r="IR35" s="12"/>
      <c r="IS35" s="12"/>
      <c r="IT35" s="12"/>
      <c r="IU35" s="12"/>
      <c r="IV35" s="12"/>
      <c r="IW35" s="12"/>
    </row>
    <row r="36" customFormat="false" ht="11.25" hidden="false" customHeight="false" outlineLevel="0" collapsed="false">
      <c r="A36" s="25" t="n">
        <f aca="false">DATE(YEAR(A35),MONTH(A35)+1,1)</f>
        <v>46813</v>
      </c>
      <c r="B36" s="21" t="n">
        <v>1.945</v>
      </c>
      <c r="C36" s="21" t="n">
        <v>1.95</v>
      </c>
      <c r="D36" s="25" t="n">
        <f aca="false">DATE(YEAR(D35),MONTH(D35)+1,1)</f>
        <v>46813</v>
      </c>
      <c r="E36" s="21" t="n">
        <v>18.292</v>
      </c>
      <c r="F36" s="21" t="n">
        <v>18.352</v>
      </c>
      <c r="G36" s="6"/>
      <c r="H36" s="22" t="n">
        <f aca="false">A36</f>
        <v>46813</v>
      </c>
      <c r="I36" s="23" t="n">
        <f aca="false">IF($J$1="bid",B36,C36)</f>
        <v>1.95</v>
      </c>
      <c r="J36" s="24" t="n">
        <f aca="false">D36</f>
        <v>46813</v>
      </c>
      <c r="K36" s="23" t="n">
        <f aca="false">IF($J$1="bid",E36,F36)</f>
        <v>18.352</v>
      </c>
      <c r="L36" s="11"/>
      <c r="M36" s="11" t="n">
        <v>12</v>
      </c>
      <c r="N36" s="29" t="e">
        <f aca="false">IF(MONTH($D$6)&gt;M36,0,IF(MONTH($D$6)=M36,+K$6,LOOKUP(DATE(N$24-1900,$M36,1),$J$6:$J$296,$K$6:$K$296)))</f>
        <v>#VALUE!</v>
      </c>
      <c r="O36" s="29" t="e">
        <f aca="false">LOOKUP(DATE(N$24-1900+1,$M36,1),$J$6:$J$260,$K$6:$K$260)</f>
        <v>#VALUE!</v>
      </c>
      <c r="P36" s="29" t="e">
        <f aca="false">LOOKUP(DATE(O$24-1900+1,$M36,1),$J$6:$J$260,$K$6:$K$260)</f>
        <v>#VALUE!</v>
      </c>
      <c r="Q36" s="29" t="e">
        <f aca="false">LOOKUP(DATE(P$24-1900+1,$M36,1),$J$6:$J$260,$K$6:$K$260)</f>
        <v>#VALUE!</v>
      </c>
      <c r="R36" s="29" t="e">
        <f aca="false">LOOKUP(DATE(Q$24-1900+1,$M36,1),$J$6:$J$260,$K$6:$K$260)</f>
        <v>#VALUE!</v>
      </c>
      <c r="S36" s="29" t="e">
        <f aca="false">LOOKUP(DATE(R$24-1900+1,$M36,1),$J$6:$J$260,$K$6:$K$260)</f>
        <v>#VALUE!</v>
      </c>
      <c r="T36" s="29" t="e">
        <f aca="false">LOOKUP(DATE(S$24-1900+1,$M36,1),$J$6:$J$260,$K$6:$K$260)</f>
        <v>#VALUE!</v>
      </c>
      <c r="U36" s="29" t="e">
        <f aca="false">LOOKUP(DATE(T$24-1900+1,$M36,1),$J$6:$J$260,$K$6:$K$260)</f>
        <v>#VALUE!</v>
      </c>
      <c r="V36" s="29" t="e">
        <f aca="false">LOOKUP(DATE(U$24-1900+1,$M36,1),$J$6:$J$260,$K$6:$K$260)</f>
        <v>#VALUE!</v>
      </c>
      <c r="W36" s="29" t="e">
        <f aca="false">LOOKUP(DATE(V$24-1900+1,$M36,1),$J$6:$J$260,$K$6:$K$260)</f>
        <v>#VALUE!</v>
      </c>
      <c r="X36" s="29" t="e">
        <f aca="false">LOOKUP(DATE(W$24-1900+1,$M36,1),$J$6:$J$260,$K$6:$K$260)</f>
        <v>#VALUE!</v>
      </c>
      <c r="Y36" s="29" t="e">
        <f aca="false">LOOKUP(DATE(X$24-1900+1,$M36,1),$J$6:$J$260,$K$6:$K$260)</f>
        <v>#VALUE!</v>
      </c>
      <c r="Z36" s="29" t="e">
        <f aca="false">LOOKUP(DATE(Y$24-1900+1,$M36,1),$J$6:$J$260,$K$6:$K$260)</f>
        <v>#VALUE!</v>
      </c>
      <c r="AA36" s="29" t="e">
        <f aca="false">LOOKUP(DATE(Z$24-1900+1,$M36,1),$J$6:$J$260,$K$6:$K$260)</f>
        <v>#VALUE!</v>
      </c>
      <c r="AB36" s="29" t="e">
        <f aca="false">LOOKUP(DATE(AA$24-1900+1,$M36,1),$J$6:$J$260,$K$6:$K$260)</f>
        <v>#VALUE!</v>
      </c>
      <c r="AC36" s="29" t="e">
        <f aca="false">LOOKUP(DATE(AB$24-1900+1,$M36,1),$J$6:$J$260,$K$6:$K$260)</f>
        <v>#VALUE!</v>
      </c>
      <c r="AD36" s="29" t="e">
        <f aca="false">LOOKUP(DATE(AC$24-1900+1,$M36,1),$J$6:$J$260,$K$6:$K$260)</f>
        <v>#VALUE!</v>
      </c>
      <c r="AE36" s="29" t="e">
        <f aca="false">LOOKUP(DATE(AD$24-1900+1,$M36,1),$J$6:$J$260,$K$6:$K$260)</f>
        <v>#VALUE!</v>
      </c>
      <c r="AF36" s="29" t="e">
        <f aca="false">LOOKUP(DATE(AE$24-1900+1,$M36,1),$J$6:$J$260,$K$6:$K$260)</f>
        <v>#VALUE!</v>
      </c>
      <c r="AG36" s="29" t="e">
        <f aca="false">LOOKUP(DATE(AF$24-1900+1,$M36,1),$J$6:$J$260,$K$6:$K$260)</f>
        <v>#VALUE!</v>
      </c>
      <c r="AH36" s="29" t="e">
        <f aca="false">LOOKUP(DATE(AG$24-1900+1,$M36,1),$J$6:$J$260,$K$6:$K$260)</f>
        <v>#VALUE!</v>
      </c>
      <c r="AI36" s="29"/>
      <c r="AJ36" s="11"/>
      <c r="AK36" s="11"/>
      <c r="AL36" s="11"/>
      <c r="AM36" s="11"/>
      <c r="AN36" s="11"/>
      <c r="AO36" s="11"/>
      <c r="AP36" s="11"/>
      <c r="AQ36" s="11"/>
      <c r="AR36" s="5"/>
      <c r="AS36" s="12"/>
      <c r="AT36" s="12"/>
      <c r="AU36" s="12"/>
      <c r="AV36" s="12"/>
      <c r="AW36" s="12"/>
      <c r="AX36" s="12"/>
      <c r="AY36" s="12"/>
      <c r="AZ36" s="12"/>
      <c r="BA36" s="12"/>
      <c r="BB36" s="12"/>
      <c r="BC36" s="12"/>
      <c r="BD36" s="12"/>
      <c r="BE36" s="12"/>
      <c r="BF36" s="12"/>
      <c r="BG36" s="12"/>
      <c r="BH36" s="12"/>
      <c r="BI36" s="12"/>
      <c r="BJ36" s="12"/>
      <c r="BK36" s="12"/>
      <c r="BL36" s="12"/>
      <c r="BM36" s="12"/>
      <c r="BN36" s="12"/>
      <c r="BO36" s="12"/>
      <c r="BP36" s="12"/>
      <c r="BQ36" s="12"/>
      <c r="BR36" s="12"/>
      <c r="BS36" s="12"/>
      <c r="BT36" s="12"/>
      <c r="BU36" s="12"/>
      <c r="BV36" s="12"/>
      <c r="BW36" s="12"/>
      <c r="BX36" s="12"/>
      <c r="BY36" s="12"/>
      <c r="BZ36" s="12"/>
      <c r="CA36" s="12"/>
      <c r="CB36" s="12"/>
      <c r="CC36" s="12"/>
      <c r="CD36" s="12"/>
      <c r="CE36" s="12"/>
      <c r="CF36" s="12"/>
      <c r="CG36" s="12"/>
      <c r="CH36" s="12"/>
      <c r="CI36" s="12"/>
      <c r="CJ36" s="12"/>
      <c r="CK36" s="12"/>
      <c r="CL36" s="12"/>
      <c r="CM36" s="12"/>
      <c r="CN36" s="12"/>
      <c r="CO36" s="12"/>
      <c r="CP36" s="12"/>
      <c r="CQ36" s="12"/>
      <c r="CR36" s="12"/>
      <c r="CS36" s="12"/>
      <c r="CT36" s="12"/>
      <c r="CU36" s="12"/>
      <c r="CV36" s="12"/>
      <c r="CW36" s="12"/>
      <c r="CX36" s="12"/>
      <c r="CY36" s="12"/>
      <c r="CZ36" s="12"/>
      <c r="DA36" s="12"/>
      <c r="DB36" s="12"/>
      <c r="DC36" s="12"/>
      <c r="DD36" s="12"/>
      <c r="DE36" s="12"/>
      <c r="DF36" s="12"/>
      <c r="DG36" s="12"/>
      <c r="DH36" s="12"/>
      <c r="DI36" s="12"/>
      <c r="DJ36" s="12"/>
      <c r="DK36" s="12"/>
      <c r="DL36" s="12"/>
      <c r="DM36" s="12"/>
      <c r="DN36" s="12"/>
      <c r="DO36" s="12"/>
      <c r="DP36" s="12"/>
      <c r="DQ36" s="12"/>
      <c r="DR36" s="12"/>
      <c r="DS36" s="12"/>
      <c r="DT36" s="12"/>
      <c r="DU36" s="12"/>
      <c r="DV36" s="12"/>
      <c r="DW36" s="12"/>
      <c r="DX36" s="12"/>
      <c r="DY36" s="12"/>
      <c r="DZ36" s="12"/>
      <c r="EA36" s="12"/>
      <c r="EB36" s="12"/>
      <c r="EC36" s="12"/>
      <c r="ED36" s="12"/>
      <c r="EE36" s="12"/>
      <c r="EF36" s="12"/>
      <c r="EG36" s="12"/>
      <c r="EH36" s="12"/>
      <c r="EI36" s="12"/>
      <c r="EJ36" s="12"/>
      <c r="EK36" s="12"/>
      <c r="EL36" s="12"/>
      <c r="EM36" s="12"/>
      <c r="EN36" s="12"/>
      <c r="EO36" s="12"/>
      <c r="EP36" s="12"/>
      <c r="EQ36" s="12"/>
      <c r="ER36" s="12"/>
      <c r="ES36" s="12"/>
      <c r="ET36" s="12"/>
      <c r="EU36" s="12"/>
      <c r="EV36" s="12"/>
      <c r="EW36" s="12"/>
      <c r="EX36" s="12"/>
      <c r="EY36" s="12"/>
      <c r="EZ36" s="12"/>
      <c r="FA36" s="12"/>
      <c r="FB36" s="12"/>
      <c r="FC36" s="12"/>
      <c r="FD36" s="12"/>
      <c r="FE36" s="12"/>
      <c r="FF36" s="12"/>
      <c r="FG36" s="12"/>
      <c r="FH36" s="12"/>
      <c r="FI36" s="12"/>
      <c r="FJ36" s="12"/>
      <c r="FK36" s="12"/>
      <c r="FL36" s="12"/>
      <c r="FM36" s="12"/>
      <c r="FN36" s="12"/>
      <c r="FO36" s="12"/>
      <c r="FP36" s="12"/>
      <c r="FQ36" s="12"/>
      <c r="FR36" s="12"/>
      <c r="FS36" s="12"/>
      <c r="FT36" s="12"/>
      <c r="FU36" s="12"/>
      <c r="FV36" s="12"/>
      <c r="FW36" s="12"/>
      <c r="FX36" s="12"/>
      <c r="FY36" s="12"/>
      <c r="FZ36" s="12"/>
      <c r="GA36" s="12"/>
      <c r="GB36" s="12"/>
      <c r="GC36" s="12"/>
      <c r="GD36" s="12"/>
      <c r="GE36" s="12"/>
      <c r="GF36" s="12"/>
      <c r="GG36" s="12"/>
      <c r="GH36" s="12"/>
      <c r="GI36" s="12"/>
      <c r="GJ36" s="12"/>
      <c r="GK36" s="12"/>
      <c r="GL36" s="12"/>
      <c r="GM36" s="12"/>
      <c r="GN36" s="12"/>
      <c r="GO36" s="12"/>
      <c r="GP36" s="12"/>
      <c r="GQ36" s="12"/>
      <c r="GR36" s="12"/>
      <c r="GS36" s="12"/>
      <c r="GT36" s="12"/>
      <c r="GU36" s="12"/>
      <c r="GV36" s="12"/>
      <c r="GW36" s="12"/>
      <c r="GX36" s="12"/>
      <c r="GY36" s="12"/>
      <c r="GZ36" s="12"/>
      <c r="HA36" s="12"/>
      <c r="HB36" s="12"/>
      <c r="HC36" s="12"/>
      <c r="HD36" s="12"/>
      <c r="HE36" s="12"/>
      <c r="HF36" s="12"/>
      <c r="HG36" s="12"/>
      <c r="HH36" s="12"/>
      <c r="HI36" s="12"/>
      <c r="HJ36" s="12"/>
      <c r="HK36" s="12"/>
      <c r="HL36" s="12"/>
      <c r="HM36" s="12"/>
      <c r="HN36" s="12"/>
      <c r="HO36" s="12"/>
      <c r="HP36" s="12"/>
      <c r="HQ36" s="12"/>
      <c r="HR36" s="12"/>
      <c r="HS36" s="12"/>
      <c r="HT36" s="12"/>
      <c r="HU36" s="12"/>
      <c r="HV36" s="12"/>
      <c r="HW36" s="12"/>
      <c r="HX36" s="12"/>
      <c r="HY36" s="12"/>
      <c r="HZ36" s="12"/>
      <c r="IA36" s="12"/>
      <c r="IB36" s="12"/>
      <c r="IC36" s="12"/>
      <c r="ID36" s="12"/>
      <c r="IE36" s="12"/>
      <c r="IF36" s="12"/>
      <c r="IG36" s="12"/>
      <c r="IH36" s="12"/>
      <c r="II36" s="12"/>
      <c r="IJ36" s="12"/>
      <c r="IK36" s="12"/>
      <c r="IL36" s="12"/>
      <c r="IM36" s="12"/>
      <c r="IN36" s="12"/>
      <c r="IO36" s="12"/>
      <c r="IP36" s="12"/>
      <c r="IQ36" s="12"/>
      <c r="IR36" s="12"/>
      <c r="IS36" s="12"/>
      <c r="IT36" s="12"/>
      <c r="IU36" s="12"/>
      <c r="IV36" s="12"/>
      <c r="IW36" s="12"/>
    </row>
    <row r="37" customFormat="false" ht="11.25" hidden="false" customHeight="false" outlineLevel="0" collapsed="false">
      <c r="A37" s="25" t="n">
        <f aca="false">DATE(YEAR(A36),MONTH(A36)+1,1)</f>
        <v>46844</v>
      </c>
      <c r="B37" s="21" t="n">
        <v>1.953</v>
      </c>
      <c r="C37" s="21" t="n">
        <v>1.958</v>
      </c>
      <c r="D37" s="25" t="n">
        <f aca="false">DATE(YEAR(D36),MONTH(D36)+1,1)</f>
        <v>46844</v>
      </c>
      <c r="E37" s="21" t="n">
        <v>18.297</v>
      </c>
      <c r="F37" s="21" t="n">
        <v>18.357</v>
      </c>
      <c r="G37" s="6"/>
      <c r="H37" s="22" t="n">
        <f aca="false">A37</f>
        <v>46844</v>
      </c>
      <c r="I37" s="23" t="n">
        <f aca="false">IF($J$1="bid",B37,C37)</f>
        <v>1.958</v>
      </c>
      <c r="J37" s="24" t="n">
        <f aca="false">D37</f>
        <v>46844</v>
      </c>
      <c r="K37" s="23" t="n">
        <f aca="false">IF($J$1="bid",E37,F37)</f>
        <v>18.357</v>
      </c>
      <c r="L37" s="31" t="s">
        <v>12</v>
      </c>
      <c r="M37" s="31"/>
      <c r="N37" s="31" t="n">
        <f aca="false">IF(ISERR(SUM(N25:N36)/COUNTIF(N25:N36,"&gt;0")),0,SUM(N25:N36)/COUNTIF(N25:N36,"&gt;0"))</f>
        <v>0</v>
      </c>
      <c r="O37" s="31" t="n">
        <f aca="false">IF(ISERR(SUM(O25:O36)/COUNTIF(O25:O36,"&gt;0")),0,SUM(O25:O36)/COUNTIF(O25:O36,"&gt;0"))</f>
        <v>0</v>
      </c>
      <c r="P37" s="31" t="n">
        <f aca="false">IF(ISERR(SUM(P25:P36)/COUNTIF(P25:P36,"&gt;0")),0,SUM(P25:P36)/COUNTIF(P25:P36,"&gt;0"))</f>
        <v>0</v>
      </c>
      <c r="Q37" s="31" t="n">
        <f aca="false">IF(ISERR(SUM(Q25:Q36)/COUNTIF(Q25:Q36,"&gt;0")),0,SUM(Q25:Q36)/COUNTIF(Q25:Q36,"&gt;0"))</f>
        <v>0</v>
      </c>
      <c r="R37" s="31" t="n">
        <f aca="false">IF(ISERR(SUM(R25:R36)/COUNTIF(R25:R36,"&gt;0")),0,SUM(R25:R36)/COUNTIF(R25:R36,"&gt;0"))</f>
        <v>0</v>
      </c>
      <c r="S37" s="31" t="n">
        <f aca="false">IF(ISERR(SUM(S25:S36)/COUNTIF(S25:S36,"&gt;0")),0,SUM(S25:S36)/COUNTIF(S25:S36,"&gt;0"))</f>
        <v>0</v>
      </c>
      <c r="T37" s="31" t="n">
        <f aca="false">IF(ISERR(SUM(T25:T36)/COUNTIF(T25:T36,"&gt;0")),0,SUM(T25:T36)/COUNTIF(T25:T36,"&gt;0"))</f>
        <v>0</v>
      </c>
      <c r="U37" s="31" t="n">
        <f aca="false">IF(ISERR(SUM(U25:U36)/COUNTIF(U25:U36,"&gt;0")),0,SUM(U25:U36)/COUNTIF(U25:U36,"&gt;0"))</f>
        <v>0</v>
      </c>
      <c r="V37" s="31" t="n">
        <f aca="false">IF(ISERR(SUM(V25:V36)/COUNTIF(V25:V36,"&gt;0")),0,SUM(V25:V36)/COUNTIF(V25:V36,"&gt;0"))</f>
        <v>0</v>
      </c>
      <c r="W37" s="31" t="n">
        <f aca="false">IF(ISERR(SUM(W25:W36)/COUNTIF(W25:W36,"&gt;0")),0,SUM(W25:W36)/COUNTIF(W25:W36,"&gt;0"))</f>
        <v>0</v>
      </c>
      <c r="X37" s="31" t="n">
        <f aca="false">IF(ISERR(SUM(X25:X36)/COUNTIF(X25:X36,"&gt;0")),0,SUM(X25:X36)/COUNTIF(X25:X36,"&gt;0"))</f>
        <v>0</v>
      </c>
      <c r="Y37" s="31" t="n">
        <f aca="false">IF(ISERR(SUM(Y25:Y36)/COUNTIF(Y25:Y36,"&gt;0")),0,SUM(Y25:Y36)/COUNTIF(Y25:Y36,"&gt;0"))</f>
        <v>0</v>
      </c>
      <c r="Z37" s="31" t="n">
        <f aca="false">IF(ISERR(SUM(Z25:Z36)/COUNTIF(Z25:Z36,"&gt;0")),0,SUM(Z25:Z36)/COUNTIF(Z25:Z36,"&gt;0"))</f>
        <v>0</v>
      </c>
      <c r="AA37" s="31" t="n">
        <f aca="false">IF(ISERR(SUM(AA25:AA36)/COUNTIF(AA25:AA36,"&gt;0")),0,SUM(AA25:AA36)/COUNTIF(AA25:AA36,"&gt;0"))</f>
        <v>0</v>
      </c>
      <c r="AB37" s="31" t="n">
        <f aca="false">IF(ISERR(SUM(AB25:AB36)/COUNTIF(AB25:AB36,"&gt;0")),0,SUM(AB25:AB36)/COUNTIF(AB25:AB36,"&gt;0"))</f>
        <v>0</v>
      </c>
      <c r="AC37" s="31" t="n">
        <f aca="false">IF(ISERR(SUM(AC25:AC36)/COUNTIF(AC25:AC36,"&gt;0")),0,SUM(AC25:AC36)/COUNTIF(AC25:AC36,"&gt;0"))</f>
        <v>0</v>
      </c>
      <c r="AD37" s="31" t="n">
        <f aca="false">IF(ISERR(SUM(AD25:AD36)/COUNTIF(AD25:AD36,"&gt;0")),0,SUM(AD25:AD36)/COUNTIF(AD25:AD36,"&gt;0"))</f>
        <v>0</v>
      </c>
      <c r="AE37" s="31" t="n">
        <f aca="false">IF(ISERR(SUM(AE25:AE36)/COUNTIF(AE25:AE36,"&gt;0")),0,SUM(AE25:AE36)/COUNTIF(AE25:AE36,"&gt;0"))</f>
        <v>0</v>
      </c>
      <c r="AF37" s="31" t="n">
        <f aca="false">IF(ISERR(SUM(AF25:AF36)/COUNTIF(AF25:AF36,"&gt;0")),0,SUM(AF25:AF36)/COUNTIF(AF25:AF36,"&gt;0"))</f>
        <v>0</v>
      </c>
      <c r="AG37" s="31" t="n">
        <f aca="false">IF(ISERR(SUM(AG25:AG36)/COUNTIF(AG25:AG36,"&gt;0")),0,SUM(AG25:AG36)/COUNTIF(AG25:AG36,"&gt;0"))</f>
        <v>0</v>
      </c>
      <c r="AH37" s="31" t="n">
        <f aca="false">IF(ISERR(SUM(AH25:AH36)/COUNTIF(AH25:AH36,"&gt;0")),0,SUM(AH25:AH36)/COUNTIF(AH25:AH36,"&gt;0"))</f>
        <v>0</v>
      </c>
      <c r="AI37" s="31" t="n">
        <f aca="false">IF(ISERR(SUM(AI25:AI36)/COUNTIF(AI25:AI36,"&gt;0")),0,SUM(AI25:AI36)/COUNTIF(AI25:AI36,"&gt;0"))</f>
        <v>0</v>
      </c>
      <c r="AJ37" s="31" t="n">
        <f aca="false">IF(ISERR(SUM(AJ25:AJ36)/COUNTIF(AJ25:AJ36,"&gt;0")),0,SUM(AJ25:AJ36)/COUNTIF(AJ25:AJ36,"&gt;0"))</f>
        <v>0</v>
      </c>
      <c r="AK37" s="31" t="n">
        <f aca="false">IF(ISERR(SUM(AK25:AK36)/COUNTIF(AK25:AK36,"&gt;0")),0,SUM(AK25:AK36)/COUNTIF(AK25:AK36,"&gt;0"))</f>
        <v>0</v>
      </c>
      <c r="AL37" s="31" t="n">
        <f aca="false">IF(ISERR(SUM(AL25:AL36)/COUNTIF(AL25:AL36,"&gt;0")),0,SUM(AL25:AL36)/COUNTIF(AL25:AL36,"&gt;0"))</f>
        <v>0</v>
      </c>
      <c r="AM37" s="31" t="n">
        <f aca="false">IF(ISERR(SUM(AM25:AM36)/COUNTIF(AM25:AM36,"&gt;0")),0,SUM(AM25:AM36)/COUNTIF(AM25:AM36,"&gt;0"))</f>
        <v>0</v>
      </c>
      <c r="AN37" s="31" t="n">
        <f aca="false">IF(ISERR(SUM(AN25:AN36)/COUNTIF(AN25:AN36,"&gt;0")),0,SUM(AN25:AN36)/COUNTIF(AN25:AN36,"&gt;0"))</f>
        <v>0</v>
      </c>
      <c r="AO37" s="31" t="n">
        <f aca="false">IF(ISERR(SUM(AO25:AO36)/COUNTIF(AO25:AO36,"&gt;0")),0,SUM(AO25:AO36)/COUNTIF(AO25:AO36,"&gt;0"))</f>
        <v>0</v>
      </c>
      <c r="AP37" s="31" t="n">
        <f aca="false">IF(ISERR(SUM(AP25:AP36)/COUNTIF(AP25:AP36,"&gt;0")),0,SUM(AP25:AP36)/COUNTIF(AP25:AP36,"&gt;0"))</f>
        <v>0</v>
      </c>
      <c r="AQ37" s="31" t="n">
        <f aca="false">IF(ISERR(SUM(AQ25:AQ36)/COUNTIF(AQ25:AQ36,"&gt;0")),0,SUM(AQ25:AQ36)/COUNTIF(AQ25:AQ36,"&gt;0"))</f>
        <v>0</v>
      </c>
      <c r="AR37" s="5"/>
      <c r="AS37" s="12"/>
      <c r="AT37" s="12"/>
      <c r="AU37" s="12"/>
      <c r="AV37" s="12"/>
      <c r="AW37" s="12"/>
      <c r="AX37" s="12"/>
      <c r="AY37" s="12"/>
      <c r="AZ37" s="12"/>
      <c r="BA37" s="12"/>
      <c r="BB37" s="12"/>
      <c r="BC37" s="12"/>
      <c r="BD37" s="12"/>
      <c r="BE37" s="12"/>
      <c r="BF37" s="12"/>
      <c r="BG37" s="12"/>
      <c r="BH37" s="12"/>
      <c r="BI37" s="12"/>
      <c r="BJ37" s="12"/>
      <c r="BK37" s="12"/>
      <c r="BL37" s="12"/>
      <c r="BM37" s="12"/>
      <c r="BN37" s="12"/>
      <c r="BO37" s="12"/>
      <c r="BP37" s="12"/>
      <c r="BQ37" s="12"/>
      <c r="BR37" s="12"/>
      <c r="BS37" s="12"/>
      <c r="BT37" s="12"/>
      <c r="BU37" s="12"/>
      <c r="BV37" s="12"/>
      <c r="BW37" s="12"/>
      <c r="BX37" s="12"/>
      <c r="BY37" s="12"/>
      <c r="BZ37" s="12"/>
      <c r="CA37" s="12"/>
      <c r="CB37" s="12"/>
      <c r="CC37" s="12"/>
      <c r="CD37" s="12"/>
      <c r="CE37" s="12"/>
      <c r="CF37" s="12"/>
      <c r="CG37" s="12"/>
      <c r="CH37" s="12"/>
      <c r="CI37" s="12"/>
      <c r="CJ37" s="12"/>
      <c r="CK37" s="12"/>
      <c r="CL37" s="12"/>
      <c r="CM37" s="12"/>
      <c r="CN37" s="12"/>
      <c r="CO37" s="12"/>
      <c r="CP37" s="12"/>
      <c r="CQ37" s="12"/>
      <c r="CR37" s="12"/>
      <c r="CS37" s="12"/>
      <c r="CT37" s="12"/>
      <c r="CU37" s="12"/>
      <c r="CV37" s="12"/>
      <c r="CW37" s="12"/>
      <c r="CX37" s="12"/>
      <c r="CY37" s="12"/>
      <c r="CZ37" s="12"/>
      <c r="DA37" s="12"/>
      <c r="DB37" s="12"/>
      <c r="DC37" s="12"/>
      <c r="DD37" s="12"/>
      <c r="DE37" s="12"/>
      <c r="DF37" s="12"/>
      <c r="DG37" s="12"/>
      <c r="DH37" s="12"/>
      <c r="DI37" s="12"/>
      <c r="DJ37" s="12"/>
      <c r="DK37" s="12"/>
      <c r="DL37" s="12"/>
      <c r="DM37" s="12"/>
      <c r="DN37" s="12"/>
      <c r="DO37" s="12"/>
      <c r="DP37" s="12"/>
      <c r="DQ37" s="12"/>
      <c r="DR37" s="12"/>
      <c r="DS37" s="12"/>
      <c r="DT37" s="12"/>
      <c r="DU37" s="12"/>
      <c r="DV37" s="12"/>
      <c r="DW37" s="12"/>
      <c r="DX37" s="12"/>
      <c r="DY37" s="12"/>
      <c r="DZ37" s="12"/>
      <c r="EA37" s="12"/>
      <c r="EB37" s="12"/>
      <c r="EC37" s="12"/>
      <c r="ED37" s="12"/>
      <c r="EE37" s="12"/>
      <c r="EF37" s="12"/>
      <c r="EG37" s="12"/>
      <c r="EH37" s="12"/>
      <c r="EI37" s="12"/>
      <c r="EJ37" s="12"/>
      <c r="EK37" s="12"/>
      <c r="EL37" s="12"/>
      <c r="EM37" s="12"/>
      <c r="EN37" s="12"/>
      <c r="EO37" s="12"/>
      <c r="EP37" s="12"/>
      <c r="EQ37" s="12"/>
      <c r="ER37" s="12"/>
      <c r="ES37" s="12"/>
      <c r="ET37" s="12"/>
      <c r="EU37" s="12"/>
      <c r="EV37" s="12"/>
      <c r="EW37" s="12"/>
      <c r="EX37" s="12"/>
      <c r="EY37" s="12"/>
      <c r="EZ37" s="12"/>
      <c r="FA37" s="12"/>
      <c r="FB37" s="12"/>
      <c r="FC37" s="12"/>
      <c r="FD37" s="12"/>
      <c r="FE37" s="12"/>
      <c r="FF37" s="12"/>
      <c r="FG37" s="12"/>
      <c r="FH37" s="12"/>
      <c r="FI37" s="12"/>
      <c r="FJ37" s="12"/>
      <c r="FK37" s="12"/>
      <c r="FL37" s="12"/>
      <c r="FM37" s="12"/>
      <c r="FN37" s="12"/>
      <c r="FO37" s="12"/>
      <c r="FP37" s="12"/>
      <c r="FQ37" s="12"/>
      <c r="FR37" s="12"/>
      <c r="FS37" s="12"/>
      <c r="FT37" s="12"/>
      <c r="FU37" s="12"/>
      <c r="FV37" s="12"/>
      <c r="FW37" s="12"/>
      <c r="FX37" s="12"/>
      <c r="FY37" s="12"/>
      <c r="FZ37" s="12"/>
      <c r="GA37" s="12"/>
      <c r="GB37" s="12"/>
      <c r="GC37" s="12"/>
      <c r="GD37" s="12"/>
      <c r="GE37" s="12"/>
      <c r="GF37" s="12"/>
      <c r="GG37" s="12"/>
      <c r="GH37" s="12"/>
      <c r="GI37" s="12"/>
      <c r="GJ37" s="12"/>
      <c r="GK37" s="12"/>
      <c r="GL37" s="12"/>
      <c r="GM37" s="12"/>
      <c r="GN37" s="12"/>
      <c r="GO37" s="12"/>
      <c r="GP37" s="12"/>
      <c r="GQ37" s="12"/>
      <c r="GR37" s="12"/>
      <c r="GS37" s="12"/>
      <c r="GT37" s="12"/>
      <c r="GU37" s="12"/>
      <c r="GV37" s="12"/>
      <c r="GW37" s="12"/>
      <c r="GX37" s="12"/>
      <c r="GY37" s="12"/>
      <c r="GZ37" s="12"/>
      <c r="HA37" s="12"/>
      <c r="HB37" s="12"/>
      <c r="HC37" s="12"/>
      <c r="HD37" s="12"/>
      <c r="HE37" s="12"/>
      <c r="HF37" s="12"/>
      <c r="HG37" s="12"/>
      <c r="HH37" s="12"/>
      <c r="HI37" s="12"/>
      <c r="HJ37" s="12"/>
      <c r="HK37" s="12"/>
      <c r="HL37" s="12"/>
      <c r="HM37" s="12"/>
      <c r="HN37" s="12"/>
      <c r="HO37" s="12"/>
      <c r="HP37" s="12"/>
      <c r="HQ37" s="12"/>
      <c r="HR37" s="12"/>
      <c r="HS37" s="12"/>
      <c r="HT37" s="12"/>
      <c r="HU37" s="12"/>
      <c r="HV37" s="12"/>
      <c r="HW37" s="12"/>
      <c r="HX37" s="12"/>
      <c r="HY37" s="12"/>
      <c r="HZ37" s="12"/>
      <c r="IA37" s="12"/>
      <c r="IB37" s="12"/>
      <c r="IC37" s="12"/>
      <c r="ID37" s="12"/>
      <c r="IE37" s="12"/>
      <c r="IF37" s="12"/>
      <c r="IG37" s="12"/>
      <c r="IH37" s="12"/>
      <c r="II37" s="12"/>
      <c r="IJ37" s="12"/>
      <c r="IK37" s="12"/>
      <c r="IL37" s="12"/>
      <c r="IM37" s="12"/>
      <c r="IN37" s="12"/>
      <c r="IO37" s="12"/>
      <c r="IP37" s="12"/>
      <c r="IQ37" s="12"/>
      <c r="IR37" s="12"/>
      <c r="IS37" s="12"/>
      <c r="IT37" s="12"/>
      <c r="IU37" s="12"/>
      <c r="IV37" s="12"/>
      <c r="IW37" s="12"/>
    </row>
    <row r="38" customFormat="false" ht="11.25" hidden="false" customHeight="false" outlineLevel="0" collapsed="false">
      <c r="A38" s="25" t="n">
        <f aca="false">DATE(YEAR(A37),MONTH(A37)+1,1)</f>
        <v>46874</v>
      </c>
      <c r="B38" s="21" t="n">
        <v>1.945</v>
      </c>
      <c r="C38" s="21" t="n">
        <v>1.95</v>
      </c>
      <c r="D38" s="25" t="n">
        <f aca="false">DATE(YEAR(D37),MONTH(D37)+1,1)</f>
        <v>46874</v>
      </c>
      <c r="E38" s="21" t="n">
        <v>18.302</v>
      </c>
      <c r="F38" s="21" t="n">
        <v>18.362</v>
      </c>
      <c r="G38" s="6"/>
      <c r="H38" s="22" t="n">
        <f aca="false">A38</f>
        <v>46874</v>
      </c>
      <c r="I38" s="23" t="n">
        <f aca="false">IF($J$1="bid",B38,C38)</f>
        <v>1.95</v>
      </c>
      <c r="J38" s="24" t="n">
        <f aca="false">D38</f>
        <v>46874</v>
      </c>
      <c r="K38" s="23" t="n">
        <f aca="false">IF($J$1="bid",E38,F38)</f>
        <v>18.362</v>
      </c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  <c r="AA38" s="11"/>
      <c r="AB38" s="11"/>
      <c r="AC38" s="11"/>
      <c r="AD38" s="11"/>
      <c r="AE38" s="11"/>
      <c r="AF38" s="11"/>
      <c r="AG38" s="11"/>
      <c r="AH38" s="11"/>
      <c r="AI38" s="11"/>
      <c r="AJ38" s="11"/>
      <c r="AK38" s="11"/>
      <c r="AL38" s="11"/>
      <c r="AM38" s="11"/>
      <c r="AN38" s="11"/>
      <c r="AO38" s="11"/>
      <c r="AP38" s="11"/>
      <c r="AQ38" s="11"/>
      <c r="AR38" s="5"/>
      <c r="AS38" s="12"/>
      <c r="AT38" s="12"/>
      <c r="AU38" s="12"/>
      <c r="AV38" s="12"/>
      <c r="AW38" s="12"/>
      <c r="AX38" s="12"/>
      <c r="AY38" s="12"/>
      <c r="AZ38" s="12"/>
      <c r="BA38" s="12"/>
      <c r="BB38" s="12"/>
      <c r="BC38" s="12"/>
      <c r="BD38" s="12"/>
      <c r="BE38" s="12"/>
      <c r="BF38" s="12"/>
      <c r="BG38" s="12"/>
      <c r="BH38" s="12"/>
      <c r="BI38" s="12"/>
      <c r="BJ38" s="12"/>
      <c r="BK38" s="12"/>
      <c r="BL38" s="12"/>
      <c r="BM38" s="12"/>
      <c r="BN38" s="12"/>
      <c r="BO38" s="12"/>
      <c r="BP38" s="12"/>
      <c r="BQ38" s="12"/>
      <c r="BR38" s="12"/>
      <c r="BS38" s="12"/>
      <c r="BT38" s="12"/>
      <c r="BU38" s="12"/>
      <c r="BV38" s="12"/>
      <c r="BW38" s="12"/>
      <c r="BX38" s="12"/>
      <c r="BY38" s="12"/>
      <c r="BZ38" s="12"/>
      <c r="CA38" s="12"/>
      <c r="CB38" s="12"/>
      <c r="CC38" s="12"/>
      <c r="CD38" s="12"/>
      <c r="CE38" s="12"/>
      <c r="CF38" s="12"/>
      <c r="CG38" s="12"/>
      <c r="CH38" s="12"/>
      <c r="CI38" s="12"/>
      <c r="CJ38" s="12"/>
      <c r="CK38" s="12"/>
      <c r="CL38" s="12"/>
      <c r="CM38" s="12"/>
      <c r="CN38" s="12"/>
      <c r="CO38" s="12"/>
      <c r="CP38" s="12"/>
      <c r="CQ38" s="12"/>
      <c r="CR38" s="12"/>
      <c r="CS38" s="12"/>
      <c r="CT38" s="12"/>
      <c r="CU38" s="12"/>
      <c r="CV38" s="12"/>
      <c r="CW38" s="12"/>
      <c r="CX38" s="12"/>
      <c r="CY38" s="12"/>
      <c r="CZ38" s="12"/>
      <c r="DA38" s="12"/>
      <c r="DB38" s="12"/>
      <c r="DC38" s="12"/>
      <c r="DD38" s="12"/>
      <c r="DE38" s="12"/>
      <c r="DF38" s="12"/>
      <c r="DG38" s="12"/>
      <c r="DH38" s="12"/>
      <c r="DI38" s="12"/>
      <c r="DJ38" s="12"/>
      <c r="DK38" s="12"/>
      <c r="DL38" s="12"/>
      <c r="DM38" s="12"/>
      <c r="DN38" s="12"/>
      <c r="DO38" s="12"/>
      <c r="DP38" s="12"/>
      <c r="DQ38" s="12"/>
      <c r="DR38" s="12"/>
      <c r="DS38" s="12"/>
      <c r="DT38" s="12"/>
      <c r="DU38" s="12"/>
      <c r="DV38" s="12"/>
      <c r="DW38" s="12"/>
      <c r="DX38" s="12"/>
      <c r="DY38" s="12"/>
      <c r="DZ38" s="12"/>
      <c r="EA38" s="12"/>
      <c r="EB38" s="12"/>
      <c r="EC38" s="12"/>
      <c r="ED38" s="12"/>
      <c r="EE38" s="12"/>
      <c r="EF38" s="12"/>
      <c r="EG38" s="12"/>
      <c r="EH38" s="12"/>
      <c r="EI38" s="12"/>
      <c r="EJ38" s="12"/>
      <c r="EK38" s="12"/>
      <c r="EL38" s="12"/>
      <c r="EM38" s="12"/>
      <c r="EN38" s="12"/>
      <c r="EO38" s="12"/>
      <c r="EP38" s="12"/>
      <c r="EQ38" s="12"/>
      <c r="ER38" s="12"/>
      <c r="ES38" s="12"/>
      <c r="ET38" s="12"/>
      <c r="EU38" s="12"/>
      <c r="EV38" s="12"/>
      <c r="EW38" s="12"/>
      <c r="EX38" s="12"/>
      <c r="EY38" s="12"/>
      <c r="EZ38" s="12"/>
      <c r="FA38" s="12"/>
      <c r="FB38" s="12"/>
      <c r="FC38" s="12"/>
      <c r="FD38" s="12"/>
      <c r="FE38" s="12"/>
      <c r="FF38" s="12"/>
      <c r="FG38" s="12"/>
      <c r="FH38" s="12"/>
      <c r="FI38" s="12"/>
      <c r="FJ38" s="12"/>
      <c r="FK38" s="12"/>
      <c r="FL38" s="12"/>
      <c r="FM38" s="12"/>
      <c r="FN38" s="12"/>
      <c r="FO38" s="12"/>
      <c r="FP38" s="12"/>
      <c r="FQ38" s="12"/>
      <c r="FR38" s="12"/>
      <c r="FS38" s="12"/>
      <c r="FT38" s="12"/>
      <c r="FU38" s="12"/>
      <c r="FV38" s="12"/>
      <c r="FW38" s="12"/>
      <c r="FX38" s="12"/>
      <c r="FY38" s="12"/>
      <c r="FZ38" s="12"/>
      <c r="GA38" s="12"/>
      <c r="GB38" s="12"/>
      <c r="GC38" s="12"/>
      <c r="GD38" s="12"/>
      <c r="GE38" s="12"/>
      <c r="GF38" s="12"/>
      <c r="GG38" s="12"/>
      <c r="GH38" s="12"/>
      <c r="GI38" s="12"/>
      <c r="GJ38" s="12"/>
      <c r="GK38" s="12"/>
      <c r="GL38" s="12"/>
      <c r="GM38" s="12"/>
      <c r="GN38" s="12"/>
      <c r="GO38" s="12"/>
      <c r="GP38" s="12"/>
      <c r="GQ38" s="12"/>
      <c r="GR38" s="12"/>
      <c r="GS38" s="12"/>
      <c r="GT38" s="12"/>
      <c r="GU38" s="12"/>
      <c r="GV38" s="12"/>
      <c r="GW38" s="12"/>
      <c r="GX38" s="12"/>
      <c r="GY38" s="12"/>
      <c r="GZ38" s="12"/>
      <c r="HA38" s="12"/>
      <c r="HB38" s="12"/>
      <c r="HC38" s="12"/>
      <c r="HD38" s="12"/>
      <c r="HE38" s="12"/>
      <c r="HF38" s="12"/>
      <c r="HG38" s="12"/>
      <c r="HH38" s="12"/>
      <c r="HI38" s="12"/>
      <c r="HJ38" s="12"/>
      <c r="HK38" s="12"/>
      <c r="HL38" s="12"/>
      <c r="HM38" s="12"/>
      <c r="HN38" s="12"/>
      <c r="HO38" s="12"/>
      <c r="HP38" s="12"/>
      <c r="HQ38" s="12"/>
      <c r="HR38" s="12"/>
      <c r="HS38" s="12"/>
      <c r="HT38" s="12"/>
      <c r="HU38" s="12"/>
      <c r="HV38" s="12"/>
      <c r="HW38" s="12"/>
      <c r="HX38" s="12"/>
      <c r="HY38" s="12"/>
      <c r="HZ38" s="12"/>
      <c r="IA38" s="12"/>
      <c r="IB38" s="12"/>
      <c r="IC38" s="12"/>
      <c r="ID38" s="12"/>
      <c r="IE38" s="12"/>
      <c r="IF38" s="12"/>
      <c r="IG38" s="12"/>
      <c r="IH38" s="12"/>
      <c r="II38" s="12"/>
      <c r="IJ38" s="12"/>
      <c r="IK38" s="12"/>
      <c r="IL38" s="12"/>
      <c r="IM38" s="12"/>
      <c r="IN38" s="12"/>
      <c r="IO38" s="12"/>
      <c r="IP38" s="12"/>
      <c r="IQ38" s="12"/>
      <c r="IR38" s="12"/>
      <c r="IS38" s="12"/>
      <c r="IT38" s="12"/>
      <c r="IU38" s="12"/>
      <c r="IV38" s="12"/>
      <c r="IW38" s="12"/>
    </row>
    <row r="39" customFormat="false" ht="11.25" hidden="false" customHeight="false" outlineLevel="0" collapsed="false">
      <c r="A39" s="25" t="n">
        <f aca="false">DATE(YEAR(A38),MONTH(A38)+1,1)</f>
        <v>46905</v>
      </c>
      <c r="B39" s="21" t="n">
        <v>1.945</v>
      </c>
      <c r="C39" s="21" t="n">
        <v>1.95</v>
      </c>
      <c r="D39" s="25" t="n">
        <f aca="false">DATE(YEAR(D38),MONTH(D38)+1,1)</f>
        <v>46905</v>
      </c>
      <c r="E39" s="21" t="n">
        <v>18.307</v>
      </c>
      <c r="F39" s="21" t="n">
        <v>18.367</v>
      </c>
      <c r="G39" s="6"/>
      <c r="H39" s="22" t="n">
        <f aca="false">A39</f>
        <v>46905</v>
      </c>
      <c r="I39" s="23" t="n">
        <f aca="false">IF($J$1="bid",B39,C39)</f>
        <v>1.95</v>
      </c>
      <c r="J39" s="24" t="n">
        <f aca="false">D39</f>
        <v>46905</v>
      </c>
      <c r="K39" s="23" t="n">
        <f aca="false">IF($J$1="bid",E39,F39)</f>
        <v>18.367</v>
      </c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  <c r="AA39" s="5"/>
      <c r="AB39" s="5"/>
      <c r="AC39" s="5"/>
      <c r="AD39" s="5"/>
      <c r="AE39" s="5"/>
      <c r="AF39" s="5"/>
      <c r="AG39" s="5"/>
      <c r="AH39" s="5"/>
      <c r="AI39" s="5"/>
      <c r="AJ39" s="5"/>
      <c r="AK39" s="5"/>
      <c r="AL39" s="5"/>
      <c r="AM39" s="5"/>
      <c r="AN39" s="5"/>
      <c r="AO39" s="5"/>
      <c r="AP39" s="5"/>
      <c r="AQ39" s="5"/>
      <c r="AR39" s="5"/>
      <c r="AS39" s="12"/>
      <c r="AT39" s="12"/>
      <c r="AU39" s="12"/>
      <c r="AV39" s="12"/>
      <c r="AW39" s="12"/>
      <c r="AX39" s="12"/>
      <c r="AY39" s="12"/>
      <c r="AZ39" s="12"/>
      <c r="BA39" s="12"/>
      <c r="BB39" s="12"/>
      <c r="BC39" s="12"/>
      <c r="BD39" s="12"/>
      <c r="BE39" s="12"/>
      <c r="BF39" s="12"/>
      <c r="BG39" s="12"/>
      <c r="BH39" s="12"/>
      <c r="BI39" s="12"/>
      <c r="BJ39" s="12"/>
      <c r="BK39" s="12"/>
      <c r="BL39" s="12"/>
      <c r="BM39" s="12"/>
      <c r="BN39" s="12"/>
      <c r="BO39" s="12"/>
      <c r="BP39" s="12"/>
      <c r="BQ39" s="12"/>
      <c r="BR39" s="12"/>
      <c r="BS39" s="12"/>
      <c r="BT39" s="12"/>
      <c r="BU39" s="12"/>
      <c r="BV39" s="12"/>
      <c r="BW39" s="12"/>
      <c r="BX39" s="12"/>
      <c r="BY39" s="12"/>
      <c r="BZ39" s="12"/>
      <c r="CA39" s="12"/>
      <c r="CB39" s="12"/>
      <c r="CC39" s="12"/>
      <c r="CD39" s="12"/>
      <c r="CE39" s="12"/>
      <c r="CF39" s="12"/>
      <c r="CG39" s="12"/>
      <c r="CH39" s="12"/>
      <c r="CI39" s="12"/>
      <c r="CJ39" s="12"/>
      <c r="CK39" s="12"/>
      <c r="CL39" s="12"/>
      <c r="CM39" s="12"/>
      <c r="CN39" s="12"/>
      <c r="CO39" s="12"/>
      <c r="CP39" s="12"/>
      <c r="CQ39" s="12"/>
      <c r="CR39" s="12"/>
      <c r="CS39" s="12"/>
      <c r="CT39" s="12"/>
      <c r="CU39" s="12"/>
      <c r="CV39" s="12"/>
      <c r="CW39" s="12"/>
      <c r="CX39" s="12"/>
      <c r="CY39" s="12"/>
      <c r="CZ39" s="12"/>
      <c r="DA39" s="12"/>
      <c r="DB39" s="12"/>
      <c r="DC39" s="12"/>
      <c r="DD39" s="12"/>
      <c r="DE39" s="12"/>
      <c r="DF39" s="12"/>
      <c r="DG39" s="12"/>
      <c r="DH39" s="12"/>
      <c r="DI39" s="12"/>
      <c r="DJ39" s="12"/>
      <c r="DK39" s="12"/>
      <c r="DL39" s="12"/>
      <c r="DM39" s="12"/>
      <c r="DN39" s="12"/>
      <c r="DO39" s="12"/>
      <c r="DP39" s="12"/>
      <c r="DQ39" s="12"/>
      <c r="DR39" s="12"/>
      <c r="DS39" s="12"/>
      <c r="DT39" s="12"/>
      <c r="DU39" s="12"/>
      <c r="DV39" s="12"/>
      <c r="DW39" s="12"/>
      <c r="DX39" s="12"/>
      <c r="DY39" s="12"/>
      <c r="DZ39" s="12"/>
      <c r="EA39" s="12"/>
      <c r="EB39" s="12"/>
      <c r="EC39" s="12"/>
      <c r="ED39" s="12"/>
      <c r="EE39" s="12"/>
      <c r="EF39" s="12"/>
      <c r="EG39" s="12"/>
      <c r="EH39" s="12"/>
      <c r="EI39" s="12"/>
      <c r="EJ39" s="12"/>
      <c r="EK39" s="12"/>
      <c r="EL39" s="12"/>
      <c r="EM39" s="12"/>
      <c r="EN39" s="12"/>
      <c r="EO39" s="12"/>
      <c r="EP39" s="12"/>
      <c r="EQ39" s="12"/>
      <c r="ER39" s="12"/>
      <c r="ES39" s="12"/>
      <c r="ET39" s="12"/>
      <c r="EU39" s="12"/>
      <c r="EV39" s="12"/>
      <c r="EW39" s="12"/>
      <c r="EX39" s="12"/>
      <c r="EY39" s="12"/>
      <c r="EZ39" s="12"/>
      <c r="FA39" s="12"/>
      <c r="FB39" s="12"/>
      <c r="FC39" s="12"/>
      <c r="FD39" s="12"/>
      <c r="FE39" s="12"/>
      <c r="FF39" s="12"/>
      <c r="FG39" s="12"/>
      <c r="FH39" s="12"/>
      <c r="FI39" s="12"/>
      <c r="FJ39" s="12"/>
      <c r="FK39" s="12"/>
      <c r="FL39" s="12"/>
      <c r="FM39" s="12"/>
      <c r="FN39" s="12"/>
      <c r="FO39" s="12"/>
      <c r="FP39" s="12"/>
      <c r="FQ39" s="12"/>
      <c r="FR39" s="12"/>
      <c r="FS39" s="12"/>
      <c r="FT39" s="12"/>
      <c r="FU39" s="12"/>
      <c r="FV39" s="12"/>
      <c r="FW39" s="12"/>
      <c r="FX39" s="12"/>
      <c r="FY39" s="12"/>
      <c r="FZ39" s="12"/>
      <c r="GA39" s="12"/>
      <c r="GB39" s="12"/>
      <c r="GC39" s="12"/>
      <c r="GD39" s="12"/>
      <c r="GE39" s="12"/>
      <c r="GF39" s="12"/>
      <c r="GG39" s="12"/>
      <c r="GH39" s="12"/>
      <c r="GI39" s="12"/>
      <c r="GJ39" s="12"/>
      <c r="GK39" s="12"/>
      <c r="GL39" s="12"/>
      <c r="GM39" s="12"/>
      <c r="GN39" s="12"/>
      <c r="GO39" s="12"/>
      <c r="GP39" s="12"/>
      <c r="GQ39" s="12"/>
      <c r="GR39" s="12"/>
      <c r="GS39" s="12"/>
      <c r="GT39" s="12"/>
      <c r="GU39" s="12"/>
      <c r="GV39" s="12"/>
      <c r="GW39" s="12"/>
      <c r="GX39" s="12"/>
      <c r="GY39" s="12"/>
      <c r="GZ39" s="12"/>
      <c r="HA39" s="12"/>
      <c r="HB39" s="12"/>
      <c r="HC39" s="12"/>
      <c r="HD39" s="12"/>
      <c r="HE39" s="12"/>
      <c r="HF39" s="12"/>
      <c r="HG39" s="12"/>
      <c r="HH39" s="12"/>
      <c r="HI39" s="12"/>
      <c r="HJ39" s="12"/>
      <c r="HK39" s="12"/>
      <c r="HL39" s="12"/>
      <c r="HM39" s="12"/>
      <c r="HN39" s="12"/>
      <c r="HO39" s="12"/>
      <c r="HP39" s="12"/>
      <c r="HQ39" s="12"/>
      <c r="HR39" s="12"/>
      <c r="HS39" s="12"/>
      <c r="HT39" s="12"/>
      <c r="HU39" s="12"/>
      <c r="HV39" s="12"/>
      <c r="HW39" s="12"/>
      <c r="HX39" s="12"/>
      <c r="HY39" s="12"/>
      <c r="HZ39" s="12"/>
      <c r="IA39" s="12"/>
      <c r="IB39" s="12"/>
      <c r="IC39" s="12"/>
      <c r="ID39" s="12"/>
      <c r="IE39" s="12"/>
      <c r="IF39" s="12"/>
      <c r="IG39" s="12"/>
      <c r="IH39" s="12"/>
      <c r="II39" s="12"/>
      <c r="IJ39" s="12"/>
      <c r="IK39" s="12"/>
      <c r="IL39" s="12"/>
      <c r="IM39" s="12"/>
      <c r="IN39" s="12"/>
      <c r="IO39" s="12"/>
      <c r="IP39" s="12"/>
      <c r="IQ39" s="12"/>
      <c r="IR39" s="12"/>
      <c r="IS39" s="12"/>
      <c r="IT39" s="12"/>
      <c r="IU39" s="12"/>
      <c r="IV39" s="12"/>
      <c r="IW39" s="12"/>
    </row>
    <row r="40" customFormat="false" ht="11.25" hidden="false" customHeight="false" outlineLevel="0" collapsed="false">
      <c r="A40" s="25" t="n">
        <f aca="false">DATE(YEAR(A39),MONTH(A39)+1,1)</f>
        <v>46935</v>
      </c>
      <c r="B40" s="21" t="n">
        <v>1.945</v>
      </c>
      <c r="C40" s="21" t="n">
        <v>1.95</v>
      </c>
      <c r="D40" s="25" t="n">
        <f aca="false">DATE(YEAR(D39),MONTH(D39)+1,1)</f>
        <v>46935</v>
      </c>
      <c r="E40" s="21" t="n">
        <v>18.312</v>
      </c>
      <c r="F40" s="21" t="n">
        <v>18.372</v>
      </c>
      <c r="G40" s="6"/>
      <c r="H40" s="22" t="n">
        <f aca="false">A40</f>
        <v>46935</v>
      </c>
      <c r="I40" s="23" t="n">
        <f aca="false">IF($J$1="bid",B40,C40)</f>
        <v>1.95</v>
      </c>
      <c r="J40" s="24" t="n">
        <f aca="false">D40</f>
        <v>46935</v>
      </c>
      <c r="K40" s="23" t="n">
        <f aca="false">IF($J$1="bid",E40,F40)</f>
        <v>18.372</v>
      </c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  <c r="AA40" s="5"/>
      <c r="AB40" s="5"/>
      <c r="AC40" s="5"/>
      <c r="AD40" s="5"/>
      <c r="AE40" s="5"/>
      <c r="AF40" s="5"/>
      <c r="AG40" s="5"/>
      <c r="AH40" s="5"/>
      <c r="AI40" s="5"/>
      <c r="AJ40" s="5"/>
      <c r="AK40" s="5"/>
      <c r="AL40" s="5"/>
      <c r="AM40" s="5"/>
      <c r="AN40" s="5"/>
      <c r="AO40" s="5"/>
      <c r="AP40" s="5"/>
      <c r="AQ40" s="5"/>
      <c r="AR40" s="5"/>
      <c r="AS40" s="12"/>
      <c r="AT40" s="12"/>
      <c r="AU40" s="12"/>
      <c r="AV40" s="12"/>
      <c r="AW40" s="12"/>
      <c r="AX40" s="12"/>
      <c r="AY40" s="12"/>
      <c r="AZ40" s="12"/>
      <c r="BA40" s="12"/>
      <c r="BB40" s="12"/>
      <c r="BC40" s="12"/>
      <c r="BD40" s="12"/>
      <c r="BE40" s="12"/>
      <c r="BF40" s="12"/>
      <c r="BG40" s="12"/>
      <c r="BH40" s="12"/>
      <c r="BI40" s="12"/>
      <c r="BJ40" s="12"/>
      <c r="BK40" s="12"/>
      <c r="BL40" s="12"/>
      <c r="BM40" s="12"/>
      <c r="BN40" s="12"/>
      <c r="BO40" s="12"/>
      <c r="BP40" s="12"/>
      <c r="BQ40" s="12"/>
      <c r="BR40" s="12"/>
      <c r="BS40" s="12"/>
      <c r="BT40" s="12"/>
      <c r="BU40" s="12"/>
      <c r="BV40" s="12"/>
      <c r="BW40" s="12"/>
      <c r="BX40" s="12"/>
      <c r="BY40" s="12"/>
      <c r="BZ40" s="12"/>
      <c r="CA40" s="12"/>
      <c r="CB40" s="12"/>
      <c r="CC40" s="12"/>
      <c r="CD40" s="12"/>
      <c r="CE40" s="12"/>
      <c r="CF40" s="12"/>
      <c r="CG40" s="12"/>
      <c r="CH40" s="12"/>
      <c r="CI40" s="12"/>
      <c r="CJ40" s="12"/>
      <c r="CK40" s="12"/>
      <c r="CL40" s="12"/>
      <c r="CM40" s="12"/>
      <c r="CN40" s="12"/>
      <c r="CO40" s="12"/>
      <c r="CP40" s="12"/>
      <c r="CQ40" s="12"/>
      <c r="CR40" s="12"/>
      <c r="CS40" s="12"/>
      <c r="CT40" s="12"/>
      <c r="CU40" s="12"/>
      <c r="CV40" s="12"/>
      <c r="CW40" s="12"/>
      <c r="CX40" s="12"/>
      <c r="CY40" s="12"/>
      <c r="CZ40" s="12"/>
      <c r="DA40" s="12"/>
      <c r="DB40" s="12"/>
      <c r="DC40" s="12"/>
      <c r="DD40" s="12"/>
      <c r="DE40" s="12"/>
      <c r="DF40" s="12"/>
      <c r="DG40" s="12"/>
      <c r="DH40" s="12"/>
      <c r="DI40" s="12"/>
      <c r="DJ40" s="12"/>
      <c r="DK40" s="12"/>
      <c r="DL40" s="12"/>
      <c r="DM40" s="12"/>
      <c r="DN40" s="12"/>
      <c r="DO40" s="12"/>
      <c r="DP40" s="12"/>
      <c r="DQ40" s="12"/>
      <c r="DR40" s="12"/>
      <c r="DS40" s="12"/>
      <c r="DT40" s="12"/>
      <c r="DU40" s="12"/>
      <c r="DV40" s="12"/>
      <c r="DW40" s="12"/>
      <c r="DX40" s="12"/>
      <c r="DY40" s="12"/>
      <c r="DZ40" s="12"/>
      <c r="EA40" s="12"/>
      <c r="EB40" s="12"/>
      <c r="EC40" s="12"/>
      <c r="ED40" s="12"/>
      <c r="EE40" s="12"/>
      <c r="EF40" s="12"/>
      <c r="EG40" s="12"/>
      <c r="EH40" s="12"/>
      <c r="EI40" s="12"/>
      <c r="EJ40" s="12"/>
      <c r="EK40" s="12"/>
      <c r="EL40" s="12"/>
      <c r="EM40" s="12"/>
      <c r="EN40" s="12"/>
      <c r="EO40" s="12"/>
      <c r="EP40" s="12"/>
      <c r="EQ40" s="12"/>
      <c r="ER40" s="12"/>
      <c r="ES40" s="12"/>
      <c r="ET40" s="12"/>
      <c r="EU40" s="12"/>
      <c r="EV40" s="12"/>
      <c r="EW40" s="12"/>
      <c r="EX40" s="12"/>
      <c r="EY40" s="12"/>
      <c r="EZ40" s="12"/>
      <c r="FA40" s="12"/>
      <c r="FB40" s="12"/>
      <c r="FC40" s="12"/>
      <c r="FD40" s="12"/>
      <c r="FE40" s="12"/>
      <c r="FF40" s="12"/>
      <c r="FG40" s="12"/>
      <c r="FH40" s="12"/>
      <c r="FI40" s="12"/>
      <c r="FJ40" s="12"/>
      <c r="FK40" s="12"/>
      <c r="FL40" s="12"/>
      <c r="FM40" s="12"/>
      <c r="FN40" s="12"/>
      <c r="FO40" s="12"/>
      <c r="FP40" s="12"/>
      <c r="FQ40" s="12"/>
      <c r="FR40" s="12"/>
      <c r="FS40" s="12"/>
      <c r="FT40" s="12"/>
      <c r="FU40" s="12"/>
      <c r="FV40" s="12"/>
      <c r="FW40" s="12"/>
      <c r="FX40" s="12"/>
      <c r="FY40" s="12"/>
      <c r="FZ40" s="12"/>
      <c r="GA40" s="12"/>
      <c r="GB40" s="12"/>
      <c r="GC40" s="12"/>
      <c r="GD40" s="12"/>
      <c r="GE40" s="12"/>
      <c r="GF40" s="12"/>
      <c r="GG40" s="12"/>
      <c r="GH40" s="12"/>
      <c r="GI40" s="12"/>
      <c r="GJ40" s="12"/>
      <c r="GK40" s="12"/>
      <c r="GL40" s="12"/>
      <c r="GM40" s="12"/>
      <c r="GN40" s="12"/>
      <c r="GO40" s="12"/>
      <c r="GP40" s="12"/>
      <c r="GQ40" s="12"/>
      <c r="GR40" s="12"/>
      <c r="GS40" s="12"/>
      <c r="GT40" s="12"/>
      <c r="GU40" s="12"/>
      <c r="GV40" s="12"/>
      <c r="GW40" s="12"/>
      <c r="GX40" s="12"/>
      <c r="GY40" s="12"/>
      <c r="GZ40" s="12"/>
      <c r="HA40" s="12"/>
      <c r="HB40" s="12"/>
      <c r="HC40" s="12"/>
      <c r="HD40" s="12"/>
      <c r="HE40" s="12"/>
      <c r="HF40" s="12"/>
      <c r="HG40" s="12"/>
      <c r="HH40" s="12"/>
      <c r="HI40" s="12"/>
      <c r="HJ40" s="12"/>
      <c r="HK40" s="12"/>
      <c r="HL40" s="12"/>
      <c r="HM40" s="12"/>
      <c r="HN40" s="12"/>
      <c r="HO40" s="12"/>
      <c r="HP40" s="12"/>
      <c r="HQ40" s="12"/>
      <c r="HR40" s="12"/>
      <c r="HS40" s="12"/>
      <c r="HT40" s="12"/>
      <c r="HU40" s="12"/>
      <c r="HV40" s="12"/>
      <c r="HW40" s="12"/>
      <c r="HX40" s="12"/>
      <c r="HY40" s="12"/>
      <c r="HZ40" s="12"/>
      <c r="IA40" s="12"/>
      <c r="IB40" s="12"/>
      <c r="IC40" s="12"/>
      <c r="ID40" s="12"/>
      <c r="IE40" s="12"/>
      <c r="IF40" s="12"/>
      <c r="IG40" s="12"/>
      <c r="IH40" s="12"/>
      <c r="II40" s="12"/>
      <c r="IJ40" s="12"/>
      <c r="IK40" s="12"/>
      <c r="IL40" s="12"/>
      <c r="IM40" s="12"/>
      <c r="IN40" s="12"/>
      <c r="IO40" s="12"/>
      <c r="IP40" s="12"/>
      <c r="IQ40" s="12"/>
      <c r="IR40" s="12"/>
      <c r="IS40" s="12"/>
      <c r="IT40" s="12"/>
      <c r="IU40" s="12"/>
      <c r="IV40" s="12"/>
      <c r="IW40" s="12"/>
    </row>
    <row r="41" customFormat="false" ht="11.25" hidden="false" customHeight="false" outlineLevel="0" collapsed="false">
      <c r="A41" s="30" t="n">
        <f aca="false">DATE(YEAR(A40),MONTH(A40)+1,1)</f>
        <v>46966</v>
      </c>
      <c r="B41" s="21" t="n">
        <v>1.945</v>
      </c>
      <c r="C41" s="21" t="n">
        <v>1.95</v>
      </c>
      <c r="D41" s="30" t="n">
        <f aca="false">DATE(YEAR(D40),MONTH(D40)+1,1)</f>
        <v>46966</v>
      </c>
      <c r="E41" s="21" t="n">
        <v>18.317</v>
      </c>
      <c r="F41" s="21" t="n">
        <v>18.377</v>
      </c>
      <c r="G41" s="6"/>
      <c r="H41" s="22" t="n">
        <f aca="false">A41</f>
        <v>46966</v>
      </c>
      <c r="I41" s="23" t="n">
        <f aca="false">IF($J$1="bid",B41,C41)</f>
        <v>1.95</v>
      </c>
      <c r="J41" s="24" t="n">
        <f aca="false">D41</f>
        <v>46966</v>
      </c>
      <c r="K41" s="23" t="n">
        <f aca="false">IF($J$1="bid",E41,F41)</f>
        <v>18.377</v>
      </c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  <c r="AA41" s="5"/>
      <c r="AB41" s="5"/>
      <c r="AC41" s="5"/>
      <c r="AD41" s="5"/>
      <c r="AE41" s="5"/>
      <c r="AF41" s="5"/>
      <c r="AG41" s="5"/>
      <c r="AH41" s="5"/>
      <c r="AI41" s="5"/>
      <c r="AJ41" s="5"/>
      <c r="AK41" s="5"/>
      <c r="AL41" s="5"/>
      <c r="AM41" s="5"/>
      <c r="AN41" s="5"/>
      <c r="AO41" s="5"/>
      <c r="AP41" s="5"/>
      <c r="AQ41" s="5"/>
      <c r="AR41" s="5"/>
      <c r="AS41" s="12"/>
      <c r="AT41" s="12"/>
      <c r="AU41" s="12"/>
      <c r="AV41" s="12"/>
      <c r="AW41" s="12"/>
      <c r="AX41" s="12"/>
      <c r="AY41" s="12"/>
      <c r="AZ41" s="12"/>
      <c r="BA41" s="12"/>
      <c r="BB41" s="12"/>
      <c r="BC41" s="12"/>
      <c r="BD41" s="12"/>
      <c r="BE41" s="12"/>
      <c r="BF41" s="12"/>
      <c r="BG41" s="12"/>
      <c r="BH41" s="12"/>
      <c r="BI41" s="12"/>
      <c r="BJ41" s="12"/>
      <c r="BK41" s="12"/>
      <c r="BL41" s="12"/>
      <c r="BM41" s="12"/>
      <c r="BN41" s="12"/>
      <c r="BO41" s="12"/>
      <c r="BP41" s="12"/>
      <c r="BQ41" s="12"/>
      <c r="BR41" s="12"/>
      <c r="BS41" s="12"/>
      <c r="BT41" s="12"/>
      <c r="BU41" s="12"/>
      <c r="BV41" s="12"/>
      <c r="BW41" s="12"/>
      <c r="BX41" s="12"/>
      <c r="BY41" s="12"/>
      <c r="BZ41" s="12"/>
      <c r="CA41" s="12"/>
      <c r="CB41" s="12"/>
      <c r="CC41" s="12"/>
      <c r="CD41" s="12"/>
      <c r="CE41" s="12"/>
      <c r="CF41" s="12"/>
      <c r="CG41" s="12"/>
      <c r="CH41" s="12"/>
      <c r="CI41" s="12"/>
      <c r="CJ41" s="12"/>
      <c r="CK41" s="12"/>
      <c r="CL41" s="12"/>
      <c r="CM41" s="12"/>
      <c r="CN41" s="12"/>
      <c r="CO41" s="12"/>
      <c r="CP41" s="12"/>
      <c r="CQ41" s="12"/>
      <c r="CR41" s="12"/>
      <c r="CS41" s="12"/>
      <c r="CT41" s="12"/>
      <c r="CU41" s="12"/>
      <c r="CV41" s="12"/>
      <c r="CW41" s="12"/>
      <c r="CX41" s="12"/>
      <c r="CY41" s="12"/>
      <c r="CZ41" s="12"/>
      <c r="DA41" s="12"/>
      <c r="DB41" s="12"/>
      <c r="DC41" s="12"/>
      <c r="DD41" s="12"/>
      <c r="DE41" s="12"/>
      <c r="DF41" s="12"/>
      <c r="DG41" s="12"/>
      <c r="DH41" s="12"/>
      <c r="DI41" s="12"/>
      <c r="DJ41" s="12"/>
      <c r="DK41" s="12"/>
      <c r="DL41" s="12"/>
      <c r="DM41" s="12"/>
      <c r="DN41" s="12"/>
      <c r="DO41" s="12"/>
      <c r="DP41" s="12"/>
      <c r="DQ41" s="12"/>
      <c r="DR41" s="12"/>
      <c r="DS41" s="12"/>
      <c r="DT41" s="12"/>
      <c r="DU41" s="12"/>
      <c r="DV41" s="12"/>
      <c r="DW41" s="12"/>
      <c r="DX41" s="12"/>
      <c r="DY41" s="12"/>
      <c r="DZ41" s="12"/>
      <c r="EA41" s="12"/>
      <c r="EB41" s="12"/>
      <c r="EC41" s="12"/>
      <c r="ED41" s="12"/>
      <c r="EE41" s="12"/>
      <c r="EF41" s="12"/>
      <c r="EG41" s="12"/>
      <c r="EH41" s="12"/>
      <c r="EI41" s="12"/>
      <c r="EJ41" s="12"/>
      <c r="EK41" s="12"/>
      <c r="EL41" s="12"/>
      <c r="EM41" s="12"/>
      <c r="EN41" s="12"/>
      <c r="EO41" s="12"/>
      <c r="EP41" s="12"/>
      <c r="EQ41" s="12"/>
      <c r="ER41" s="12"/>
      <c r="ES41" s="12"/>
      <c r="ET41" s="12"/>
      <c r="EU41" s="12"/>
      <c r="EV41" s="12"/>
      <c r="EW41" s="12"/>
      <c r="EX41" s="12"/>
      <c r="EY41" s="12"/>
      <c r="EZ41" s="12"/>
      <c r="FA41" s="12"/>
      <c r="FB41" s="12"/>
      <c r="FC41" s="12"/>
      <c r="FD41" s="12"/>
      <c r="FE41" s="12"/>
      <c r="FF41" s="12"/>
      <c r="FG41" s="12"/>
      <c r="FH41" s="12"/>
      <c r="FI41" s="12"/>
      <c r="FJ41" s="12"/>
      <c r="FK41" s="12"/>
      <c r="FL41" s="12"/>
      <c r="FM41" s="12"/>
      <c r="FN41" s="12"/>
      <c r="FO41" s="12"/>
      <c r="FP41" s="12"/>
      <c r="FQ41" s="12"/>
      <c r="FR41" s="12"/>
      <c r="FS41" s="12"/>
      <c r="FT41" s="12"/>
      <c r="FU41" s="12"/>
      <c r="FV41" s="12"/>
      <c r="FW41" s="12"/>
      <c r="FX41" s="12"/>
      <c r="FY41" s="12"/>
      <c r="FZ41" s="12"/>
      <c r="GA41" s="12"/>
      <c r="GB41" s="12"/>
      <c r="GC41" s="12"/>
      <c r="GD41" s="12"/>
      <c r="GE41" s="12"/>
      <c r="GF41" s="12"/>
      <c r="GG41" s="12"/>
      <c r="GH41" s="12"/>
      <c r="GI41" s="12"/>
      <c r="GJ41" s="12"/>
      <c r="GK41" s="12"/>
      <c r="GL41" s="12"/>
      <c r="GM41" s="12"/>
      <c r="GN41" s="12"/>
      <c r="GO41" s="12"/>
      <c r="GP41" s="12"/>
      <c r="GQ41" s="12"/>
      <c r="GR41" s="12"/>
      <c r="GS41" s="12"/>
      <c r="GT41" s="12"/>
      <c r="GU41" s="12"/>
      <c r="GV41" s="12"/>
      <c r="GW41" s="12"/>
      <c r="GX41" s="12"/>
      <c r="GY41" s="12"/>
      <c r="GZ41" s="12"/>
      <c r="HA41" s="12"/>
      <c r="HB41" s="12"/>
      <c r="HC41" s="12"/>
      <c r="HD41" s="12"/>
      <c r="HE41" s="12"/>
      <c r="HF41" s="12"/>
      <c r="HG41" s="12"/>
      <c r="HH41" s="12"/>
      <c r="HI41" s="12"/>
      <c r="HJ41" s="12"/>
      <c r="HK41" s="12"/>
      <c r="HL41" s="12"/>
      <c r="HM41" s="12"/>
      <c r="HN41" s="12"/>
      <c r="HO41" s="12"/>
      <c r="HP41" s="12"/>
      <c r="HQ41" s="12"/>
      <c r="HR41" s="12"/>
      <c r="HS41" s="12"/>
      <c r="HT41" s="12"/>
      <c r="HU41" s="12"/>
      <c r="HV41" s="12"/>
      <c r="HW41" s="12"/>
      <c r="HX41" s="12"/>
      <c r="HY41" s="12"/>
      <c r="HZ41" s="12"/>
      <c r="IA41" s="12"/>
      <c r="IB41" s="12"/>
      <c r="IC41" s="12"/>
      <c r="ID41" s="12"/>
      <c r="IE41" s="12"/>
      <c r="IF41" s="12"/>
      <c r="IG41" s="12"/>
      <c r="IH41" s="12"/>
      <c r="II41" s="12"/>
      <c r="IJ41" s="12"/>
      <c r="IK41" s="12"/>
      <c r="IL41" s="12"/>
      <c r="IM41" s="12"/>
      <c r="IN41" s="12"/>
      <c r="IO41" s="12"/>
      <c r="IP41" s="12"/>
      <c r="IQ41" s="12"/>
      <c r="IR41" s="12"/>
      <c r="IS41" s="12"/>
      <c r="IT41" s="12"/>
      <c r="IU41" s="12"/>
      <c r="IV41" s="12"/>
      <c r="IW41" s="12"/>
    </row>
    <row r="42" customFormat="false" ht="11.25" hidden="false" customHeight="false" outlineLevel="0" collapsed="false">
      <c r="A42" s="30" t="n">
        <f aca="false">DATE(YEAR(A41),MONTH(A41)+1,1)</f>
        <v>46997</v>
      </c>
      <c r="B42" s="21" t="n">
        <v>2.019</v>
      </c>
      <c r="C42" s="21" t="n">
        <v>2.024</v>
      </c>
      <c r="D42" s="30" t="n">
        <f aca="false">DATE(YEAR(D41),MONTH(D41)+1,1)</f>
        <v>46997</v>
      </c>
      <c r="E42" s="21" t="n">
        <v>18.323</v>
      </c>
      <c r="F42" s="21" t="n">
        <v>18.384</v>
      </c>
      <c r="G42" s="6"/>
      <c r="H42" s="22" t="n">
        <f aca="false">A42</f>
        <v>46997</v>
      </c>
      <c r="I42" s="23" t="n">
        <f aca="false">IF($J$1="bid",B42,C42)</f>
        <v>2.024</v>
      </c>
      <c r="J42" s="24" t="n">
        <f aca="false">D42</f>
        <v>46997</v>
      </c>
      <c r="K42" s="23" t="n">
        <f aca="false">IF($J$1="bid",E42,F42)</f>
        <v>18.384</v>
      </c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  <c r="AA42" s="5"/>
      <c r="AB42" s="5"/>
      <c r="AC42" s="5"/>
      <c r="AD42" s="5"/>
      <c r="AE42" s="5"/>
      <c r="AF42" s="5"/>
      <c r="AG42" s="5"/>
      <c r="AH42" s="5"/>
      <c r="AI42" s="5"/>
      <c r="AJ42" s="5"/>
      <c r="AK42" s="5"/>
      <c r="AL42" s="5"/>
      <c r="AM42" s="5"/>
      <c r="AN42" s="5"/>
      <c r="AO42" s="5"/>
      <c r="AP42" s="5"/>
      <c r="AQ42" s="5"/>
      <c r="AR42" s="5"/>
      <c r="AS42" s="12"/>
      <c r="AT42" s="12"/>
      <c r="AU42" s="12"/>
      <c r="AV42" s="12"/>
      <c r="AW42" s="12"/>
      <c r="AX42" s="12"/>
      <c r="AY42" s="12"/>
      <c r="AZ42" s="12"/>
      <c r="BA42" s="12"/>
      <c r="BB42" s="12"/>
      <c r="BC42" s="12"/>
      <c r="BD42" s="12"/>
      <c r="BE42" s="12"/>
      <c r="BF42" s="12"/>
      <c r="BG42" s="12"/>
      <c r="BH42" s="12"/>
      <c r="BI42" s="12"/>
      <c r="BJ42" s="12"/>
      <c r="BK42" s="12"/>
      <c r="BL42" s="12"/>
      <c r="BM42" s="12"/>
      <c r="BN42" s="12"/>
      <c r="BO42" s="12"/>
      <c r="BP42" s="12"/>
      <c r="BQ42" s="12"/>
      <c r="BR42" s="12"/>
      <c r="BS42" s="12"/>
      <c r="BT42" s="12"/>
      <c r="BU42" s="12"/>
      <c r="BV42" s="12"/>
      <c r="BW42" s="12"/>
      <c r="BX42" s="12"/>
      <c r="BY42" s="12"/>
      <c r="BZ42" s="12"/>
      <c r="CA42" s="12"/>
      <c r="CB42" s="12"/>
      <c r="CC42" s="12"/>
      <c r="CD42" s="12"/>
      <c r="CE42" s="12"/>
      <c r="CF42" s="12"/>
      <c r="CG42" s="12"/>
      <c r="CH42" s="12"/>
      <c r="CI42" s="12"/>
      <c r="CJ42" s="12"/>
      <c r="CK42" s="12"/>
      <c r="CL42" s="12"/>
      <c r="CM42" s="12"/>
      <c r="CN42" s="12"/>
      <c r="CO42" s="12"/>
      <c r="CP42" s="12"/>
      <c r="CQ42" s="12"/>
      <c r="CR42" s="12"/>
      <c r="CS42" s="12"/>
      <c r="CT42" s="12"/>
      <c r="CU42" s="12"/>
      <c r="CV42" s="12"/>
      <c r="CW42" s="12"/>
      <c r="CX42" s="12"/>
      <c r="CY42" s="12"/>
      <c r="CZ42" s="12"/>
      <c r="DA42" s="12"/>
      <c r="DB42" s="12"/>
      <c r="DC42" s="12"/>
      <c r="DD42" s="12"/>
      <c r="DE42" s="12"/>
      <c r="DF42" s="12"/>
      <c r="DG42" s="12"/>
      <c r="DH42" s="12"/>
      <c r="DI42" s="12"/>
      <c r="DJ42" s="12"/>
      <c r="DK42" s="12"/>
      <c r="DL42" s="12"/>
      <c r="DM42" s="12"/>
      <c r="DN42" s="12"/>
      <c r="DO42" s="12"/>
      <c r="DP42" s="12"/>
      <c r="DQ42" s="12"/>
      <c r="DR42" s="12"/>
      <c r="DS42" s="12"/>
      <c r="DT42" s="12"/>
      <c r="DU42" s="12"/>
      <c r="DV42" s="12"/>
      <c r="DW42" s="12"/>
      <c r="DX42" s="12"/>
      <c r="DY42" s="12"/>
      <c r="DZ42" s="12"/>
      <c r="EA42" s="12"/>
      <c r="EB42" s="12"/>
      <c r="EC42" s="12"/>
      <c r="ED42" s="12"/>
      <c r="EE42" s="12"/>
      <c r="EF42" s="12"/>
      <c r="EG42" s="12"/>
      <c r="EH42" s="12"/>
      <c r="EI42" s="12"/>
      <c r="EJ42" s="12"/>
      <c r="EK42" s="12"/>
      <c r="EL42" s="12"/>
      <c r="EM42" s="12"/>
      <c r="EN42" s="12"/>
      <c r="EO42" s="12"/>
      <c r="EP42" s="12"/>
      <c r="EQ42" s="12"/>
      <c r="ER42" s="12"/>
      <c r="ES42" s="12"/>
      <c r="ET42" s="12"/>
      <c r="EU42" s="12"/>
      <c r="EV42" s="12"/>
      <c r="EW42" s="12"/>
      <c r="EX42" s="12"/>
      <c r="EY42" s="12"/>
      <c r="EZ42" s="12"/>
      <c r="FA42" s="12"/>
      <c r="FB42" s="12"/>
      <c r="FC42" s="12"/>
      <c r="FD42" s="12"/>
      <c r="FE42" s="12"/>
      <c r="FF42" s="12"/>
      <c r="FG42" s="12"/>
      <c r="FH42" s="12"/>
      <c r="FI42" s="12"/>
      <c r="FJ42" s="12"/>
      <c r="FK42" s="12"/>
      <c r="FL42" s="12"/>
      <c r="FM42" s="12"/>
      <c r="FN42" s="12"/>
      <c r="FO42" s="12"/>
      <c r="FP42" s="12"/>
      <c r="FQ42" s="12"/>
      <c r="FR42" s="12"/>
      <c r="FS42" s="12"/>
      <c r="FT42" s="12"/>
      <c r="FU42" s="12"/>
      <c r="FV42" s="12"/>
      <c r="FW42" s="12"/>
      <c r="FX42" s="12"/>
      <c r="FY42" s="12"/>
      <c r="FZ42" s="12"/>
      <c r="GA42" s="12"/>
      <c r="GB42" s="12"/>
      <c r="GC42" s="12"/>
      <c r="GD42" s="12"/>
      <c r="GE42" s="12"/>
      <c r="GF42" s="12"/>
      <c r="GG42" s="12"/>
      <c r="GH42" s="12"/>
      <c r="GI42" s="12"/>
      <c r="GJ42" s="12"/>
      <c r="GK42" s="12"/>
      <c r="GL42" s="12"/>
      <c r="GM42" s="12"/>
      <c r="GN42" s="12"/>
      <c r="GO42" s="12"/>
      <c r="GP42" s="12"/>
      <c r="GQ42" s="12"/>
      <c r="GR42" s="12"/>
      <c r="GS42" s="12"/>
      <c r="GT42" s="12"/>
      <c r="GU42" s="12"/>
      <c r="GV42" s="12"/>
      <c r="GW42" s="12"/>
      <c r="GX42" s="12"/>
      <c r="GY42" s="12"/>
      <c r="GZ42" s="12"/>
      <c r="HA42" s="12"/>
      <c r="HB42" s="12"/>
      <c r="HC42" s="12"/>
      <c r="HD42" s="12"/>
      <c r="HE42" s="12"/>
      <c r="HF42" s="12"/>
      <c r="HG42" s="12"/>
      <c r="HH42" s="12"/>
      <c r="HI42" s="12"/>
      <c r="HJ42" s="12"/>
      <c r="HK42" s="12"/>
      <c r="HL42" s="12"/>
      <c r="HM42" s="12"/>
      <c r="HN42" s="12"/>
      <c r="HO42" s="12"/>
      <c r="HP42" s="12"/>
      <c r="HQ42" s="12"/>
      <c r="HR42" s="12"/>
      <c r="HS42" s="12"/>
      <c r="HT42" s="12"/>
      <c r="HU42" s="12"/>
      <c r="HV42" s="12"/>
      <c r="HW42" s="12"/>
      <c r="HX42" s="12"/>
      <c r="HY42" s="12"/>
      <c r="HZ42" s="12"/>
      <c r="IA42" s="12"/>
      <c r="IB42" s="12"/>
      <c r="IC42" s="12"/>
      <c r="ID42" s="12"/>
      <c r="IE42" s="12"/>
      <c r="IF42" s="12"/>
      <c r="IG42" s="12"/>
      <c r="IH42" s="12"/>
      <c r="II42" s="12"/>
      <c r="IJ42" s="12"/>
      <c r="IK42" s="12"/>
      <c r="IL42" s="12"/>
      <c r="IM42" s="12"/>
      <c r="IN42" s="12"/>
      <c r="IO42" s="12"/>
      <c r="IP42" s="12"/>
      <c r="IQ42" s="12"/>
      <c r="IR42" s="12"/>
      <c r="IS42" s="12"/>
      <c r="IT42" s="12"/>
      <c r="IU42" s="12"/>
      <c r="IV42" s="12"/>
      <c r="IW42" s="12"/>
    </row>
    <row r="43" customFormat="false" ht="11.25" hidden="false" customHeight="false" outlineLevel="0" collapsed="false">
      <c r="A43" s="25" t="n">
        <f aca="false">DATE(YEAR(A42),MONTH(A42)+1,1)</f>
        <v>47027</v>
      </c>
      <c r="B43" s="21" t="n">
        <v>2.137</v>
      </c>
      <c r="C43" s="21" t="n">
        <v>2.142</v>
      </c>
      <c r="D43" s="25" t="n">
        <f aca="false">DATE(YEAR(D42),MONTH(D42)+1,1)</f>
        <v>47027</v>
      </c>
      <c r="E43" s="21" t="n">
        <v>18.332</v>
      </c>
      <c r="F43" s="21" t="n">
        <v>18.399</v>
      </c>
      <c r="G43" s="6"/>
      <c r="H43" s="22" t="n">
        <f aca="false">A43</f>
        <v>47027</v>
      </c>
      <c r="I43" s="23" t="n">
        <f aca="false">IF($J$1="bid",B43,C43)</f>
        <v>2.142</v>
      </c>
      <c r="J43" s="24" t="n">
        <f aca="false">D43</f>
        <v>47027</v>
      </c>
      <c r="K43" s="23" t="n">
        <f aca="false">IF($J$1="bid",E43,F43)</f>
        <v>18.399</v>
      </c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  <c r="AA43" s="5"/>
      <c r="AB43" s="5"/>
      <c r="AC43" s="5"/>
      <c r="AD43" s="5"/>
      <c r="AE43" s="5"/>
      <c r="AF43" s="5"/>
      <c r="AG43" s="5"/>
      <c r="AH43" s="5"/>
      <c r="AI43" s="5"/>
      <c r="AJ43" s="5"/>
      <c r="AK43" s="5"/>
      <c r="AL43" s="5"/>
      <c r="AM43" s="5"/>
      <c r="AN43" s="5"/>
      <c r="AO43" s="5"/>
      <c r="AP43" s="5"/>
      <c r="AQ43" s="5"/>
      <c r="AR43" s="5"/>
      <c r="AS43" s="12"/>
      <c r="AT43" s="12"/>
      <c r="AU43" s="12"/>
      <c r="AV43" s="12"/>
      <c r="AW43" s="12"/>
      <c r="AX43" s="12"/>
      <c r="AY43" s="12"/>
      <c r="AZ43" s="12"/>
      <c r="BA43" s="12"/>
      <c r="BB43" s="12"/>
      <c r="BC43" s="12"/>
      <c r="BD43" s="12"/>
      <c r="BE43" s="12"/>
      <c r="BF43" s="12"/>
      <c r="BG43" s="12"/>
      <c r="BH43" s="12"/>
      <c r="BI43" s="12"/>
      <c r="BJ43" s="12"/>
      <c r="BK43" s="12"/>
      <c r="BL43" s="12"/>
      <c r="BM43" s="12"/>
      <c r="BN43" s="12"/>
      <c r="BO43" s="12"/>
      <c r="BP43" s="12"/>
      <c r="BQ43" s="12"/>
      <c r="BR43" s="12"/>
      <c r="BS43" s="12"/>
      <c r="BT43" s="12"/>
      <c r="BU43" s="12"/>
      <c r="BV43" s="12"/>
      <c r="BW43" s="12"/>
      <c r="BX43" s="12"/>
      <c r="BY43" s="12"/>
      <c r="BZ43" s="12"/>
      <c r="CA43" s="12"/>
      <c r="CB43" s="12"/>
      <c r="CC43" s="12"/>
      <c r="CD43" s="12"/>
      <c r="CE43" s="12"/>
      <c r="CF43" s="12"/>
      <c r="CG43" s="12"/>
      <c r="CH43" s="12"/>
      <c r="CI43" s="12"/>
      <c r="CJ43" s="12"/>
      <c r="CK43" s="12"/>
      <c r="CL43" s="12"/>
      <c r="CM43" s="12"/>
      <c r="CN43" s="12"/>
      <c r="CO43" s="12"/>
      <c r="CP43" s="12"/>
      <c r="CQ43" s="12"/>
      <c r="CR43" s="12"/>
      <c r="CS43" s="12"/>
      <c r="CT43" s="12"/>
      <c r="CU43" s="12"/>
      <c r="CV43" s="12"/>
      <c r="CW43" s="12"/>
      <c r="CX43" s="12"/>
      <c r="CY43" s="12"/>
      <c r="CZ43" s="12"/>
      <c r="DA43" s="12"/>
      <c r="DB43" s="12"/>
      <c r="DC43" s="12"/>
      <c r="DD43" s="12"/>
      <c r="DE43" s="12"/>
      <c r="DF43" s="12"/>
      <c r="DG43" s="12"/>
      <c r="DH43" s="12"/>
      <c r="DI43" s="12"/>
      <c r="DJ43" s="12"/>
      <c r="DK43" s="12"/>
      <c r="DL43" s="12"/>
      <c r="DM43" s="12"/>
      <c r="DN43" s="12"/>
      <c r="DO43" s="12"/>
      <c r="DP43" s="12"/>
      <c r="DQ43" s="12"/>
      <c r="DR43" s="12"/>
      <c r="DS43" s="12"/>
      <c r="DT43" s="12"/>
      <c r="DU43" s="12"/>
      <c r="DV43" s="12"/>
      <c r="DW43" s="12"/>
      <c r="DX43" s="12"/>
      <c r="DY43" s="12"/>
      <c r="DZ43" s="12"/>
      <c r="EA43" s="12"/>
      <c r="EB43" s="12"/>
      <c r="EC43" s="12"/>
      <c r="ED43" s="12"/>
      <c r="EE43" s="12"/>
      <c r="EF43" s="12"/>
      <c r="EG43" s="12"/>
      <c r="EH43" s="12"/>
      <c r="EI43" s="12"/>
      <c r="EJ43" s="12"/>
      <c r="EK43" s="12"/>
      <c r="EL43" s="12"/>
      <c r="EM43" s="12"/>
      <c r="EN43" s="12"/>
      <c r="EO43" s="12"/>
      <c r="EP43" s="12"/>
      <c r="EQ43" s="12"/>
      <c r="ER43" s="12"/>
      <c r="ES43" s="12"/>
      <c r="ET43" s="12"/>
      <c r="EU43" s="12"/>
      <c r="EV43" s="12"/>
      <c r="EW43" s="12"/>
      <c r="EX43" s="12"/>
      <c r="EY43" s="12"/>
      <c r="EZ43" s="12"/>
      <c r="FA43" s="12"/>
      <c r="FB43" s="12"/>
      <c r="FC43" s="12"/>
      <c r="FD43" s="12"/>
      <c r="FE43" s="12"/>
      <c r="FF43" s="12"/>
      <c r="FG43" s="12"/>
      <c r="FH43" s="12"/>
      <c r="FI43" s="12"/>
      <c r="FJ43" s="12"/>
      <c r="FK43" s="12"/>
      <c r="FL43" s="12"/>
      <c r="FM43" s="12"/>
      <c r="FN43" s="12"/>
      <c r="FO43" s="12"/>
      <c r="FP43" s="12"/>
      <c r="FQ43" s="12"/>
      <c r="FR43" s="12"/>
      <c r="FS43" s="12"/>
      <c r="FT43" s="12"/>
      <c r="FU43" s="12"/>
      <c r="FV43" s="12"/>
      <c r="FW43" s="12"/>
      <c r="FX43" s="12"/>
      <c r="FY43" s="12"/>
      <c r="FZ43" s="12"/>
      <c r="GA43" s="12"/>
      <c r="GB43" s="12"/>
      <c r="GC43" s="12"/>
      <c r="GD43" s="12"/>
      <c r="GE43" s="12"/>
      <c r="GF43" s="12"/>
      <c r="GG43" s="12"/>
      <c r="GH43" s="12"/>
      <c r="GI43" s="12"/>
      <c r="GJ43" s="12"/>
      <c r="GK43" s="12"/>
      <c r="GL43" s="12"/>
      <c r="GM43" s="12"/>
      <c r="GN43" s="12"/>
      <c r="GO43" s="12"/>
      <c r="GP43" s="12"/>
      <c r="GQ43" s="12"/>
      <c r="GR43" s="12"/>
      <c r="GS43" s="12"/>
      <c r="GT43" s="12"/>
      <c r="GU43" s="12"/>
      <c r="GV43" s="12"/>
      <c r="GW43" s="12"/>
      <c r="GX43" s="12"/>
      <c r="GY43" s="12"/>
      <c r="GZ43" s="12"/>
      <c r="HA43" s="12"/>
      <c r="HB43" s="12"/>
      <c r="HC43" s="12"/>
      <c r="HD43" s="12"/>
      <c r="HE43" s="12"/>
      <c r="HF43" s="12"/>
      <c r="HG43" s="12"/>
      <c r="HH43" s="12"/>
      <c r="HI43" s="12"/>
      <c r="HJ43" s="12"/>
      <c r="HK43" s="12"/>
      <c r="HL43" s="12"/>
      <c r="HM43" s="12"/>
      <c r="HN43" s="12"/>
      <c r="HO43" s="12"/>
      <c r="HP43" s="12"/>
      <c r="HQ43" s="12"/>
      <c r="HR43" s="12"/>
      <c r="HS43" s="12"/>
      <c r="HT43" s="12"/>
      <c r="HU43" s="12"/>
      <c r="HV43" s="12"/>
      <c r="HW43" s="12"/>
      <c r="HX43" s="12"/>
      <c r="HY43" s="12"/>
      <c r="HZ43" s="12"/>
      <c r="IA43" s="12"/>
      <c r="IB43" s="12"/>
      <c r="IC43" s="12"/>
      <c r="ID43" s="12"/>
      <c r="IE43" s="12"/>
      <c r="IF43" s="12"/>
      <c r="IG43" s="12"/>
      <c r="IH43" s="12"/>
      <c r="II43" s="12"/>
      <c r="IJ43" s="12"/>
      <c r="IK43" s="12"/>
      <c r="IL43" s="12"/>
      <c r="IM43" s="12"/>
      <c r="IN43" s="12"/>
      <c r="IO43" s="12"/>
      <c r="IP43" s="12"/>
      <c r="IQ43" s="12"/>
      <c r="IR43" s="12"/>
      <c r="IS43" s="12"/>
      <c r="IT43" s="12"/>
      <c r="IU43" s="12"/>
      <c r="IV43" s="12"/>
      <c r="IW43" s="12"/>
    </row>
    <row r="44" customFormat="false" ht="11.25" hidden="false" customHeight="false" outlineLevel="0" collapsed="false">
      <c r="A44" s="25" t="n">
        <f aca="false">DATE(YEAR(A43),MONTH(A43)+1,1)</f>
        <v>47058</v>
      </c>
      <c r="B44" s="21" t="n">
        <v>2.148</v>
      </c>
      <c r="C44" s="21" t="n">
        <v>2.158</v>
      </c>
      <c r="D44" s="25" t="n">
        <f aca="false">DATE(YEAR(D43),MONTH(D43)+1,1)</f>
        <v>47058</v>
      </c>
      <c r="E44" s="21" t="n">
        <v>18.34</v>
      </c>
      <c r="F44" s="21" t="n">
        <v>18.412</v>
      </c>
      <c r="G44" s="6"/>
      <c r="H44" s="22" t="n">
        <f aca="false">A44</f>
        <v>47058</v>
      </c>
      <c r="I44" s="23" t="n">
        <f aca="false">IF($J$1="bid",B44,C44)</f>
        <v>2.158</v>
      </c>
      <c r="J44" s="24" t="n">
        <f aca="false">D44</f>
        <v>47058</v>
      </c>
      <c r="K44" s="23" t="n">
        <f aca="false">IF($J$1="bid",E44,F44)</f>
        <v>18.412</v>
      </c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  <c r="AE44" s="5"/>
      <c r="AF44" s="5"/>
      <c r="AG44" s="5"/>
      <c r="AH44" s="5"/>
      <c r="AI44" s="5"/>
      <c r="AJ44" s="5"/>
      <c r="AK44" s="5"/>
      <c r="AL44" s="5"/>
      <c r="AM44" s="5"/>
      <c r="AN44" s="5"/>
      <c r="AO44" s="5"/>
      <c r="AP44" s="5"/>
      <c r="AQ44" s="5"/>
      <c r="AR44" s="5"/>
      <c r="AS44" s="12"/>
      <c r="AT44" s="12"/>
      <c r="AU44" s="12"/>
      <c r="AV44" s="12"/>
      <c r="AW44" s="12"/>
      <c r="AX44" s="12"/>
      <c r="AY44" s="12"/>
      <c r="AZ44" s="12"/>
      <c r="BA44" s="12"/>
      <c r="BB44" s="12"/>
      <c r="BC44" s="12"/>
      <c r="BD44" s="12"/>
      <c r="BE44" s="12"/>
      <c r="BF44" s="12"/>
      <c r="BG44" s="12"/>
      <c r="BH44" s="12"/>
      <c r="BI44" s="12"/>
      <c r="BJ44" s="12"/>
      <c r="BK44" s="12"/>
      <c r="BL44" s="12"/>
      <c r="BM44" s="12"/>
      <c r="BN44" s="12"/>
      <c r="BO44" s="12"/>
      <c r="BP44" s="12"/>
      <c r="BQ44" s="12"/>
      <c r="BR44" s="12"/>
      <c r="BS44" s="12"/>
      <c r="BT44" s="12"/>
      <c r="BU44" s="12"/>
      <c r="BV44" s="12"/>
      <c r="BW44" s="12"/>
      <c r="BX44" s="12"/>
      <c r="BY44" s="12"/>
      <c r="BZ44" s="12"/>
      <c r="CA44" s="12"/>
      <c r="CB44" s="12"/>
      <c r="CC44" s="12"/>
      <c r="CD44" s="12"/>
      <c r="CE44" s="12"/>
      <c r="CF44" s="12"/>
      <c r="CG44" s="12"/>
      <c r="CH44" s="12"/>
      <c r="CI44" s="12"/>
      <c r="CJ44" s="12"/>
      <c r="CK44" s="12"/>
      <c r="CL44" s="12"/>
      <c r="CM44" s="12"/>
      <c r="CN44" s="12"/>
      <c r="CO44" s="12"/>
      <c r="CP44" s="12"/>
      <c r="CQ44" s="12"/>
      <c r="CR44" s="12"/>
      <c r="CS44" s="12"/>
      <c r="CT44" s="12"/>
      <c r="CU44" s="12"/>
      <c r="CV44" s="12"/>
      <c r="CW44" s="12"/>
      <c r="CX44" s="12"/>
      <c r="CY44" s="12"/>
      <c r="CZ44" s="12"/>
      <c r="DA44" s="12"/>
      <c r="DB44" s="12"/>
      <c r="DC44" s="12"/>
      <c r="DD44" s="12"/>
      <c r="DE44" s="12"/>
      <c r="DF44" s="12"/>
      <c r="DG44" s="12"/>
      <c r="DH44" s="12"/>
      <c r="DI44" s="12"/>
      <c r="DJ44" s="12"/>
      <c r="DK44" s="12"/>
      <c r="DL44" s="12"/>
      <c r="DM44" s="12"/>
      <c r="DN44" s="12"/>
      <c r="DO44" s="12"/>
      <c r="DP44" s="12"/>
      <c r="DQ44" s="12"/>
      <c r="DR44" s="12"/>
      <c r="DS44" s="12"/>
      <c r="DT44" s="12"/>
      <c r="DU44" s="12"/>
      <c r="DV44" s="12"/>
      <c r="DW44" s="12"/>
      <c r="DX44" s="12"/>
      <c r="DY44" s="12"/>
      <c r="DZ44" s="12"/>
      <c r="EA44" s="12"/>
      <c r="EB44" s="12"/>
      <c r="EC44" s="12"/>
      <c r="ED44" s="12"/>
      <c r="EE44" s="12"/>
      <c r="EF44" s="12"/>
      <c r="EG44" s="12"/>
      <c r="EH44" s="12"/>
      <c r="EI44" s="12"/>
      <c r="EJ44" s="12"/>
      <c r="EK44" s="12"/>
      <c r="EL44" s="12"/>
      <c r="EM44" s="12"/>
      <c r="EN44" s="12"/>
      <c r="EO44" s="12"/>
      <c r="EP44" s="12"/>
      <c r="EQ44" s="12"/>
      <c r="ER44" s="12"/>
      <c r="ES44" s="12"/>
      <c r="ET44" s="12"/>
      <c r="EU44" s="12"/>
      <c r="EV44" s="12"/>
      <c r="EW44" s="12"/>
      <c r="EX44" s="12"/>
      <c r="EY44" s="12"/>
      <c r="EZ44" s="12"/>
      <c r="FA44" s="12"/>
      <c r="FB44" s="12"/>
      <c r="FC44" s="12"/>
      <c r="FD44" s="12"/>
      <c r="FE44" s="12"/>
      <c r="FF44" s="12"/>
      <c r="FG44" s="12"/>
      <c r="FH44" s="12"/>
      <c r="FI44" s="12"/>
      <c r="FJ44" s="12"/>
      <c r="FK44" s="12"/>
      <c r="FL44" s="12"/>
      <c r="FM44" s="12"/>
      <c r="FN44" s="12"/>
      <c r="FO44" s="12"/>
      <c r="FP44" s="12"/>
      <c r="FQ44" s="12"/>
      <c r="FR44" s="12"/>
      <c r="FS44" s="12"/>
      <c r="FT44" s="12"/>
      <c r="FU44" s="12"/>
      <c r="FV44" s="12"/>
      <c r="FW44" s="12"/>
      <c r="FX44" s="12"/>
      <c r="FY44" s="12"/>
      <c r="FZ44" s="12"/>
      <c r="GA44" s="12"/>
      <c r="GB44" s="12"/>
      <c r="GC44" s="12"/>
      <c r="GD44" s="12"/>
      <c r="GE44" s="12"/>
      <c r="GF44" s="12"/>
      <c r="GG44" s="12"/>
      <c r="GH44" s="12"/>
      <c r="GI44" s="12"/>
      <c r="GJ44" s="12"/>
      <c r="GK44" s="12"/>
      <c r="GL44" s="12"/>
      <c r="GM44" s="12"/>
      <c r="GN44" s="12"/>
      <c r="GO44" s="12"/>
      <c r="GP44" s="12"/>
      <c r="GQ44" s="12"/>
      <c r="GR44" s="12"/>
      <c r="GS44" s="12"/>
      <c r="GT44" s="12"/>
      <c r="GU44" s="12"/>
      <c r="GV44" s="12"/>
      <c r="GW44" s="12"/>
      <c r="GX44" s="12"/>
      <c r="GY44" s="12"/>
      <c r="GZ44" s="12"/>
      <c r="HA44" s="12"/>
      <c r="HB44" s="12"/>
      <c r="HC44" s="12"/>
      <c r="HD44" s="12"/>
      <c r="HE44" s="12"/>
      <c r="HF44" s="12"/>
      <c r="HG44" s="12"/>
      <c r="HH44" s="12"/>
      <c r="HI44" s="12"/>
      <c r="HJ44" s="12"/>
      <c r="HK44" s="12"/>
      <c r="HL44" s="12"/>
      <c r="HM44" s="12"/>
      <c r="HN44" s="12"/>
      <c r="HO44" s="12"/>
      <c r="HP44" s="12"/>
      <c r="HQ44" s="12"/>
      <c r="HR44" s="12"/>
      <c r="HS44" s="12"/>
      <c r="HT44" s="12"/>
      <c r="HU44" s="12"/>
      <c r="HV44" s="12"/>
      <c r="HW44" s="12"/>
      <c r="HX44" s="12"/>
      <c r="HY44" s="12"/>
      <c r="HZ44" s="12"/>
      <c r="IA44" s="12"/>
      <c r="IB44" s="12"/>
      <c r="IC44" s="12"/>
      <c r="ID44" s="12"/>
      <c r="IE44" s="12"/>
      <c r="IF44" s="12"/>
      <c r="IG44" s="12"/>
      <c r="IH44" s="12"/>
      <c r="II44" s="12"/>
      <c r="IJ44" s="12"/>
      <c r="IK44" s="12"/>
      <c r="IL44" s="12"/>
      <c r="IM44" s="12"/>
      <c r="IN44" s="12"/>
      <c r="IO44" s="12"/>
      <c r="IP44" s="12"/>
      <c r="IQ44" s="12"/>
      <c r="IR44" s="12"/>
      <c r="IS44" s="12"/>
      <c r="IT44" s="12"/>
      <c r="IU44" s="12"/>
      <c r="IV44" s="12"/>
      <c r="IW44" s="12"/>
    </row>
    <row r="45" customFormat="false" ht="11.25" hidden="false" customHeight="false" outlineLevel="0" collapsed="false">
      <c r="A45" s="25" t="n">
        <f aca="false">DATE(YEAR(A44),MONTH(A44)+1,1)</f>
        <v>47088</v>
      </c>
      <c r="B45" s="21" t="n">
        <v>2.063</v>
      </c>
      <c r="C45" s="21" t="n">
        <v>2.073</v>
      </c>
      <c r="D45" s="25" t="n">
        <f aca="false">DATE(YEAR(D44),MONTH(D44)+1,1)</f>
        <v>47088</v>
      </c>
      <c r="E45" s="21" t="n">
        <v>18.348</v>
      </c>
      <c r="F45" s="21" t="n">
        <v>18.424</v>
      </c>
      <c r="G45" s="6"/>
      <c r="H45" s="22" t="n">
        <f aca="false">A45</f>
        <v>47088</v>
      </c>
      <c r="I45" s="23" t="n">
        <f aca="false">IF($J$1="bid",B45,C45)</f>
        <v>2.073</v>
      </c>
      <c r="J45" s="24" t="n">
        <f aca="false">D45</f>
        <v>47088</v>
      </c>
      <c r="K45" s="23" t="n">
        <f aca="false">IF($J$1="bid",E45,F45)</f>
        <v>18.424</v>
      </c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  <c r="AE45" s="5"/>
      <c r="AF45" s="5"/>
      <c r="AG45" s="5"/>
      <c r="AH45" s="5"/>
      <c r="AI45" s="5"/>
      <c r="AJ45" s="5"/>
      <c r="AK45" s="5"/>
      <c r="AL45" s="5"/>
      <c r="AM45" s="5"/>
      <c r="AN45" s="5"/>
      <c r="AO45" s="5"/>
      <c r="AP45" s="5"/>
      <c r="AQ45" s="5"/>
      <c r="AR45" s="5"/>
      <c r="AS45" s="12"/>
      <c r="AT45" s="12"/>
      <c r="AU45" s="12"/>
      <c r="AV45" s="12"/>
      <c r="AW45" s="12"/>
      <c r="AX45" s="12"/>
      <c r="AY45" s="12"/>
      <c r="AZ45" s="12"/>
      <c r="BA45" s="12"/>
      <c r="BB45" s="12"/>
      <c r="BC45" s="12"/>
      <c r="BD45" s="12"/>
      <c r="BE45" s="12"/>
      <c r="BF45" s="12"/>
      <c r="BG45" s="12"/>
      <c r="BH45" s="12"/>
      <c r="BI45" s="12"/>
      <c r="BJ45" s="12"/>
      <c r="BK45" s="12"/>
      <c r="BL45" s="12"/>
      <c r="BM45" s="12"/>
      <c r="BN45" s="12"/>
      <c r="BO45" s="12"/>
      <c r="BP45" s="12"/>
      <c r="BQ45" s="12"/>
      <c r="BR45" s="12"/>
      <c r="BS45" s="12"/>
      <c r="BT45" s="12"/>
      <c r="BU45" s="12"/>
      <c r="BV45" s="12"/>
      <c r="BW45" s="12"/>
      <c r="BX45" s="12"/>
      <c r="BY45" s="12"/>
      <c r="BZ45" s="12"/>
      <c r="CA45" s="12"/>
      <c r="CB45" s="12"/>
      <c r="CC45" s="12"/>
      <c r="CD45" s="12"/>
      <c r="CE45" s="12"/>
      <c r="CF45" s="12"/>
      <c r="CG45" s="12"/>
      <c r="CH45" s="12"/>
      <c r="CI45" s="12"/>
      <c r="CJ45" s="12"/>
      <c r="CK45" s="12"/>
      <c r="CL45" s="12"/>
      <c r="CM45" s="12"/>
      <c r="CN45" s="12"/>
      <c r="CO45" s="12"/>
      <c r="CP45" s="12"/>
      <c r="CQ45" s="12"/>
      <c r="CR45" s="12"/>
      <c r="CS45" s="12"/>
      <c r="CT45" s="12"/>
      <c r="CU45" s="12"/>
      <c r="CV45" s="12"/>
      <c r="CW45" s="12"/>
      <c r="CX45" s="12"/>
      <c r="CY45" s="12"/>
      <c r="CZ45" s="12"/>
      <c r="DA45" s="12"/>
      <c r="DB45" s="12"/>
      <c r="DC45" s="12"/>
      <c r="DD45" s="12"/>
      <c r="DE45" s="12"/>
      <c r="DF45" s="12"/>
      <c r="DG45" s="12"/>
      <c r="DH45" s="12"/>
      <c r="DI45" s="12"/>
      <c r="DJ45" s="12"/>
      <c r="DK45" s="12"/>
      <c r="DL45" s="12"/>
      <c r="DM45" s="12"/>
      <c r="DN45" s="12"/>
      <c r="DO45" s="12"/>
      <c r="DP45" s="12"/>
      <c r="DQ45" s="12"/>
      <c r="DR45" s="12"/>
      <c r="DS45" s="12"/>
      <c r="DT45" s="12"/>
      <c r="DU45" s="12"/>
      <c r="DV45" s="12"/>
      <c r="DW45" s="12"/>
      <c r="DX45" s="12"/>
      <c r="DY45" s="12"/>
      <c r="DZ45" s="12"/>
      <c r="EA45" s="12"/>
      <c r="EB45" s="12"/>
      <c r="EC45" s="12"/>
      <c r="ED45" s="12"/>
      <c r="EE45" s="12"/>
      <c r="EF45" s="12"/>
      <c r="EG45" s="12"/>
      <c r="EH45" s="12"/>
      <c r="EI45" s="12"/>
      <c r="EJ45" s="12"/>
      <c r="EK45" s="12"/>
      <c r="EL45" s="12"/>
      <c r="EM45" s="12"/>
      <c r="EN45" s="12"/>
      <c r="EO45" s="12"/>
      <c r="EP45" s="12"/>
      <c r="EQ45" s="12"/>
      <c r="ER45" s="12"/>
      <c r="ES45" s="12"/>
      <c r="ET45" s="12"/>
      <c r="EU45" s="12"/>
      <c r="EV45" s="12"/>
      <c r="EW45" s="12"/>
      <c r="EX45" s="12"/>
      <c r="EY45" s="12"/>
      <c r="EZ45" s="12"/>
      <c r="FA45" s="12"/>
      <c r="FB45" s="12"/>
      <c r="FC45" s="12"/>
      <c r="FD45" s="12"/>
      <c r="FE45" s="12"/>
      <c r="FF45" s="12"/>
      <c r="FG45" s="12"/>
      <c r="FH45" s="12"/>
      <c r="FI45" s="12"/>
      <c r="FJ45" s="12"/>
      <c r="FK45" s="12"/>
      <c r="FL45" s="12"/>
      <c r="FM45" s="12"/>
      <c r="FN45" s="12"/>
      <c r="FO45" s="12"/>
      <c r="FP45" s="12"/>
      <c r="FQ45" s="12"/>
      <c r="FR45" s="12"/>
      <c r="FS45" s="12"/>
      <c r="FT45" s="12"/>
      <c r="FU45" s="12"/>
      <c r="FV45" s="12"/>
      <c r="FW45" s="12"/>
      <c r="FX45" s="12"/>
      <c r="FY45" s="12"/>
      <c r="FZ45" s="12"/>
      <c r="GA45" s="12"/>
      <c r="GB45" s="12"/>
      <c r="GC45" s="12"/>
      <c r="GD45" s="12"/>
      <c r="GE45" s="12"/>
      <c r="GF45" s="12"/>
      <c r="GG45" s="12"/>
      <c r="GH45" s="12"/>
      <c r="GI45" s="12"/>
      <c r="GJ45" s="12"/>
      <c r="GK45" s="12"/>
      <c r="GL45" s="12"/>
      <c r="GM45" s="12"/>
      <c r="GN45" s="12"/>
      <c r="GO45" s="12"/>
      <c r="GP45" s="12"/>
      <c r="GQ45" s="12"/>
      <c r="GR45" s="12"/>
      <c r="GS45" s="12"/>
      <c r="GT45" s="12"/>
      <c r="GU45" s="12"/>
      <c r="GV45" s="12"/>
      <c r="GW45" s="12"/>
      <c r="GX45" s="12"/>
      <c r="GY45" s="12"/>
      <c r="GZ45" s="12"/>
      <c r="HA45" s="12"/>
      <c r="HB45" s="12"/>
      <c r="HC45" s="12"/>
      <c r="HD45" s="12"/>
      <c r="HE45" s="12"/>
      <c r="HF45" s="12"/>
      <c r="HG45" s="12"/>
      <c r="HH45" s="12"/>
      <c r="HI45" s="12"/>
      <c r="HJ45" s="12"/>
      <c r="HK45" s="12"/>
      <c r="HL45" s="12"/>
      <c r="HM45" s="12"/>
      <c r="HN45" s="12"/>
      <c r="HO45" s="12"/>
      <c r="HP45" s="12"/>
      <c r="HQ45" s="12"/>
      <c r="HR45" s="12"/>
      <c r="HS45" s="12"/>
      <c r="HT45" s="12"/>
      <c r="HU45" s="12"/>
      <c r="HV45" s="12"/>
      <c r="HW45" s="12"/>
      <c r="HX45" s="12"/>
      <c r="HY45" s="12"/>
      <c r="HZ45" s="12"/>
      <c r="IA45" s="12"/>
      <c r="IB45" s="12"/>
      <c r="IC45" s="12"/>
      <c r="ID45" s="12"/>
      <c r="IE45" s="12"/>
      <c r="IF45" s="12"/>
      <c r="IG45" s="12"/>
      <c r="IH45" s="12"/>
      <c r="II45" s="12"/>
      <c r="IJ45" s="12"/>
      <c r="IK45" s="12"/>
      <c r="IL45" s="12"/>
      <c r="IM45" s="12"/>
      <c r="IN45" s="12"/>
      <c r="IO45" s="12"/>
      <c r="IP45" s="12"/>
      <c r="IQ45" s="12"/>
      <c r="IR45" s="12"/>
      <c r="IS45" s="12"/>
      <c r="IT45" s="12"/>
      <c r="IU45" s="12"/>
      <c r="IV45" s="12"/>
      <c r="IW45" s="12"/>
    </row>
    <row r="46" customFormat="false" ht="11.25" hidden="false" customHeight="false" outlineLevel="0" collapsed="false">
      <c r="A46" s="25" t="n">
        <f aca="false">DATE(YEAR(A45),MONTH(A45)+1,1)</f>
        <v>47119</v>
      </c>
      <c r="B46" s="21" t="n">
        <v>1.997</v>
      </c>
      <c r="C46" s="21" t="n">
        <v>2.007</v>
      </c>
      <c r="D46" s="25" t="n">
        <f aca="false">DATE(YEAR(D45),MONTH(D45)+1,1)</f>
        <v>47119</v>
      </c>
      <c r="E46" s="21" t="n">
        <v>18.357</v>
      </c>
      <c r="F46" s="21" t="n">
        <v>18.439</v>
      </c>
      <c r="G46" s="6"/>
      <c r="H46" s="22" t="n">
        <f aca="false">A46</f>
        <v>47119</v>
      </c>
      <c r="I46" s="23" t="n">
        <f aca="false">IF($J$1="bid",B46,C46)</f>
        <v>2.007</v>
      </c>
      <c r="J46" s="24" t="n">
        <f aca="false">D46</f>
        <v>47119</v>
      </c>
      <c r="K46" s="23" t="n">
        <f aca="false">IF($J$1="bid",E46,F46)</f>
        <v>18.439</v>
      </c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  <c r="AA46" s="5"/>
      <c r="AB46" s="5"/>
      <c r="AC46" s="5"/>
      <c r="AD46" s="5"/>
      <c r="AE46" s="5"/>
      <c r="AF46" s="5"/>
      <c r="AG46" s="5"/>
      <c r="AH46" s="5"/>
      <c r="AI46" s="5"/>
      <c r="AJ46" s="5"/>
      <c r="AK46" s="5"/>
      <c r="AL46" s="5"/>
      <c r="AM46" s="5"/>
      <c r="AN46" s="5"/>
      <c r="AO46" s="5"/>
      <c r="AP46" s="5"/>
      <c r="AQ46" s="5"/>
      <c r="AR46" s="5"/>
      <c r="AS46" s="12"/>
      <c r="AT46" s="12"/>
      <c r="AU46" s="12"/>
      <c r="AV46" s="12"/>
      <c r="AW46" s="12"/>
      <c r="AX46" s="12"/>
      <c r="AY46" s="12"/>
      <c r="AZ46" s="12"/>
      <c r="BA46" s="12"/>
      <c r="BB46" s="12"/>
      <c r="BC46" s="12"/>
      <c r="BD46" s="12"/>
      <c r="BE46" s="12"/>
      <c r="BF46" s="12"/>
      <c r="BG46" s="12"/>
      <c r="BH46" s="12"/>
      <c r="BI46" s="12"/>
      <c r="BJ46" s="12"/>
      <c r="BK46" s="12"/>
      <c r="BL46" s="12"/>
      <c r="BM46" s="12"/>
      <c r="BN46" s="12"/>
      <c r="BO46" s="12"/>
      <c r="BP46" s="12"/>
      <c r="BQ46" s="12"/>
      <c r="BR46" s="12"/>
      <c r="BS46" s="12"/>
      <c r="BT46" s="12"/>
      <c r="BU46" s="12"/>
      <c r="BV46" s="12"/>
      <c r="BW46" s="12"/>
      <c r="BX46" s="12"/>
      <c r="BY46" s="12"/>
      <c r="BZ46" s="12"/>
      <c r="CA46" s="12"/>
      <c r="CB46" s="12"/>
      <c r="CC46" s="12"/>
      <c r="CD46" s="12"/>
      <c r="CE46" s="12"/>
      <c r="CF46" s="12"/>
      <c r="CG46" s="12"/>
      <c r="CH46" s="12"/>
      <c r="CI46" s="12"/>
      <c r="CJ46" s="12"/>
      <c r="CK46" s="12"/>
      <c r="CL46" s="12"/>
      <c r="CM46" s="12"/>
      <c r="CN46" s="12"/>
      <c r="CO46" s="12"/>
      <c r="CP46" s="12"/>
      <c r="CQ46" s="12"/>
      <c r="CR46" s="12"/>
      <c r="CS46" s="12"/>
      <c r="CT46" s="12"/>
      <c r="CU46" s="12"/>
      <c r="CV46" s="12"/>
      <c r="CW46" s="12"/>
      <c r="CX46" s="12"/>
      <c r="CY46" s="12"/>
      <c r="CZ46" s="12"/>
      <c r="DA46" s="12"/>
      <c r="DB46" s="12"/>
      <c r="DC46" s="12"/>
      <c r="DD46" s="12"/>
      <c r="DE46" s="12"/>
      <c r="DF46" s="12"/>
      <c r="DG46" s="12"/>
      <c r="DH46" s="12"/>
      <c r="DI46" s="12"/>
      <c r="DJ46" s="12"/>
      <c r="DK46" s="12"/>
      <c r="DL46" s="12"/>
      <c r="DM46" s="12"/>
      <c r="DN46" s="12"/>
      <c r="DO46" s="12"/>
      <c r="DP46" s="12"/>
      <c r="DQ46" s="12"/>
      <c r="DR46" s="12"/>
      <c r="DS46" s="12"/>
      <c r="DT46" s="12"/>
      <c r="DU46" s="12"/>
      <c r="DV46" s="12"/>
      <c r="DW46" s="12"/>
      <c r="DX46" s="12"/>
      <c r="DY46" s="12"/>
      <c r="DZ46" s="12"/>
      <c r="EA46" s="12"/>
      <c r="EB46" s="12"/>
      <c r="EC46" s="12"/>
      <c r="ED46" s="12"/>
      <c r="EE46" s="12"/>
      <c r="EF46" s="12"/>
      <c r="EG46" s="12"/>
      <c r="EH46" s="12"/>
      <c r="EI46" s="12"/>
      <c r="EJ46" s="12"/>
      <c r="EK46" s="12"/>
      <c r="EL46" s="12"/>
      <c r="EM46" s="12"/>
      <c r="EN46" s="12"/>
      <c r="EO46" s="12"/>
      <c r="EP46" s="12"/>
      <c r="EQ46" s="12"/>
      <c r="ER46" s="12"/>
      <c r="ES46" s="12"/>
      <c r="ET46" s="12"/>
      <c r="EU46" s="12"/>
      <c r="EV46" s="12"/>
      <c r="EW46" s="12"/>
      <c r="EX46" s="12"/>
      <c r="EY46" s="12"/>
      <c r="EZ46" s="12"/>
      <c r="FA46" s="12"/>
      <c r="FB46" s="12"/>
      <c r="FC46" s="12"/>
      <c r="FD46" s="12"/>
      <c r="FE46" s="12"/>
      <c r="FF46" s="12"/>
      <c r="FG46" s="12"/>
      <c r="FH46" s="12"/>
      <c r="FI46" s="12"/>
      <c r="FJ46" s="12"/>
      <c r="FK46" s="12"/>
      <c r="FL46" s="12"/>
      <c r="FM46" s="12"/>
      <c r="FN46" s="12"/>
      <c r="FO46" s="12"/>
      <c r="FP46" s="12"/>
      <c r="FQ46" s="12"/>
      <c r="FR46" s="12"/>
      <c r="FS46" s="12"/>
      <c r="FT46" s="12"/>
      <c r="FU46" s="12"/>
      <c r="FV46" s="12"/>
      <c r="FW46" s="12"/>
      <c r="FX46" s="12"/>
      <c r="FY46" s="12"/>
      <c r="FZ46" s="12"/>
      <c r="GA46" s="12"/>
      <c r="GB46" s="12"/>
      <c r="GC46" s="12"/>
      <c r="GD46" s="12"/>
      <c r="GE46" s="12"/>
      <c r="GF46" s="12"/>
      <c r="GG46" s="12"/>
      <c r="GH46" s="12"/>
      <c r="GI46" s="12"/>
      <c r="GJ46" s="12"/>
      <c r="GK46" s="12"/>
      <c r="GL46" s="12"/>
      <c r="GM46" s="12"/>
      <c r="GN46" s="12"/>
      <c r="GO46" s="12"/>
      <c r="GP46" s="12"/>
      <c r="GQ46" s="12"/>
      <c r="GR46" s="12"/>
      <c r="GS46" s="12"/>
      <c r="GT46" s="12"/>
      <c r="GU46" s="12"/>
      <c r="GV46" s="12"/>
      <c r="GW46" s="12"/>
      <c r="GX46" s="12"/>
      <c r="GY46" s="12"/>
      <c r="GZ46" s="12"/>
      <c r="HA46" s="12"/>
      <c r="HB46" s="12"/>
      <c r="HC46" s="12"/>
      <c r="HD46" s="12"/>
      <c r="HE46" s="12"/>
      <c r="HF46" s="12"/>
      <c r="HG46" s="12"/>
      <c r="HH46" s="12"/>
      <c r="HI46" s="12"/>
      <c r="HJ46" s="12"/>
      <c r="HK46" s="12"/>
      <c r="HL46" s="12"/>
      <c r="HM46" s="12"/>
      <c r="HN46" s="12"/>
      <c r="HO46" s="12"/>
      <c r="HP46" s="12"/>
      <c r="HQ46" s="12"/>
      <c r="HR46" s="12"/>
      <c r="HS46" s="12"/>
      <c r="HT46" s="12"/>
      <c r="HU46" s="12"/>
      <c r="HV46" s="12"/>
      <c r="HW46" s="12"/>
      <c r="HX46" s="12"/>
      <c r="HY46" s="12"/>
      <c r="HZ46" s="12"/>
      <c r="IA46" s="12"/>
      <c r="IB46" s="12"/>
      <c r="IC46" s="12"/>
      <c r="ID46" s="12"/>
      <c r="IE46" s="12"/>
      <c r="IF46" s="12"/>
      <c r="IG46" s="12"/>
      <c r="IH46" s="12"/>
      <c r="II46" s="12"/>
      <c r="IJ46" s="12"/>
      <c r="IK46" s="12"/>
      <c r="IL46" s="12"/>
      <c r="IM46" s="12"/>
      <c r="IN46" s="12"/>
      <c r="IO46" s="12"/>
      <c r="IP46" s="12"/>
      <c r="IQ46" s="12"/>
      <c r="IR46" s="12"/>
      <c r="IS46" s="12"/>
      <c r="IT46" s="12"/>
      <c r="IU46" s="12"/>
      <c r="IV46" s="12"/>
      <c r="IW46" s="12"/>
    </row>
    <row r="47" customFormat="false" ht="11.25" hidden="false" customHeight="false" outlineLevel="0" collapsed="false">
      <c r="A47" s="25" t="n">
        <f aca="false">DATE(YEAR(A46),MONTH(A46)+1,1)</f>
        <v>47150</v>
      </c>
      <c r="B47" s="21" t="n">
        <v>1.948</v>
      </c>
      <c r="C47" s="21" t="n">
        <v>1.958</v>
      </c>
      <c r="D47" s="25" t="n">
        <f aca="false">DATE(YEAR(D46),MONTH(D46)+1,1)</f>
        <v>47150</v>
      </c>
      <c r="E47" s="21" t="n">
        <v>18.365</v>
      </c>
      <c r="F47" s="21" t="n">
        <v>18.451</v>
      </c>
      <c r="G47" s="6"/>
      <c r="H47" s="22" t="n">
        <f aca="false">A47</f>
        <v>47150</v>
      </c>
      <c r="I47" s="23" t="n">
        <f aca="false">IF($J$1="bid",B47,C47)</f>
        <v>1.958</v>
      </c>
      <c r="J47" s="24" t="n">
        <f aca="false">D47</f>
        <v>47150</v>
      </c>
      <c r="K47" s="23" t="n">
        <f aca="false">IF($J$1="bid",E47,F47)</f>
        <v>18.451</v>
      </c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  <c r="AA47" s="5"/>
      <c r="AB47" s="5"/>
      <c r="AC47" s="5"/>
      <c r="AD47" s="5"/>
      <c r="AE47" s="5"/>
      <c r="AF47" s="5"/>
      <c r="AG47" s="5"/>
      <c r="AH47" s="5"/>
      <c r="AI47" s="5"/>
      <c r="AJ47" s="5"/>
      <c r="AK47" s="5"/>
      <c r="AL47" s="5"/>
      <c r="AM47" s="5"/>
      <c r="AN47" s="5"/>
      <c r="AO47" s="5"/>
      <c r="AP47" s="5"/>
      <c r="AQ47" s="5"/>
      <c r="AR47" s="5"/>
      <c r="AS47" s="12"/>
      <c r="AT47" s="12"/>
      <c r="AU47" s="12"/>
      <c r="AV47" s="12"/>
      <c r="AW47" s="12"/>
      <c r="AX47" s="12"/>
      <c r="AY47" s="12"/>
      <c r="AZ47" s="12"/>
      <c r="BA47" s="12"/>
      <c r="BB47" s="12"/>
      <c r="BC47" s="12"/>
      <c r="BD47" s="12"/>
      <c r="BE47" s="12"/>
      <c r="BF47" s="12"/>
      <c r="BG47" s="12"/>
      <c r="BH47" s="12"/>
      <c r="BI47" s="12"/>
      <c r="BJ47" s="12"/>
      <c r="BK47" s="12"/>
      <c r="BL47" s="12"/>
      <c r="BM47" s="12"/>
      <c r="BN47" s="12"/>
      <c r="BO47" s="12"/>
      <c r="BP47" s="12"/>
      <c r="BQ47" s="12"/>
      <c r="BR47" s="12"/>
      <c r="BS47" s="12"/>
      <c r="BT47" s="12"/>
      <c r="BU47" s="12"/>
      <c r="BV47" s="12"/>
      <c r="BW47" s="12"/>
      <c r="BX47" s="12"/>
      <c r="BY47" s="12"/>
      <c r="BZ47" s="12"/>
      <c r="CA47" s="12"/>
      <c r="CB47" s="12"/>
      <c r="CC47" s="12"/>
      <c r="CD47" s="12"/>
      <c r="CE47" s="12"/>
      <c r="CF47" s="12"/>
      <c r="CG47" s="12"/>
      <c r="CH47" s="12"/>
      <c r="CI47" s="12"/>
      <c r="CJ47" s="12"/>
      <c r="CK47" s="12"/>
      <c r="CL47" s="12"/>
      <c r="CM47" s="12"/>
      <c r="CN47" s="12"/>
      <c r="CO47" s="12"/>
      <c r="CP47" s="12"/>
      <c r="CQ47" s="12"/>
      <c r="CR47" s="12"/>
      <c r="CS47" s="12"/>
      <c r="CT47" s="12"/>
      <c r="CU47" s="12"/>
      <c r="CV47" s="12"/>
      <c r="CW47" s="12"/>
      <c r="CX47" s="12"/>
      <c r="CY47" s="12"/>
      <c r="CZ47" s="12"/>
      <c r="DA47" s="12"/>
      <c r="DB47" s="12"/>
      <c r="DC47" s="12"/>
      <c r="DD47" s="12"/>
      <c r="DE47" s="12"/>
      <c r="DF47" s="12"/>
      <c r="DG47" s="12"/>
      <c r="DH47" s="12"/>
      <c r="DI47" s="12"/>
      <c r="DJ47" s="12"/>
      <c r="DK47" s="12"/>
      <c r="DL47" s="12"/>
      <c r="DM47" s="12"/>
      <c r="DN47" s="12"/>
      <c r="DO47" s="12"/>
      <c r="DP47" s="12"/>
      <c r="DQ47" s="12"/>
      <c r="DR47" s="12"/>
      <c r="DS47" s="12"/>
      <c r="DT47" s="12"/>
      <c r="DU47" s="12"/>
      <c r="DV47" s="12"/>
      <c r="DW47" s="12"/>
      <c r="DX47" s="12"/>
      <c r="DY47" s="12"/>
      <c r="DZ47" s="12"/>
      <c r="EA47" s="12"/>
      <c r="EB47" s="12"/>
      <c r="EC47" s="12"/>
      <c r="ED47" s="12"/>
      <c r="EE47" s="12"/>
      <c r="EF47" s="12"/>
      <c r="EG47" s="12"/>
      <c r="EH47" s="12"/>
      <c r="EI47" s="12"/>
      <c r="EJ47" s="12"/>
      <c r="EK47" s="12"/>
      <c r="EL47" s="12"/>
      <c r="EM47" s="12"/>
      <c r="EN47" s="12"/>
      <c r="EO47" s="12"/>
      <c r="EP47" s="12"/>
      <c r="EQ47" s="12"/>
      <c r="ER47" s="12"/>
      <c r="ES47" s="12"/>
      <c r="ET47" s="12"/>
      <c r="EU47" s="12"/>
      <c r="EV47" s="12"/>
      <c r="EW47" s="12"/>
      <c r="EX47" s="12"/>
      <c r="EY47" s="12"/>
      <c r="EZ47" s="12"/>
      <c r="FA47" s="12"/>
      <c r="FB47" s="12"/>
      <c r="FC47" s="12"/>
      <c r="FD47" s="12"/>
      <c r="FE47" s="12"/>
      <c r="FF47" s="12"/>
      <c r="FG47" s="12"/>
      <c r="FH47" s="12"/>
      <c r="FI47" s="12"/>
      <c r="FJ47" s="12"/>
      <c r="FK47" s="12"/>
      <c r="FL47" s="12"/>
      <c r="FM47" s="12"/>
      <c r="FN47" s="12"/>
      <c r="FO47" s="12"/>
      <c r="FP47" s="12"/>
      <c r="FQ47" s="12"/>
      <c r="FR47" s="12"/>
      <c r="FS47" s="12"/>
      <c r="FT47" s="12"/>
      <c r="FU47" s="12"/>
      <c r="FV47" s="12"/>
      <c r="FW47" s="12"/>
      <c r="FX47" s="12"/>
      <c r="FY47" s="12"/>
      <c r="FZ47" s="12"/>
      <c r="GA47" s="12"/>
      <c r="GB47" s="12"/>
      <c r="GC47" s="12"/>
      <c r="GD47" s="12"/>
      <c r="GE47" s="12"/>
      <c r="GF47" s="12"/>
      <c r="GG47" s="12"/>
      <c r="GH47" s="12"/>
      <c r="GI47" s="12"/>
      <c r="GJ47" s="12"/>
      <c r="GK47" s="12"/>
      <c r="GL47" s="12"/>
      <c r="GM47" s="12"/>
      <c r="GN47" s="12"/>
      <c r="GO47" s="12"/>
      <c r="GP47" s="12"/>
      <c r="GQ47" s="12"/>
      <c r="GR47" s="12"/>
      <c r="GS47" s="12"/>
      <c r="GT47" s="12"/>
      <c r="GU47" s="12"/>
      <c r="GV47" s="12"/>
      <c r="GW47" s="12"/>
      <c r="GX47" s="12"/>
      <c r="GY47" s="12"/>
      <c r="GZ47" s="12"/>
      <c r="HA47" s="12"/>
      <c r="HB47" s="12"/>
      <c r="HC47" s="12"/>
      <c r="HD47" s="12"/>
      <c r="HE47" s="12"/>
      <c r="HF47" s="12"/>
      <c r="HG47" s="12"/>
      <c r="HH47" s="12"/>
      <c r="HI47" s="12"/>
      <c r="HJ47" s="12"/>
      <c r="HK47" s="12"/>
      <c r="HL47" s="12"/>
      <c r="HM47" s="12"/>
      <c r="HN47" s="12"/>
      <c r="HO47" s="12"/>
      <c r="HP47" s="12"/>
      <c r="HQ47" s="12"/>
      <c r="HR47" s="12"/>
      <c r="HS47" s="12"/>
      <c r="HT47" s="12"/>
      <c r="HU47" s="12"/>
      <c r="HV47" s="12"/>
      <c r="HW47" s="12"/>
      <c r="HX47" s="12"/>
      <c r="HY47" s="12"/>
      <c r="HZ47" s="12"/>
      <c r="IA47" s="12"/>
      <c r="IB47" s="12"/>
      <c r="IC47" s="12"/>
      <c r="ID47" s="12"/>
      <c r="IE47" s="12"/>
      <c r="IF47" s="12"/>
      <c r="IG47" s="12"/>
      <c r="IH47" s="12"/>
      <c r="II47" s="12"/>
      <c r="IJ47" s="12"/>
      <c r="IK47" s="12"/>
      <c r="IL47" s="12"/>
      <c r="IM47" s="12"/>
      <c r="IN47" s="12"/>
      <c r="IO47" s="12"/>
      <c r="IP47" s="12"/>
      <c r="IQ47" s="12"/>
      <c r="IR47" s="12"/>
      <c r="IS47" s="12"/>
      <c r="IT47" s="12"/>
      <c r="IU47" s="12"/>
      <c r="IV47" s="12"/>
      <c r="IW47" s="12"/>
    </row>
    <row r="48" customFormat="false" ht="11.25" hidden="false" customHeight="false" outlineLevel="0" collapsed="false">
      <c r="A48" s="25" t="n">
        <f aca="false">DATE(YEAR(A47),MONTH(A47)+1,1)</f>
        <v>47178</v>
      </c>
      <c r="B48" s="21" t="n">
        <v>1.935</v>
      </c>
      <c r="C48" s="21" t="n">
        <v>1.945</v>
      </c>
      <c r="D48" s="25" t="n">
        <f aca="false">DATE(YEAR(D47),MONTH(D47)+1,1)</f>
        <v>47178</v>
      </c>
      <c r="E48" s="21" t="n">
        <v>18.373</v>
      </c>
      <c r="F48" s="21" t="n">
        <v>18.465</v>
      </c>
      <c r="G48" s="6"/>
      <c r="H48" s="22" t="n">
        <f aca="false">A48</f>
        <v>47178</v>
      </c>
      <c r="I48" s="23" t="n">
        <f aca="false">IF($J$1="bid",B48,C48)</f>
        <v>1.945</v>
      </c>
      <c r="J48" s="24" t="n">
        <f aca="false">D48</f>
        <v>47178</v>
      </c>
      <c r="K48" s="23" t="n">
        <f aca="false">IF($J$1="bid",E48,F48)</f>
        <v>18.465</v>
      </c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  <c r="AA48" s="5"/>
      <c r="AB48" s="5"/>
      <c r="AC48" s="5"/>
      <c r="AD48" s="5"/>
      <c r="AE48" s="5"/>
      <c r="AF48" s="5"/>
      <c r="AG48" s="5"/>
      <c r="AH48" s="5"/>
      <c r="AI48" s="5"/>
      <c r="AJ48" s="5"/>
      <c r="AK48" s="5"/>
      <c r="AL48" s="5"/>
      <c r="AM48" s="5"/>
      <c r="AN48" s="5"/>
      <c r="AO48" s="5"/>
      <c r="AP48" s="5"/>
      <c r="AQ48" s="5"/>
      <c r="AR48" s="5"/>
      <c r="AS48" s="12"/>
      <c r="AT48" s="12"/>
      <c r="AU48" s="12"/>
      <c r="AV48" s="12"/>
      <c r="AW48" s="12"/>
      <c r="AX48" s="12"/>
      <c r="AY48" s="12"/>
      <c r="AZ48" s="12"/>
      <c r="BA48" s="12"/>
      <c r="BB48" s="12"/>
      <c r="BC48" s="12"/>
      <c r="BD48" s="12"/>
      <c r="BE48" s="12"/>
      <c r="BF48" s="12"/>
      <c r="BG48" s="12"/>
      <c r="BH48" s="12"/>
      <c r="BI48" s="12"/>
      <c r="BJ48" s="12"/>
      <c r="BK48" s="12"/>
      <c r="BL48" s="12"/>
      <c r="BM48" s="12"/>
      <c r="BN48" s="12"/>
      <c r="BO48" s="12"/>
      <c r="BP48" s="12"/>
      <c r="BQ48" s="12"/>
      <c r="BR48" s="12"/>
      <c r="BS48" s="12"/>
      <c r="BT48" s="12"/>
      <c r="BU48" s="12"/>
      <c r="BV48" s="12"/>
      <c r="BW48" s="12"/>
      <c r="BX48" s="12"/>
      <c r="BY48" s="12"/>
      <c r="BZ48" s="12"/>
      <c r="CA48" s="12"/>
      <c r="CB48" s="12"/>
      <c r="CC48" s="12"/>
      <c r="CD48" s="12"/>
      <c r="CE48" s="12"/>
      <c r="CF48" s="12"/>
      <c r="CG48" s="12"/>
      <c r="CH48" s="12"/>
      <c r="CI48" s="12"/>
      <c r="CJ48" s="12"/>
      <c r="CK48" s="12"/>
      <c r="CL48" s="12"/>
      <c r="CM48" s="12"/>
      <c r="CN48" s="12"/>
      <c r="CO48" s="12"/>
      <c r="CP48" s="12"/>
      <c r="CQ48" s="12"/>
      <c r="CR48" s="12"/>
      <c r="CS48" s="12"/>
      <c r="CT48" s="12"/>
      <c r="CU48" s="12"/>
      <c r="CV48" s="12"/>
      <c r="CW48" s="12"/>
      <c r="CX48" s="12"/>
      <c r="CY48" s="12"/>
      <c r="CZ48" s="12"/>
      <c r="DA48" s="12"/>
      <c r="DB48" s="12"/>
      <c r="DC48" s="12"/>
      <c r="DD48" s="12"/>
      <c r="DE48" s="12"/>
      <c r="DF48" s="12"/>
      <c r="DG48" s="12"/>
      <c r="DH48" s="12"/>
      <c r="DI48" s="12"/>
      <c r="DJ48" s="12"/>
      <c r="DK48" s="12"/>
      <c r="DL48" s="12"/>
      <c r="DM48" s="12"/>
      <c r="DN48" s="12"/>
      <c r="DO48" s="12"/>
      <c r="DP48" s="12"/>
      <c r="DQ48" s="12"/>
      <c r="DR48" s="12"/>
      <c r="DS48" s="12"/>
      <c r="DT48" s="12"/>
      <c r="DU48" s="12"/>
      <c r="DV48" s="12"/>
      <c r="DW48" s="12"/>
      <c r="DX48" s="12"/>
      <c r="DY48" s="12"/>
      <c r="DZ48" s="12"/>
      <c r="EA48" s="12"/>
      <c r="EB48" s="12"/>
      <c r="EC48" s="12"/>
      <c r="ED48" s="12"/>
      <c r="EE48" s="12"/>
      <c r="EF48" s="12"/>
      <c r="EG48" s="12"/>
      <c r="EH48" s="12"/>
      <c r="EI48" s="12"/>
      <c r="EJ48" s="12"/>
      <c r="EK48" s="12"/>
      <c r="EL48" s="12"/>
      <c r="EM48" s="12"/>
      <c r="EN48" s="12"/>
      <c r="EO48" s="12"/>
      <c r="EP48" s="12"/>
      <c r="EQ48" s="12"/>
      <c r="ER48" s="12"/>
      <c r="ES48" s="12"/>
      <c r="ET48" s="12"/>
      <c r="EU48" s="12"/>
      <c r="EV48" s="12"/>
      <c r="EW48" s="12"/>
      <c r="EX48" s="12"/>
      <c r="EY48" s="12"/>
      <c r="EZ48" s="12"/>
      <c r="FA48" s="12"/>
      <c r="FB48" s="12"/>
      <c r="FC48" s="12"/>
      <c r="FD48" s="12"/>
      <c r="FE48" s="12"/>
      <c r="FF48" s="12"/>
      <c r="FG48" s="12"/>
      <c r="FH48" s="12"/>
      <c r="FI48" s="12"/>
      <c r="FJ48" s="12"/>
      <c r="FK48" s="12"/>
      <c r="FL48" s="12"/>
      <c r="FM48" s="12"/>
      <c r="FN48" s="12"/>
      <c r="FO48" s="12"/>
      <c r="FP48" s="12"/>
      <c r="FQ48" s="12"/>
      <c r="FR48" s="12"/>
      <c r="FS48" s="12"/>
      <c r="FT48" s="12"/>
      <c r="FU48" s="12"/>
      <c r="FV48" s="12"/>
      <c r="FW48" s="12"/>
      <c r="FX48" s="12"/>
      <c r="FY48" s="12"/>
      <c r="FZ48" s="12"/>
      <c r="GA48" s="12"/>
      <c r="GB48" s="12"/>
      <c r="GC48" s="12"/>
      <c r="GD48" s="12"/>
      <c r="GE48" s="12"/>
      <c r="GF48" s="12"/>
      <c r="GG48" s="12"/>
      <c r="GH48" s="12"/>
      <c r="GI48" s="12"/>
      <c r="GJ48" s="12"/>
      <c r="GK48" s="12"/>
      <c r="GL48" s="12"/>
      <c r="GM48" s="12"/>
      <c r="GN48" s="12"/>
      <c r="GO48" s="12"/>
      <c r="GP48" s="12"/>
      <c r="GQ48" s="12"/>
      <c r="GR48" s="12"/>
      <c r="GS48" s="12"/>
      <c r="GT48" s="12"/>
      <c r="GU48" s="12"/>
      <c r="GV48" s="12"/>
      <c r="GW48" s="12"/>
      <c r="GX48" s="12"/>
      <c r="GY48" s="12"/>
      <c r="GZ48" s="12"/>
      <c r="HA48" s="12"/>
      <c r="HB48" s="12"/>
      <c r="HC48" s="12"/>
      <c r="HD48" s="12"/>
      <c r="HE48" s="12"/>
      <c r="HF48" s="12"/>
      <c r="HG48" s="12"/>
      <c r="HH48" s="12"/>
      <c r="HI48" s="12"/>
      <c r="HJ48" s="12"/>
      <c r="HK48" s="12"/>
      <c r="HL48" s="12"/>
      <c r="HM48" s="12"/>
      <c r="HN48" s="12"/>
      <c r="HO48" s="12"/>
      <c r="HP48" s="12"/>
      <c r="HQ48" s="12"/>
      <c r="HR48" s="12"/>
      <c r="HS48" s="12"/>
      <c r="HT48" s="12"/>
      <c r="HU48" s="12"/>
      <c r="HV48" s="12"/>
      <c r="HW48" s="12"/>
      <c r="HX48" s="12"/>
      <c r="HY48" s="12"/>
      <c r="HZ48" s="12"/>
      <c r="IA48" s="12"/>
      <c r="IB48" s="12"/>
      <c r="IC48" s="12"/>
      <c r="ID48" s="12"/>
      <c r="IE48" s="12"/>
      <c r="IF48" s="12"/>
      <c r="IG48" s="12"/>
      <c r="IH48" s="12"/>
      <c r="II48" s="12"/>
      <c r="IJ48" s="12"/>
      <c r="IK48" s="12"/>
      <c r="IL48" s="12"/>
      <c r="IM48" s="12"/>
      <c r="IN48" s="12"/>
      <c r="IO48" s="12"/>
      <c r="IP48" s="12"/>
      <c r="IQ48" s="12"/>
      <c r="IR48" s="12"/>
      <c r="IS48" s="12"/>
      <c r="IT48" s="12"/>
      <c r="IU48" s="12"/>
      <c r="IV48" s="12"/>
      <c r="IW48" s="12"/>
    </row>
    <row r="49" customFormat="false" ht="11.25" hidden="false" customHeight="false" outlineLevel="0" collapsed="false">
      <c r="A49" s="30" t="n">
        <f aca="false">DATE(YEAR(A48),MONTH(A48)+1,1)</f>
        <v>47209</v>
      </c>
      <c r="B49" s="21" t="n">
        <v>1.943</v>
      </c>
      <c r="C49" s="21" t="n">
        <v>1.953</v>
      </c>
      <c r="D49" s="30" t="n">
        <f aca="false">DATE(YEAR(D48),MONTH(D48)+1,1)</f>
        <v>47209</v>
      </c>
      <c r="E49" s="21" t="n">
        <v>18.382</v>
      </c>
      <c r="F49" s="21" t="n">
        <v>18.479</v>
      </c>
      <c r="G49" s="6"/>
      <c r="H49" s="22" t="n">
        <f aca="false">A49</f>
        <v>47209</v>
      </c>
      <c r="I49" s="23" t="n">
        <f aca="false">IF($J$1="bid",B49,C49)</f>
        <v>1.953</v>
      </c>
      <c r="J49" s="24" t="n">
        <f aca="false">D49</f>
        <v>47209</v>
      </c>
      <c r="K49" s="23" t="n">
        <f aca="false">IF($J$1="bid",E49,F49)</f>
        <v>18.479</v>
      </c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11"/>
      <c r="X49" s="11"/>
      <c r="Y49" s="11"/>
      <c r="Z49" s="11"/>
      <c r="AA49" s="11"/>
      <c r="AB49" s="11"/>
      <c r="AC49" s="11"/>
      <c r="AD49" s="11"/>
      <c r="AE49" s="11"/>
      <c r="AF49" s="11"/>
      <c r="AG49" s="11"/>
      <c r="AH49" s="11"/>
      <c r="AI49" s="11"/>
      <c r="AJ49" s="11"/>
      <c r="AK49" s="11"/>
      <c r="AL49" s="11"/>
      <c r="AM49" s="11"/>
      <c r="AN49" s="11"/>
      <c r="AO49" s="11"/>
      <c r="AP49" s="11"/>
      <c r="AQ49" s="11"/>
      <c r="AR49" s="5"/>
      <c r="AS49" s="12"/>
      <c r="AT49" s="12"/>
      <c r="AU49" s="12"/>
      <c r="AV49" s="12"/>
      <c r="AW49" s="12"/>
      <c r="AX49" s="12"/>
      <c r="AY49" s="12"/>
      <c r="AZ49" s="12"/>
      <c r="BA49" s="12"/>
      <c r="BB49" s="12"/>
      <c r="BC49" s="12"/>
      <c r="BD49" s="12"/>
      <c r="BE49" s="12"/>
      <c r="BF49" s="12"/>
      <c r="BG49" s="12"/>
      <c r="BH49" s="12"/>
      <c r="BI49" s="12"/>
      <c r="BJ49" s="12"/>
      <c r="BK49" s="12"/>
      <c r="BL49" s="12"/>
      <c r="BM49" s="12"/>
      <c r="BN49" s="12"/>
      <c r="BO49" s="12"/>
      <c r="BP49" s="12"/>
      <c r="BQ49" s="12"/>
      <c r="BR49" s="12"/>
      <c r="BS49" s="12"/>
      <c r="BT49" s="12"/>
      <c r="BU49" s="12"/>
      <c r="BV49" s="12"/>
      <c r="BW49" s="12"/>
      <c r="BX49" s="12"/>
      <c r="BY49" s="12"/>
      <c r="BZ49" s="12"/>
      <c r="CA49" s="12"/>
      <c r="CB49" s="12"/>
      <c r="CC49" s="12"/>
      <c r="CD49" s="12"/>
      <c r="CE49" s="12"/>
      <c r="CF49" s="12"/>
      <c r="CG49" s="12"/>
      <c r="CH49" s="12"/>
      <c r="CI49" s="12"/>
      <c r="CJ49" s="12"/>
      <c r="CK49" s="12"/>
      <c r="CL49" s="12"/>
      <c r="CM49" s="12"/>
      <c r="CN49" s="12"/>
      <c r="CO49" s="12"/>
      <c r="CP49" s="12"/>
      <c r="CQ49" s="12"/>
      <c r="CR49" s="12"/>
      <c r="CS49" s="12"/>
      <c r="CT49" s="12"/>
      <c r="CU49" s="12"/>
      <c r="CV49" s="12"/>
      <c r="CW49" s="12"/>
      <c r="CX49" s="12"/>
      <c r="CY49" s="12"/>
      <c r="CZ49" s="12"/>
      <c r="DA49" s="12"/>
      <c r="DB49" s="12"/>
      <c r="DC49" s="12"/>
      <c r="DD49" s="12"/>
      <c r="DE49" s="12"/>
      <c r="DF49" s="12"/>
      <c r="DG49" s="12"/>
      <c r="DH49" s="12"/>
      <c r="DI49" s="12"/>
      <c r="DJ49" s="12"/>
      <c r="DK49" s="12"/>
      <c r="DL49" s="12"/>
      <c r="DM49" s="12"/>
      <c r="DN49" s="12"/>
      <c r="DO49" s="12"/>
      <c r="DP49" s="12"/>
      <c r="DQ49" s="12"/>
      <c r="DR49" s="12"/>
      <c r="DS49" s="12"/>
      <c r="DT49" s="12"/>
      <c r="DU49" s="12"/>
      <c r="DV49" s="12"/>
      <c r="DW49" s="12"/>
      <c r="DX49" s="12"/>
      <c r="DY49" s="12"/>
      <c r="DZ49" s="12"/>
      <c r="EA49" s="12"/>
      <c r="EB49" s="12"/>
      <c r="EC49" s="12"/>
      <c r="ED49" s="12"/>
      <c r="EE49" s="12"/>
      <c r="EF49" s="12"/>
      <c r="EG49" s="12"/>
      <c r="EH49" s="12"/>
      <c r="EI49" s="12"/>
      <c r="EJ49" s="12"/>
      <c r="EK49" s="12"/>
      <c r="EL49" s="12"/>
      <c r="EM49" s="12"/>
      <c r="EN49" s="12"/>
      <c r="EO49" s="12"/>
      <c r="EP49" s="12"/>
      <c r="EQ49" s="12"/>
      <c r="ER49" s="12"/>
      <c r="ES49" s="12"/>
      <c r="ET49" s="12"/>
      <c r="EU49" s="12"/>
      <c r="EV49" s="12"/>
      <c r="EW49" s="12"/>
      <c r="EX49" s="12"/>
      <c r="EY49" s="12"/>
      <c r="EZ49" s="12"/>
      <c r="FA49" s="12"/>
      <c r="FB49" s="12"/>
      <c r="FC49" s="12"/>
      <c r="FD49" s="12"/>
      <c r="FE49" s="12"/>
      <c r="FF49" s="12"/>
      <c r="FG49" s="12"/>
      <c r="FH49" s="12"/>
      <c r="FI49" s="12"/>
      <c r="FJ49" s="12"/>
      <c r="FK49" s="12"/>
      <c r="FL49" s="12"/>
      <c r="FM49" s="12"/>
      <c r="FN49" s="12"/>
      <c r="FO49" s="12"/>
      <c r="FP49" s="12"/>
      <c r="FQ49" s="12"/>
      <c r="FR49" s="12"/>
      <c r="FS49" s="12"/>
      <c r="FT49" s="12"/>
      <c r="FU49" s="12"/>
      <c r="FV49" s="12"/>
      <c r="FW49" s="12"/>
      <c r="FX49" s="12"/>
      <c r="FY49" s="12"/>
      <c r="FZ49" s="12"/>
      <c r="GA49" s="12"/>
      <c r="GB49" s="12"/>
      <c r="GC49" s="12"/>
      <c r="GD49" s="12"/>
      <c r="GE49" s="12"/>
      <c r="GF49" s="12"/>
      <c r="GG49" s="12"/>
      <c r="GH49" s="12"/>
      <c r="GI49" s="12"/>
      <c r="GJ49" s="12"/>
      <c r="GK49" s="12"/>
      <c r="GL49" s="12"/>
      <c r="GM49" s="12"/>
      <c r="GN49" s="12"/>
      <c r="GO49" s="12"/>
      <c r="GP49" s="12"/>
      <c r="GQ49" s="12"/>
      <c r="GR49" s="12"/>
      <c r="GS49" s="12"/>
      <c r="GT49" s="12"/>
      <c r="GU49" s="12"/>
      <c r="GV49" s="12"/>
      <c r="GW49" s="12"/>
      <c r="GX49" s="12"/>
      <c r="GY49" s="12"/>
      <c r="GZ49" s="12"/>
      <c r="HA49" s="12"/>
      <c r="HB49" s="12"/>
      <c r="HC49" s="12"/>
      <c r="HD49" s="12"/>
      <c r="HE49" s="12"/>
      <c r="HF49" s="12"/>
      <c r="HG49" s="12"/>
      <c r="HH49" s="12"/>
      <c r="HI49" s="12"/>
      <c r="HJ49" s="12"/>
      <c r="HK49" s="12"/>
      <c r="HL49" s="12"/>
      <c r="HM49" s="12"/>
      <c r="HN49" s="12"/>
      <c r="HO49" s="12"/>
      <c r="HP49" s="12"/>
      <c r="HQ49" s="12"/>
      <c r="HR49" s="12"/>
      <c r="HS49" s="12"/>
      <c r="HT49" s="12"/>
      <c r="HU49" s="12"/>
      <c r="HV49" s="12"/>
      <c r="HW49" s="12"/>
      <c r="HX49" s="12"/>
      <c r="HY49" s="12"/>
      <c r="HZ49" s="12"/>
      <c r="IA49" s="12"/>
      <c r="IB49" s="12"/>
      <c r="IC49" s="12"/>
      <c r="ID49" s="12"/>
      <c r="IE49" s="12"/>
      <c r="IF49" s="12"/>
      <c r="IG49" s="12"/>
      <c r="IH49" s="12"/>
      <c r="II49" s="12"/>
      <c r="IJ49" s="12"/>
      <c r="IK49" s="12"/>
      <c r="IL49" s="12"/>
      <c r="IM49" s="12"/>
      <c r="IN49" s="12"/>
      <c r="IO49" s="12"/>
      <c r="IP49" s="12"/>
      <c r="IQ49" s="12"/>
      <c r="IR49" s="12"/>
      <c r="IS49" s="12"/>
      <c r="IT49" s="12"/>
      <c r="IU49" s="12"/>
      <c r="IV49" s="12"/>
      <c r="IW49" s="12"/>
    </row>
    <row r="50" customFormat="false" ht="11.25" hidden="false" customHeight="false" outlineLevel="0" collapsed="false">
      <c r="A50" s="30" t="n">
        <f aca="false">DATE(YEAR(A49),MONTH(A49)+1,1)</f>
        <v>47239</v>
      </c>
      <c r="B50" s="21" t="n">
        <v>1.935</v>
      </c>
      <c r="C50" s="21" t="n">
        <v>1.945</v>
      </c>
      <c r="D50" s="30" t="n">
        <f aca="false">DATE(YEAR(D49),MONTH(D49)+1,1)</f>
        <v>47239</v>
      </c>
      <c r="E50" s="21" t="n">
        <v>18.39</v>
      </c>
      <c r="F50" s="21" t="n">
        <v>18.492</v>
      </c>
      <c r="G50" s="6"/>
      <c r="H50" s="22" t="n">
        <f aca="false">A50</f>
        <v>47239</v>
      </c>
      <c r="I50" s="23" t="n">
        <f aca="false">IF($J$1="bid",B50,C50)</f>
        <v>1.945</v>
      </c>
      <c r="J50" s="24" t="n">
        <f aca="false">D50</f>
        <v>47239</v>
      </c>
      <c r="K50" s="23" t="n">
        <f aca="false">IF($J$1="bid",E50,F50)</f>
        <v>18.492</v>
      </c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/>
      <c r="W50" s="11"/>
      <c r="X50" s="11"/>
      <c r="Y50" s="11"/>
      <c r="Z50" s="11"/>
      <c r="AA50" s="11"/>
      <c r="AB50" s="11"/>
      <c r="AC50" s="11"/>
      <c r="AD50" s="11"/>
      <c r="AE50" s="11"/>
      <c r="AF50" s="11"/>
      <c r="AG50" s="11"/>
      <c r="AH50" s="11"/>
      <c r="AI50" s="11"/>
      <c r="AJ50" s="11"/>
      <c r="AK50" s="11"/>
      <c r="AL50" s="11"/>
      <c r="AM50" s="11"/>
      <c r="AN50" s="11"/>
      <c r="AO50" s="11"/>
      <c r="AP50" s="11"/>
      <c r="AQ50" s="11"/>
      <c r="AR50" s="5"/>
      <c r="AS50" s="12"/>
      <c r="AT50" s="12"/>
      <c r="AU50" s="12"/>
      <c r="AV50" s="12"/>
      <c r="AW50" s="12"/>
      <c r="AX50" s="12"/>
      <c r="AY50" s="12"/>
      <c r="AZ50" s="12"/>
      <c r="BA50" s="12"/>
      <c r="BB50" s="12"/>
      <c r="BC50" s="12"/>
      <c r="BD50" s="12"/>
      <c r="BE50" s="12"/>
      <c r="BF50" s="12"/>
      <c r="BG50" s="12"/>
      <c r="BH50" s="12"/>
      <c r="BI50" s="12"/>
      <c r="BJ50" s="12"/>
      <c r="BK50" s="12"/>
      <c r="BL50" s="12"/>
      <c r="BM50" s="12"/>
      <c r="BN50" s="12"/>
      <c r="BO50" s="12"/>
      <c r="BP50" s="12"/>
      <c r="BQ50" s="12"/>
      <c r="BR50" s="12"/>
      <c r="BS50" s="12"/>
      <c r="BT50" s="12"/>
      <c r="BU50" s="12"/>
      <c r="BV50" s="12"/>
      <c r="BW50" s="12"/>
      <c r="BX50" s="12"/>
      <c r="BY50" s="12"/>
      <c r="BZ50" s="12"/>
      <c r="CA50" s="12"/>
      <c r="CB50" s="12"/>
      <c r="CC50" s="12"/>
      <c r="CD50" s="12"/>
      <c r="CE50" s="12"/>
      <c r="CF50" s="12"/>
      <c r="CG50" s="12"/>
      <c r="CH50" s="12"/>
      <c r="CI50" s="12"/>
      <c r="CJ50" s="12"/>
      <c r="CK50" s="12"/>
      <c r="CL50" s="12"/>
      <c r="CM50" s="12"/>
      <c r="CN50" s="12"/>
      <c r="CO50" s="12"/>
      <c r="CP50" s="12"/>
      <c r="CQ50" s="12"/>
      <c r="CR50" s="12"/>
      <c r="CS50" s="12"/>
      <c r="CT50" s="12"/>
      <c r="CU50" s="12"/>
      <c r="CV50" s="12"/>
      <c r="CW50" s="12"/>
      <c r="CX50" s="12"/>
      <c r="CY50" s="12"/>
      <c r="CZ50" s="12"/>
      <c r="DA50" s="12"/>
      <c r="DB50" s="12"/>
      <c r="DC50" s="12"/>
      <c r="DD50" s="12"/>
      <c r="DE50" s="12"/>
      <c r="DF50" s="12"/>
      <c r="DG50" s="12"/>
      <c r="DH50" s="12"/>
      <c r="DI50" s="12"/>
      <c r="DJ50" s="12"/>
      <c r="DK50" s="12"/>
      <c r="DL50" s="12"/>
      <c r="DM50" s="12"/>
      <c r="DN50" s="12"/>
      <c r="DO50" s="12"/>
      <c r="DP50" s="12"/>
      <c r="DQ50" s="12"/>
      <c r="DR50" s="12"/>
      <c r="DS50" s="12"/>
      <c r="DT50" s="12"/>
      <c r="DU50" s="12"/>
      <c r="DV50" s="12"/>
      <c r="DW50" s="12"/>
      <c r="DX50" s="12"/>
      <c r="DY50" s="12"/>
      <c r="DZ50" s="12"/>
      <c r="EA50" s="12"/>
      <c r="EB50" s="12"/>
      <c r="EC50" s="12"/>
      <c r="ED50" s="12"/>
      <c r="EE50" s="12"/>
      <c r="EF50" s="12"/>
      <c r="EG50" s="12"/>
      <c r="EH50" s="12"/>
      <c r="EI50" s="12"/>
      <c r="EJ50" s="12"/>
      <c r="EK50" s="12"/>
      <c r="EL50" s="12"/>
      <c r="EM50" s="12"/>
      <c r="EN50" s="12"/>
      <c r="EO50" s="12"/>
      <c r="EP50" s="12"/>
      <c r="EQ50" s="12"/>
      <c r="ER50" s="12"/>
      <c r="ES50" s="12"/>
      <c r="ET50" s="12"/>
      <c r="EU50" s="12"/>
      <c r="EV50" s="12"/>
      <c r="EW50" s="12"/>
      <c r="EX50" s="12"/>
      <c r="EY50" s="12"/>
      <c r="EZ50" s="12"/>
      <c r="FA50" s="12"/>
      <c r="FB50" s="12"/>
      <c r="FC50" s="12"/>
      <c r="FD50" s="12"/>
      <c r="FE50" s="12"/>
      <c r="FF50" s="12"/>
      <c r="FG50" s="12"/>
      <c r="FH50" s="12"/>
      <c r="FI50" s="12"/>
      <c r="FJ50" s="12"/>
      <c r="FK50" s="12"/>
      <c r="FL50" s="12"/>
      <c r="FM50" s="12"/>
      <c r="FN50" s="12"/>
      <c r="FO50" s="12"/>
      <c r="FP50" s="12"/>
      <c r="FQ50" s="12"/>
      <c r="FR50" s="12"/>
      <c r="FS50" s="12"/>
      <c r="FT50" s="12"/>
      <c r="FU50" s="12"/>
      <c r="FV50" s="12"/>
      <c r="FW50" s="12"/>
      <c r="FX50" s="12"/>
      <c r="FY50" s="12"/>
      <c r="FZ50" s="12"/>
      <c r="GA50" s="12"/>
      <c r="GB50" s="12"/>
      <c r="GC50" s="12"/>
      <c r="GD50" s="12"/>
      <c r="GE50" s="12"/>
      <c r="GF50" s="12"/>
      <c r="GG50" s="12"/>
      <c r="GH50" s="12"/>
      <c r="GI50" s="12"/>
      <c r="GJ50" s="12"/>
      <c r="GK50" s="12"/>
      <c r="GL50" s="12"/>
      <c r="GM50" s="12"/>
      <c r="GN50" s="12"/>
      <c r="GO50" s="12"/>
      <c r="GP50" s="12"/>
      <c r="GQ50" s="12"/>
      <c r="GR50" s="12"/>
      <c r="GS50" s="12"/>
      <c r="GT50" s="12"/>
      <c r="GU50" s="12"/>
      <c r="GV50" s="12"/>
      <c r="GW50" s="12"/>
      <c r="GX50" s="12"/>
      <c r="GY50" s="12"/>
      <c r="GZ50" s="12"/>
      <c r="HA50" s="12"/>
      <c r="HB50" s="12"/>
      <c r="HC50" s="12"/>
      <c r="HD50" s="12"/>
      <c r="HE50" s="12"/>
      <c r="HF50" s="12"/>
      <c r="HG50" s="12"/>
      <c r="HH50" s="12"/>
      <c r="HI50" s="12"/>
      <c r="HJ50" s="12"/>
      <c r="HK50" s="12"/>
      <c r="HL50" s="12"/>
      <c r="HM50" s="12"/>
      <c r="HN50" s="12"/>
      <c r="HO50" s="12"/>
      <c r="HP50" s="12"/>
      <c r="HQ50" s="12"/>
      <c r="HR50" s="12"/>
      <c r="HS50" s="12"/>
      <c r="HT50" s="12"/>
      <c r="HU50" s="12"/>
      <c r="HV50" s="12"/>
      <c r="HW50" s="12"/>
      <c r="HX50" s="12"/>
      <c r="HY50" s="12"/>
      <c r="HZ50" s="12"/>
      <c r="IA50" s="12"/>
      <c r="IB50" s="12"/>
      <c r="IC50" s="12"/>
      <c r="ID50" s="12"/>
      <c r="IE50" s="12"/>
      <c r="IF50" s="12"/>
      <c r="IG50" s="12"/>
      <c r="IH50" s="12"/>
      <c r="II50" s="12"/>
      <c r="IJ50" s="12"/>
      <c r="IK50" s="12"/>
      <c r="IL50" s="12"/>
      <c r="IM50" s="12"/>
      <c r="IN50" s="12"/>
      <c r="IO50" s="12"/>
      <c r="IP50" s="12"/>
      <c r="IQ50" s="12"/>
      <c r="IR50" s="12"/>
      <c r="IS50" s="12"/>
      <c r="IT50" s="12"/>
      <c r="IU50" s="12"/>
      <c r="IV50" s="12"/>
      <c r="IW50" s="12"/>
    </row>
    <row r="51" customFormat="false" ht="11.25" hidden="false" customHeight="false" outlineLevel="0" collapsed="false">
      <c r="A51" s="25" t="n">
        <f aca="false">DATE(YEAR(A50),MONTH(A50)+1,1)</f>
        <v>47270</v>
      </c>
      <c r="B51" s="21" t="n">
        <v>1.935</v>
      </c>
      <c r="C51" s="21" t="n">
        <v>1.945</v>
      </c>
      <c r="D51" s="25" t="n">
        <f aca="false">DATE(YEAR(D50),MONTH(D50)+1,1)</f>
        <v>47270</v>
      </c>
      <c r="E51" s="21" t="n">
        <v>18.398</v>
      </c>
      <c r="F51" s="21" t="n">
        <v>18.505</v>
      </c>
      <c r="G51" s="6"/>
      <c r="H51" s="22" t="n">
        <f aca="false">A51</f>
        <v>47270</v>
      </c>
      <c r="I51" s="23" t="n">
        <f aca="false">IF($J$1="bid",B51,C51)</f>
        <v>1.945</v>
      </c>
      <c r="J51" s="24" t="n">
        <f aca="false">D51</f>
        <v>47270</v>
      </c>
      <c r="K51" s="23" t="n">
        <f aca="false">IF($J$1="bid",E51,F51)</f>
        <v>18.505</v>
      </c>
      <c r="L51" s="11"/>
      <c r="M51" s="11"/>
      <c r="N51" s="11"/>
      <c r="O51" s="11"/>
      <c r="P51" s="16"/>
      <c r="Q51" s="16"/>
      <c r="R51" s="16"/>
      <c r="S51" s="11"/>
      <c r="T51" s="11"/>
      <c r="U51" s="11"/>
      <c r="V51" s="11"/>
      <c r="W51" s="11"/>
      <c r="X51" s="11"/>
      <c r="Y51" s="11"/>
      <c r="Z51" s="11"/>
      <c r="AA51" s="11"/>
      <c r="AB51" s="11"/>
      <c r="AC51" s="11"/>
      <c r="AD51" s="11"/>
      <c r="AE51" s="11"/>
      <c r="AF51" s="11"/>
      <c r="AG51" s="11"/>
      <c r="AH51" s="11"/>
      <c r="AI51" s="11"/>
      <c r="AJ51" s="11"/>
      <c r="AK51" s="11"/>
      <c r="AL51" s="11"/>
      <c r="AM51" s="11"/>
      <c r="AN51" s="11"/>
      <c r="AO51" s="11"/>
      <c r="AP51" s="11"/>
      <c r="AQ51" s="11"/>
      <c r="AR51" s="5"/>
      <c r="AS51" s="12"/>
      <c r="AT51" s="12"/>
      <c r="AU51" s="12"/>
      <c r="AV51" s="12"/>
      <c r="AW51" s="12"/>
      <c r="AX51" s="12"/>
      <c r="AY51" s="12"/>
      <c r="AZ51" s="12"/>
      <c r="BA51" s="12"/>
      <c r="BB51" s="12"/>
      <c r="BC51" s="12"/>
      <c r="BD51" s="12"/>
      <c r="BE51" s="12"/>
      <c r="BF51" s="12"/>
      <c r="BG51" s="12"/>
      <c r="BH51" s="12"/>
      <c r="BI51" s="12"/>
      <c r="BJ51" s="12"/>
      <c r="BK51" s="12"/>
      <c r="BL51" s="12"/>
      <c r="BM51" s="12"/>
      <c r="BN51" s="12"/>
      <c r="BO51" s="12"/>
      <c r="BP51" s="12"/>
      <c r="BQ51" s="12"/>
      <c r="BR51" s="12"/>
      <c r="BS51" s="12"/>
      <c r="BT51" s="12"/>
      <c r="BU51" s="12"/>
      <c r="BV51" s="12"/>
      <c r="BW51" s="12"/>
      <c r="BX51" s="12"/>
      <c r="BY51" s="12"/>
      <c r="BZ51" s="12"/>
      <c r="CA51" s="12"/>
      <c r="CB51" s="12"/>
      <c r="CC51" s="12"/>
      <c r="CD51" s="12"/>
      <c r="CE51" s="12"/>
      <c r="CF51" s="12"/>
      <c r="CG51" s="12"/>
      <c r="CH51" s="12"/>
      <c r="CI51" s="12"/>
      <c r="CJ51" s="12"/>
      <c r="CK51" s="12"/>
      <c r="CL51" s="12"/>
      <c r="CM51" s="12"/>
      <c r="CN51" s="12"/>
      <c r="CO51" s="12"/>
      <c r="CP51" s="12"/>
      <c r="CQ51" s="12"/>
      <c r="CR51" s="12"/>
      <c r="CS51" s="12"/>
      <c r="CT51" s="12"/>
      <c r="CU51" s="12"/>
      <c r="CV51" s="12"/>
      <c r="CW51" s="12"/>
      <c r="CX51" s="12"/>
      <c r="CY51" s="12"/>
      <c r="CZ51" s="12"/>
      <c r="DA51" s="12"/>
      <c r="DB51" s="12"/>
      <c r="DC51" s="12"/>
      <c r="DD51" s="12"/>
      <c r="DE51" s="12"/>
      <c r="DF51" s="12"/>
      <c r="DG51" s="12"/>
      <c r="DH51" s="12"/>
      <c r="DI51" s="12"/>
      <c r="DJ51" s="12"/>
      <c r="DK51" s="12"/>
      <c r="DL51" s="12"/>
      <c r="DM51" s="12"/>
      <c r="DN51" s="12"/>
      <c r="DO51" s="12"/>
      <c r="DP51" s="12"/>
      <c r="DQ51" s="12"/>
      <c r="DR51" s="12"/>
      <c r="DS51" s="12"/>
      <c r="DT51" s="12"/>
      <c r="DU51" s="12"/>
      <c r="DV51" s="12"/>
      <c r="DW51" s="12"/>
      <c r="DX51" s="12"/>
      <c r="DY51" s="12"/>
      <c r="DZ51" s="12"/>
      <c r="EA51" s="12"/>
      <c r="EB51" s="12"/>
      <c r="EC51" s="12"/>
      <c r="ED51" s="12"/>
      <c r="EE51" s="12"/>
      <c r="EF51" s="12"/>
      <c r="EG51" s="12"/>
      <c r="EH51" s="12"/>
      <c r="EI51" s="12"/>
      <c r="EJ51" s="12"/>
      <c r="EK51" s="12"/>
      <c r="EL51" s="12"/>
      <c r="EM51" s="12"/>
      <c r="EN51" s="12"/>
      <c r="EO51" s="12"/>
      <c r="EP51" s="12"/>
      <c r="EQ51" s="12"/>
      <c r="ER51" s="12"/>
      <c r="ES51" s="12"/>
      <c r="ET51" s="12"/>
      <c r="EU51" s="12"/>
      <c r="EV51" s="12"/>
      <c r="EW51" s="12"/>
      <c r="EX51" s="12"/>
      <c r="EY51" s="12"/>
      <c r="EZ51" s="12"/>
      <c r="FA51" s="12"/>
      <c r="FB51" s="12"/>
      <c r="FC51" s="12"/>
      <c r="FD51" s="12"/>
      <c r="FE51" s="12"/>
      <c r="FF51" s="12"/>
      <c r="FG51" s="12"/>
      <c r="FH51" s="12"/>
      <c r="FI51" s="12"/>
      <c r="FJ51" s="12"/>
      <c r="FK51" s="12"/>
      <c r="FL51" s="12"/>
      <c r="FM51" s="12"/>
      <c r="FN51" s="12"/>
      <c r="FO51" s="12"/>
      <c r="FP51" s="12"/>
      <c r="FQ51" s="12"/>
      <c r="FR51" s="12"/>
      <c r="FS51" s="12"/>
      <c r="FT51" s="12"/>
      <c r="FU51" s="12"/>
      <c r="FV51" s="12"/>
      <c r="FW51" s="12"/>
      <c r="FX51" s="12"/>
      <c r="FY51" s="12"/>
      <c r="FZ51" s="12"/>
      <c r="GA51" s="12"/>
      <c r="GB51" s="12"/>
      <c r="GC51" s="12"/>
      <c r="GD51" s="12"/>
      <c r="GE51" s="12"/>
      <c r="GF51" s="12"/>
      <c r="GG51" s="12"/>
      <c r="GH51" s="12"/>
      <c r="GI51" s="12"/>
      <c r="GJ51" s="12"/>
      <c r="GK51" s="12"/>
      <c r="GL51" s="12"/>
      <c r="GM51" s="12"/>
      <c r="GN51" s="12"/>
      <c r="GO51" s="12"/>
      <c r="GP51" s="12"/>
      <c r="GQ51" s="12"/>
      <c r="GR51" s="12"/>
      <c r="GS51" s="12"/>
      <c r="GT51" s="12"/>
      <c r="GU51" s="12"/>
      <c r="GV51" s="12"/>
      <c r="GW51" s="12"/>
      <c r="GX51" s="12"/>
      <c r="GY51" s="12"/>
      <c r="GZ51" s="12"/>
      <c r="HA51" s="12"/>
      <c r="HB51" s="12"/>
      <c r="HC51" s="12"/>
      <c r="HD51" s="12"/>
      <c r="HE51" s="12"/>
      <c r="HF51" s="12"/>
      <c r="HG51" s="12"/>
      <c r="HH51" s="12"/>
      <c r="HI51" s="12"/>
      <c r="HJ51" s="12"/>
      <c r="HK51" s="12"/>
      <c r="HL51" s="12"/>
      <c r="HM51" s="12"/>
      <c r="HN51" s="12"/>
      <c r="HO51" s="12"/>
      <c r="HP51" s="12"/>
      <c r="HQ51" s="12"/>
      <c r="HR51" s="12"/>
      <c r="HS51" s="12"/>
      <c r="HT51" s="12"/>
      <c r="HU51" s="12"/>
      <c r="HV51" s="12"/>
      <c r="HW51" s="12"/>
      <c r="HX51" s="12"/>
      <c r="HY51" s="12"/>
      <c r="HZ51" s="12"/>
      <c r="IA51" s="12"/>
      <c r="IB51" s="12"/>
      <c r="IC51" s="12"/>
      <c r="ID51" s="12"/>
      <c r="IE51" s="12"/>
      <c r="IF51" s="12"/>
      <c r="IG51" s="12"/>
      <c r="IH51" s="12"/>
      <c r="II51" s="12"/>
      <c r="IJ51" s="12"/>
      <c r="IK51" s="12"/>
      <c r="IL51" s="12"/>
      <c r="IM51" s="12"/>
      <c r="IN51" s="12"/>
      <c r="IO51" s="12"/>
      <c r="IP51" s="12"/>
      <c r="IQ51" s="12"/>
      <c r="IR51" s="12"/>
      <c r="IS51" s="12"/>
      <c r="IT51" s="12"/>
      <c r="IU51" s="12"/>
      <c r="IV51" s="12"/>
      <c r="IW51" s="12"/>
    </row>
    <row r="52" customFormat="false" ht="11.25" hidden="false" customHeight="false" outlineLevel="0" collapsed="false">
      <c r="A52" s="25" t="n">
        <f aca="false">DATE(YEAR(A51),MONTH(A51)+1,1)</f>
        <v>47300</v>
      </c>
      <c r="B52" s="21" t="n">
        <v>1.935</v>
      </c>
      <c r="C52" s="21" t="n">
        <v>1.945</v>
      </c>
      <c r="D52" s="25" t="n">
        <f aca="false">DATE(YEAR(D51),MONTH(D51)+1,1)</f>
        <v>47300</v>
      </c>
      <c r="E52" s="21" t="n">
        <v>18.407</v>
      </c>
      <c r="F52" s="21" t="n">
        <v>18.519</v>
      </c>
      <c r="G52" s="6"/>
      <c r="H52" s="22" t="n">
        <f aca="false">A52</f>
        <v>47300</v>
      </c>
      <c r="I52" s="23" t="n">
        <f aca="false">IF($J$1="bid",B52,C52)</f>
        <v>1.945</v>
      </c>
      <c r="J52" s="24" t="n">
        <f aca="false">D52</f>
        <v>47300</v>
      </c>
      <c r="K52" s="23" t="n">
        <f aca="false">IF($J$1="bid",E52,F52)</f>
        <v>18.519</v>
      </c>
      <c r="L52" s="11"/>
      <c r="M52" s="11"/>
      <c r="N52" s="11"/>
      <c r="O52" s="11"/>
      <c r="P52" s="11"/>
      <c r="Q52" s="11"/>
      <c r="R52" s="11"/>
      <c r="S52" s="11"/>
      <c r="T52" s="11"/>
      <c r="U52" s="11"/>
      <c r="V52" s="11"/>
      <c r="W52" s="11"/>
      <c r="X52" s="11"/>
      <c r="Y52" s="11"/>
      <c r="Z52" s="11"/>
      <c r="AA52" s="11"/>
      <c r="AB52" s="11"/>
      <c r="AC52" s="11"/>
      <c r="AD52" s="11"/>
      <c r="AE52" s="11"/>
      <c r="AF52" s="11"/>
      <c r="AG52" s="11"/>
      <c r="AH52" s="11"/>
      <c r="AI52" s="11"/>
      <c r="AJ52" s="11"/>
      <c r="AK52" s="11"/>
      <c r="AL52" s="11"/>
      <c r="AM52" s="11"/>
      <c r="AN52" s="11"/>
      <c r="AO52" s="11"/>
      <c r="AP52" s="11"/>
      <c r="AQ52" s="11"/>
      <c r="AR52" s="5"/>
      <c r="AS52" s="12"/>
      <c r="AT52" s="12"/>
      <c r="AU52" s="12"/>
      <c r="AV52" s="12"/>
      <c r="AW52" s="12"/>
      <c r="AX52" s="12"/>
      <c r="AY52" s="12"/>
      <c r="AZ52" s="12"/>
      <c r="BA52" s="12"/>
      <c r="BB52" s="12"/>
      <c r="BC52" s="12"/>
      <c r="BD52" s="12"/>
      <c r="BE52" s="12"/>
      <c r="BF52" s="12"/>
      <c r="BG52" s="12"/>
      <c r="BH52" s="12"/>
      <c r="BI52" s="12"/>
      <c r="BJ52" s="12"/>
      <c r="BK52" s="12"/>
      <c r="BL52" s="12"/>
      <c r="BM52" s="12"/>
      <c r="BN52" s="12"/>
      <c r="BO52" s="12"/>
      <c r="BP52" s="12"/>
      <c r="BQ52" s="12"/>
      <c r="BR52" s="12"/>
      <c r="BS52" s="12"/>
      <c r="BT52" s="12"/>
      <c r="BU52" s="12"/>
      <c r="BV52" s="12"/>
      <c r="BW52" s="12"/>
      <c r="BX52" s="12"/>
      <c r="BY52" s="12"/>
      <c r="BZ52" s="12"/>
      <c r="CA52" s="12"/>
      <c r="CB52" s="12"/>
      <c r="CC52" s="12"/>
      <c r="CD52" s="12"/>
      <c r="CE52" s="12"/>
      <c r="CF52" s="12"/>
      <c r="CG52" s="12"/>
      <c r="CH52" s="12"/>
      <c r="CI52" s="12"/>
      <c r="CJ52" s="12"/>
      <c r="CK52" s="12"/>
      <c r="CL52" s="12"/>
      <c r="CM52" s="12"/>
      <c r="CN52" s="12"/>
      <c r="CO52" s="12"/>
      <c r="CP52" s="12"/>
      <c r="CQ52" s="12"/>
      <c r="CR52" s="12"/>
      <c r="CS52" s="12"/>
      <c r="CT52" s="12"/>
      <c r="CU52" s="12"/>
      <c r="CV52" s="12"/>
      <c r="CW52" s="12"/>
      <c r="CX52" s="12"/>
      <c r="CY52" s="12"/>
      <c r="CZ52" s="12"/>
      <c r="DA52" s="12"/>
      <c r="DB52" s="12"/>
      <c r="DC52" s="12"/>
      <c r="DD52" s="12"/>
      <c r="DE52" s="12"/>
      <c r="DF52" s="12"/>
      <c r="DG52" s="12"/>
      <c r="DH52" s="12"/>
      <c r="DI52" s="12"/>
      <c r="DJ52" s="12"/>
      <c r="DK52" s="12"/>
      <c r="DL52" s="12"/>
      <c r="DM52" s="12"/>
      <c r="DN52" s="12"/>
      <c r="DO52" s="12"/>
      <c r="DP52" s="12"/>
      <c r="DQ52" s="12"/>
      <c r="DR52" s="12"/>
      <c r="DS52" s="12"/>
      <c r="DT52" s="12"/>
      <c r="DU52" s="12"/>
      <c r="DV52" s="12"/>
      <c r="DW52" s="12"/>
      <c r="DX52" s="12"/>
      <c r="DY52" s="12"/>
      <c r="DZ52" s="12"/>
      <c r="EA52" s="12"/>
      <c r="EB52" s="12"/>
      <c r="EC52" s="12"/>
      <c r="ED52" s="12"/>
      <c r="EE52" s="12"/>
      <c r="EF52" s="12"/>
      <c r="EG52" s="12"/>
      <c r="EH52" s="12"/>
      <c r="EI52" s="12"/>
      <c r="EJ52" s="12"/>
      <c r="EK52" s="12"/>
      <c r="EL52" s="12"/>
      <c r="EM52" s="12"/>
      <c r="EN52" s="12"/>
      <c r="EO52" s="12"/>
      <c r="EP52" s="12"/>
      <c r="EQ52" s="12"/>
      <c r="ER52" s="12"/>
      <c r="ES52" s="12"/>
      <c r="ET52" s="12"/>
      <c r="EU52" s="12"/>
      <c r="EV52" s="12"/>
      <c r="EW52" s="12"/>
      <c r="EX52" s="12"/>
      <c r="EY52" s="12"/>
      <c r="EZ52" s="12"/>
      <c r="FA52" s="12"/>
      <c r="FB52" s="12"/>
      <c r="FC52" s="12"/>
      <c r="FD52" s="12"/>
      <c r="FE52" s="12"/>
      <c r="FF52" s="12"/>
      <c r="FG52" s="12"/>
      <c r="FH52" s="12"/>
      <c r="FI52" s="12"/>
      <c r="FJ52" s="12"/>
      <c r="FK52" s="12"/>
      <c r="FL52" s="12"/>
      <c r="FM52" s="12"/>
      <c r="FN52" s="12"/>
      <c r="FO52" s="12"/>
      <c r="FP52" s="12"/>
      <c r="FQ52" s="12"/>
      <c r="FR52" s="12"/>
      <c r="FS52" s="12"/>
      <c r="FT52" s="12"/>
      <c r="FU52" s="12"/>
      <c r="FV52" s="12"/>
      <c r="FW52" s="12"/>
      <c r="FX52" s="12"/>
      <c r="FY52" s="12"/>
      <c r="FZ52" s="12"/>
      <c r="GA52" s="12"/>
      <c r="GB52" s="12"/>
      <c r="GC52" s="12"/>
      <c r="GD52" s="12"/>
      <c r="GE52" s="12"/>
      <c r="GF52" s="12"/>
      <c r="GG52" s="12"/>
      <c r="GH52" s="12"/>
      <c r="GI52" s="12"/>
      <c r="GJ52" s="12"/>
      <c r="GK52" s="12"/>
      <c r="GL52" s="12"/>
      <c r="GM52" s="12"/>
      <c r="GN52" s="12"/>
      <c r="GO52" s="12"/>
      <c r="GP52" s="12"/>
      <c r="GQ52" s="12"/>
      <c r="GR52" s="12"/>
      <c r="GS52" s="12"/>
      <c r="GT52" s="12"/>
      <c r="GU52" s="12"/>
      <c r="GV52" s="12"/>
      <c r="GW52" s="12"/>
      <c r="GX52" s="12"/>
      <c r="GY52" s="12"/>
      <c r="GZ52" s="12"/>
      <c r="HA52" s="12"/>
      <c r="HB52" s="12"/>
      <c r="HC52" s="12"/>
      <c r="HD52" s="12"/>
      <c r="HE52" s="12"/>
      <c r="HF52" s="12"/>
      <c r="HG52" s="12"/>
      <c r="HH52" s="12"/>
      <c r="HI52" s="12"/>
      <c r="HJ52" s="12"/>
      <c r="HK52" s="12"/>
      <c r="HL52" s="12"/>
      <c r="HM52" s="12"/>
      <c r="HN52" s="12"/>
      <c r="HO52" s="12"/>
      <c r="HP52" s="12"/>
      <c r="HQ52" s="12"/>
      <c r="HR52" s="12"/>
      <c r="HS52" s="12"/>
      <c r="HT52" s="12"/>
      <c r="HU52" s="12"/>
      <c r="HV52" s="12"/>
      <c r="HW52" s="12"/>
      <c r="HX52" s="12"/>
      <c r="HY52" s="12"/>
      <c r="HZ52" s="12"/>
      <c r="IA52" s="12"/>
      <c r="IB52" s="12"/>
      <c r="IC52" s="12"/>
      <c r="ID52" s="12"/>
      <c r="IE52" s="12"/>
      <c r="IF52" s="12"/>
      <c r="IG52" s="12"/>
      <c r="IH52" s="12"/>
      <c r="II52" s="12"/>
      <c r="IJ52" s="12"/>
      <c r="IK52" s="12"/>
      <c r="IL52" s="12"/>
      <c r="IM52" s="12"/>
      <c r="IN52" s="12"/>
      <c r="IO52" s="12"/>
      <c r="IP52" s="12"/>
      <c r="IQ52" s="12"/>
      <c r="IR52" s="12"/>
      <c r="IS52" s="12"/>
      <c r="IT52" s="12"/>
      <c r="IU52" s="12"/>
      <c r="IV52" s="12"/>
      <c r="IW52" s="12"/>
    </row>
    <row r="53" customFormat="false" ht="11.25" hidden="false" customHeight="false" outlineLevel="0" collapsed="false">
      <c r="A53" s="25" t="n">
        <f aca="false">DATE(YEAR(A52),MONTH(A52)+1,1)</f>
        <v>47331</v>
      </c>
      <c r="B53" s="21" t="n">
        <v>1.935</v>
      </c>
      <c r="C53" s="21" t="n">
        <v>1.945</v>
      </c>
      <c r="D53" s="25" t="n">
        <f aca="false">DATE(YEAR(D52),MONTH(D52)+1,1)</f>
        <v>47331</v>
      </c>
      <c r="E53" s="21" t="n">
        <v>18.415</v>
      </c>
      <c r="F53" s="21" t="n">
        <v>18.532</v>
      </c>
      <c r="G53" s="6"/>
      <c r="H53" s="22" t="n">
        <f aca="false">A53</f>
        <v>47331</v>
      </c>
      <c r="I53" s="23" t="n">
        <f aca="false">IF($J$1="bid",B53,C53)</f>
        <v>1.945</v>
      </c>
      <c r="J53" s="24" t="n">
        <f aca="false">D53</f>
        <v>47331</v>
      </c>
      <c r="K53" s="23" t="n">
        <f aca="false">IF($J$1="bid",E53,F53)</f>
        <v>18.532</v>
      </c>
      <c r="L53" s="11"/>
      <c r="M53" s="11"/>
      <c r="N53" s="11"/>
      <c r="O53" s="11"/>
      <c r="P53" s="11"/>
      <c r="Q53" s="11"/>
      <c r="R53" s="11"/>
      <c r="S53" s="11"/>
      <c r="T53" s="11"/>
      <c r="U53" s="11"/>
      <c r="V53" s="11"/>
      <c r="W53" s="11"/>
      <c r="X53" s="11"/>
      <c r="Y53" s="11"/>
      <c r="Z53" s="11"/>
      <c r="AA53" s="11"/>
      <c r="AB53" s="11"/>
      <c r="AC53" s="11"/>
      <c r="AD53" s="11"/>
      <c r="AE53" s="11"/>
      <c r="AF53" s="11"/>
      <c r="AG53" s="11"/>
      <c r="AH53" s="11"/>
      <c r="AI53" s="11"/>
      <c r="AJ53" s="11"/>
      <c r="AK53" s="11"/>
      <c r="AL53" s="11"/>
      <c r="AM53" s="11"/>
      <c r="AN53" s="11"/>
      <c r="AO53" s="11"/>
      <c r="AP53" s="11"/>
      <c r="AQ53" s="11"/>
      <c r="AR53" s="5"/>
      <c r="AS53" s="12"/>
      <c r="AT53" s="12"/>
      <c r="AU53" s="12"/>
      <c r="AV53" s="12"/>
      <c r="AW53" s="12"/>
      <c r="AX53" s="12"/>
      <c r="AY53" s="12"/>
      <c r="AZ53" s="12"/>
      <c r="BA53" s="12"/>
      <c r="BB53" s="12"/>
      <c r="BC53" s="12"/>
      <c r="BD53" s="12"/>
      <c r="BE53" s="12"/>
      <c r="BF53" s="12"/>
      <c r="BG53" s="12"/>
      <c r="BH53" s="12"/>
      <c r="BI53" s="12"/>
      <c r="BJ53" s="12"/>
      <c r="BK53" s="12"/>
      <c r="BL53" s="12"/>
      <c r="BM53" s="12"/>
      <c r="BN53" s="12"/>
      <c r="BO53" s="12"/>
      <c r="BP53" s="12"/>
      <c r="BQ53" s="12"/>
      <c r="BR53" s="12"/>
      <c r="BS53" s="12"/>
      <c r="BT53" s="12"/>
      <c r="BU53" s="12"/>
      <c r="BV53" s="12"/>
      <c r="BW53" s="12"/>
      <c r="BX53" s="12"/>
      <c r="BY53" s="12"/>
      <c r="BZ53" s="12"/>
      <c r="CA53" s="12"/>
      <c r="CB53" s="12"/>
      <c r="CC53" s="12"/>
      <c r="CD53" s="12"/>
      <c r="CE53" s="12"/>
      <c r="CF53" s="12"/>
      <c r="CG53" s="12"/>
      <c r="CH53" s="12"/>
      <c r="CI53" s="12"/>
      <c r="CJ53" s="12"/>
      <c r="CK53" s="12"/>
      <c r="CL53" s="12"/>
      <c r="CM53" s="12"/>
      <c r="CN53" s="12"/>
      <c r="CO53" s="12"/>
      <c r="CP53" s="12"/>
      <c r="CQ53" s="12"/>
      <c r="CR53" s="12"/>
      <c r="CS53" s="12"/>
      <c r="CT53" s="12"/>
      <c r="CU53" s="12"/>
      <c r="CV53" s="12"/>
      <c r="CW53" s="12"/>
      <c r="CX53" s="12"/>
      <c r="CY53" s="12"/>
      <c r="CZ53" s="12"/>
      <c r="DA53" s="12"/>
      <c r="DB53" s="12"/>
      <c r="DC53" s="12"/>
      <c r="DD53" s="12"/>
      <c r="DE53" s="12"/>
      <c r="DF53" s="12"/>
      <c r="DG53" s="12"/>
      <c r="DH53" s="12"/>
      <c r="DI53" s="12"/>
      <c r="DJ53" s="12"/>
      <c r="DK53" s="12"/>
      <c r="DL53" s="12"/>
      <c r="DM53" s="12"/>
      <c r="DN53" s="12"/>
      <c r="DO53" s="12"/>
      <c r="DP53" s="12"/>
      <c r="DQ53" s="12"/>
      <c r="DR53" s="12"/>
      <c r="DS53" s="12"/>
      <c r="DT53" s="12"/>
      <c r="DU53" s="12"/>
      <c r="DV53" s="12"/>
      <c r="DW53" s="12"/>
      <c r="DX53" s="12"/>
      <c r="DY53" s="12"/>
      <c r="DZ53" s="12"/>
      <c r="EA53" s="12"/>
      <c r="EB53" s="12"/>
      <c r="EC53" s="12"/>
      <c r="ED53" s="12"/>
      <c r="EE53" s="12"/>
      <c r="EF53" s="12"/>
      <c r="EG53" s="12"/>
      <c r="EH53" s="12"/>
      <c r="EI53" s="12"/>
      <c r="EJ53" s="12"/>
      <c r="EK53" s="12"/>
      <c r="EL53" s="12"/>
      <c r="EM53" s="12"/>
      <c r="EN53" s="12"/>
      <c r="EO53" s="12"/>
      <c r="EP53" s="12"/>
      <c r="EQ53" s="12"/>
      <c r="ER53" s="12"/>
      <c r="ES53" s="12"/>
      <c r="ET53" s="12"/>
      <c r="EU53" s="12"/>
      <c r="EV53" s="12"/>
      <c r="EW53" s="12"/>
      <c r="EX53" s="12"/>
      <c r="EY53" s="12"/>
      <c r="EZ53" s="12"/>
      <c r="FA53" s="12"/>
      <c r="FB53" s="12"/>
      <c r="FC53" s="12"/>
      <c r="FD53" s="12"/>
      <c r="FE53" s="12"/>
      <c r="FF53" s="12"/>
      <c r="FG53" s="12"/>
      <c r="FH53" s="12"/>
      <c r="FI53" s="12"/>
      <c r="FJ53" s="12"/>
      <c r="FK53" s="12"/>
      <c r="FL53" s="12"/>
      <c r="FM53" s="12"/>
      <c r="FN53" s="12"/>
      <c r="FO53" s="12"/>
      <c r="FP53" s="12"/>
      <c r="FQ53" s="12"/>
      <c r="FR53" s="12"/>
      <c r="FS53" s="12"/>
      <c r="FT53" s="12"/>
      <c r="FU53" s="12"/>
      <c r="FV53" s="12"/>
      <c r="FW53" s="12"/>
      <c r="FX53" s="12"/>
      <c r="FY53" s="12"/>
      <c r="FZ53" s="12"/>
      <c r="GA53" s="12"/>
      <c r="GB53" s="12"/>
      <c r="GC53" s="12"/>
      <c r="GD53" s="12"/>
      <c r="GE53" s="12"/>
      <c r="GF53" s="12"/>
      <c r="GG53" s="12"/>
      <c r="GH53" s="12"/>
      <c r="GI53" s="12"/>
      <c r="GJ53" s="12"/>
      <c r="GK53" s="12"/>
      <c r="GL53" s="12"/>
      <c r="GM53" s="12"/>
      <c r="GN53" s="12"/>
      <c r="GO53" s="12"/>
      <c r="GP53" s="12"/>
      <c r="GQ53" s="12"/>
      <c r="GR53" s="12"/>
      <c r="GS53" s="12"/>
      <c r="GT53" s="12"/>
      <c r="GU53" s="12"/>
      <c r="GV53" s="12"/>
      <c r="GW53" s="12"/>
      <c r="GX53" s="12"/>
      <c r="GY53" s="12"/>
      <c r="GZ53" s="12"/>
      <c r="HA53" s="12"/>
      <c r="HB53" s="12"/>
      <c r="HC53" s="12"/>
      <c r="HD53" s="12"/>
      <c r="HE53" s="12"/>
      <c r="HF53" s="12"/>
      <c r="HG53" s="12"/>
      <c r="HH53" s="12"/>
      <c r="HI53" s="12"/>
      <c r="HJ53" s="12"/>
      <c r="HK53" s="12"/>
      <c r="HL53" s="12"/>
      <c r="HM53" s="12"/>
      <c r="HN53" s="12"/>
      <c r="HO53" s="12"/>
      <c r="HP53" s="12"/>
      <c r="HQ53" s="12"/>
      <c r="HR53" s="12"/>
      <c r="HS53" s="12"/>
      <c r="HT53" s="12"/>
      <c r="HU53" s="12"/>
      <c r="HV53" s="12"/>
      <c r="HW53" s="12"/>
      <c r="HX53" s="12"/>
      <c r="HY53" s="12"/>
      <c r="HZ53" s="12"/>
      <c r="IA53" s="12"/>
      <c r="IB53" s="12"/>
      <c r="IC53" s="12"/>
      <c r="ID53" s="12"/>
      <c r="IE53" s="12"/>
      <c r="IF53" s="12"/>
      <c r="IG53" s="12"/>
      <c r="IH53" s="12"/>
      <c r="II53" s="12"/>
      <c r="IJ53" s="12"/>
      <c r="IK53" s="12"/>
      <c r="IL53" s="12"/>
      <c r="IM53" s="12"/>
      <c r="IN53" s="12"/>
      <c r="IO53" s="12"/>
      <c r="IP53" s="12"/>
      <c r="IQ53" s="12"/>
      <c r="IR53" s="12"/>
      <c r="IS53" s="12"/>
      <c r="IT53" s="12"/>
      <c r="IU53" s="12"/>
      <c r="IV53" s="12"/>
      <c r="IW53" s="12"/>
    </row>
    <row r="54" customFormat="false" ht="11.25" hidden="false" customHeight="false" outlineLevel="0" collapsed="false">
      <c r="A54" s="25" t="n">
        <f aca="false">DATE(YEAR(A53),MONTH(A53)+1,1)</f>
        <v>47362</v>
      </c>
      <c r="B54" s="21" t="n">
        <v>2.009</v>
      </c>
      <c r="C54" s="21" t="n">
        <v>2.019</v>
      </c>
      <c r="D54" s="25" t="n">
        <f aca="false">DATE(YEAR(D53),MONTH(D53)+1,1)</f>
        <v>47362</v>
      </c>
      <c r="E54" s="21" t="n">
        <v>18.423</v>
      </c>
      <c r="F54" s="21" t="n">
        <v>18.545</v>
      </c>
      <c r="G54" s="6"/>
      <c r="H54" s="22" t="n">
        <f aca="false">A54</f>
        <v>47362</v>
      </c>
      <c r="I54" s="23" t="n">
        <f aca="false">IF($J$1="bid",B54,C54)</f>
        <v>2.019</v>
      </c>
      <c r="J54" s="24" t="n">
        <f aca="false">D54</f>
        <v>47362</v>
      </c>
      <c r="K54" s="23" t="n">
        <f aca="false">IF($J$1="bid",E54,F54)</f>
        <v>18.545</v>
      </c>
      <c r="L54" s="11"/>
      <c r="M54" s="11"/>
      <c r="N54" s="11"/>
      <c r="O54" s="11"/>
      <c r="P54" s="11"/>
      <c r="Q54" s="11"/>
      <c r="R54" s="11"/>
      <c r="S54" s="11"/>
      <c r="T54" s="11"/>
      <c r="U54" s="11"/>
      <c r="V54" s="11"/>
      <c r="W54" s="11"/>
      <c r="X54" s="11"/>
      <c r="Y54" s="11"/>
      <c r="Z54" s="11"/>
      <c r="AA54" s="11"/>
      <c r="AB54" s="11"/>
      <c r="AC54" s="11"/>
      <c r="AD54" s="11"/>
      <c r="AE54" s="11"/>
      <c r="AF54" s="11"/>
      <c r="AG54" s="11"/>
      <c r="AH54" s="11"/>
      <c r="AI54" s="11"/>
      <c r="AJ54" s="11"/>
      <c r="AK54" s="11"/>
      <c r="AL54" s="11"/>
      <c r="AM54" s="11"/>
      <c r="AN54" s="11"/>
      <c r="AO54" s="11"/>
      <c r="AP54" s="11"/>
      <c r="AQ54" s="11"/>
      <c r="AR54" s="5"/>
      <c r="AS54" s="12"/>
      <c r="AT54" s="12"/>
      <c r="AU54" s="12"/>
      <c r="AV54" s="12"/>
      <c r="AW54" s="12"/>
      <c r="AX54" s="12"/>
      <c r="AY54" s="12"/>
      <c r="AZ54" s="12"/>
      <c r="BA54" s="12"/>
      <c r="BB54" s="12"/>
      <c r="BC54" s="12"/>
      <c r="BD54" s="12"/>
      <c r="BE54" s="12"/>
      <c r="BF54" s="12"/>
      <c r="BG54" s="12"/>
      <c r="BH54" s="12"/>
      <c r="BI54" s="12"/>
      <c r="BJ54" s="12"/>
      <c r="BK54" s="12"/>
      <c r="BL54" s="12"/>
      <c r="BM54" s="12"/>
      <c r="BN54" s="12"/>
      <c r="BO54" s="12"/>
      <c r="BP54" s="12"/>
      <c r="BQ54" s="12"/>
      <c r="BR54" s="12"/>
      <c r="BS54" s="12"/>
      <c r="BT54" s="12"/>
      <c r="BU54" s="12"/>
      <c r="BV54" s="12"/>
      <c r="BW54" s="12"/>
      <c r="BX54" s="12"/>
      <c r="BY54" s="12"/>
      <c r="BZ54" s="12"/>
      <c r="CA54" s="12"/>
      <c r="CB54" s="12"/>
      <c r="CC54" s="12"/>
      <c r="CD54" s="12"/>
      <c r="CE54" s="12"/>
      <c r="CF54" s="12"/>
      <c r="CG54" s="12"/>
      <c r="CH54" s="12"/>
      <c r="CI54" s="12"/>
      <c r="CJ54" s="12"/>
      <c r="CK54" s="12"/>
      <c r="CL54" s="12"/>
      <c r="CM54" s="12"/>
      <c r="CN54" s="12"/>
      <c r="CO54" s="12"/>
      <c r="CP54" s="12"/>
      <c r="CQ54" s="12"/>
      <c r="CR54" s="12"/>
      <c r="CS54" s="12"/>
      <c r="CT54" s="12"/>
      <c r="CU54" s="12"/>
      <c r="CV54" s="12"/>
      <c r="CW54" s="12"/>
      <c r="CX54" s="12"/>
      <c r="CY54" s="12"/>
      <c r="CZ54" s="12"/>
      <c r="DA54" s="12"/>
      <c r="DB54" s="12"/>
      <c r="DC54" s="12"/>
      <c r="DD54" s="12"/>
      <c r="DE54" s="12"/>
      <c r="DF54" s="12"/>
      <c r="DG54" s="12"/>
      <c r="DH54" s="12"/>
      <c r="DI54" s="12"/>
      <c r="DJ54" s="12"/>
      <c r="DK54" s="12"/>
      <c r="DL54" s="12"/>
      <c r="DM54" s="12"/>
      <c r="DN54" s="12"/>
      <c r="DO54" s="12"/>
      <c r="DP54" s="12"/>
      <c r="DQ54" s="12"/>
      <c r="DR54" s="12"/>
      <c r="DS54" s="12"/>
      <c r="DT54" s="12"/>
      <c r="DU54" s="12"/>
      <c r="DV54" s="12"/>
      <c r="DW54" s="12"/>
      <c r="DX54" s="12"/>
      <c r="DY54" s="12"/>
      <c r="DZ54" s="12"/>
      <c r="EA54" s="12"/>
      <c r="EB54" s="12"/>
      <c r="EC54" s="12"/>
      <c r="ED54" s="12"/>
      <c r="EE54" s="12"/>
      <c r="EF54" s="12"/>
      <c r="EG54" s="12"/>
      <c r="EH54" s="12"/>
      <c r="EI54" s="12"/>
      <c r="EJ54" s="12"/>
      <c r="EK54" s="12"/>
      <c r="EL54" s="12"/>
      <c r="EM54" s="12"/>
      <c r="EN54" s="12"/>
      <c r="EO54" s="12"/>
      <c r="EP54" s="12"/>
      <c r="EQ54" s="12"/>
      <c r="ER54" s="12"/>
      <c r="ES54" s="12"/>
      <c r="ET54" s="12"/>
      <c r="EU54" s="12"/>
      <c r="EV54" s="12"/>
      <c r="EW54" s="12"/>
      <c r="EX54" s="12"/>
      <c r="EY54" s="12"/>
      <c r="EZ54" s="12"/>
      <c r="FA54" s="12"/>
      <c r="FB54" s="12"/>
      <c r="FC54" s="12"/>
      <c r="FD54" s="12"/>
      <c r="FE54" s="12"/>
      <c r="FF54" s="12"/>
      <c r="FG54" s="12"/>
      <c r="FH54" s="12"/>
      <c r="FI54" s="12"/>
      <c r="FJ54" s="12"/>
      <c r="FK54" s="12"/>
      <c r="FL54" s="12"/>
      <c r="FM54" s="12"/>
      <c r="FN54" s="12"/>
      <c r="FO54" s="12"/>
      <c r="FP54" s="12"/>
      <c r="FQ54" s="12"/>
      <c r="FR54" s="12"/>
      <c r="FS54" s="12"/>
      <c r="FT54" s="12"/>
      <c r="FU54" s="12"/>
      <c r="FV54" s="12"/>
      <c r="FW54" s="12"/>
      <c r="FX54" s="12"/>
      <c r="FY54" s="12"/>
      <c r="FZ54" s="12"/>
      <c r="GA54" s="12"/>
      <c r="GB54" s="12"/>
      <c r="GC54" s="12"/>
      <c r="GD54" s="12"/>
      <c r="GE54" s="12"/>
      <c r="GF54" s="12"/>
      <c r="GG54" s="12"/>
      <c r="GH54" s="12"/>
      <c r="GI54" s="12"/>
      <c r="GJ54" s="12"/>
      <c r="GK54" s="12"/>
      <c r="GL54" s="12"/>
      <c r="GM54" s="12"/>
      <c r="GN54" s="12"/>
      <c r="GO54" s="12"/>
      <c r="GP54" s="12"/>
      <c r="GQ54" s="12"/>
      <c r="GR54" s="12"/>
      <c r="GS54" s="12"/>
      <c r="GT54" s="12"/>
      <c r="GU54" s="12"/>
      <c r="GV54" s="12"/>
      <c r="GW54" s="12"/>
      <c r="GX54" s="12"/>
      <c r="GY54" s="12"/>
      <c r="GZ54" s="12"/>
      <c r="HA54" s="12"/>
      <c r="HB54" s="12"/>
      <c r="HC54" s="12"/>
      <c r="HD54" s="12"/>
      <c r="HE54" s="12"/>
      <c r="HF54" s="12"/>
      <c r="HG54" s="12"/>
      <c r="HH54" s="12"/>
      <c r="HI54" s="12"/>
      <c r="HJ54" s="12"/>
      <c r="HK54" s="12"/>
      <c r="HL54" s="12"/>
      <c r="HM54" s="12"/>
      <c r="HN54" s="12"/>
      <c r="HO54" s="12"/>
      <c r="HP54" s="12"/>
      <c r="HQ54" s="12"/>
      <c r="HR54" s="12"/>
      <c r="HS54" s="12"/>
      <c r="HT54" s="12"/>
      <c r="HU54" s="12"/>
      <c r="HV54" s="12"/>
      <c r="HW54" s="12"/>
      <c r="HX54" s="12"/>
      <c r="HY54" s="12"/>
      <c r="HZ54" s="12"/>
      <c r="IA54" s="12"/>
      <c r="IB54" s="12"/>
      <c r="IC54" s="12"/>
      <c r="ID54" s="12"/>
      <c r="IE54" s="12"/>
      <c r="IF54" s="12"/>
      <c r="IG54" s="12"/>
      <c r="IH54" s="12"/>
      <c r="II54" s="12"/>
      <c r="IJ54" s="12"/>
      <c r="IK54" s="12"/>
      <c r="IL54" s="12"/>
      <c r="IM54" s="12"/>
      <c r="IN54" s="12"/>
      <c r="IO54" s="12"/>
      <c r="IP54" s="12"/>
      <c r="IQ54" s="12"/>
      <c r="IR54" s="12"/>
      <c r="IS54" s="12"/>
      <c r="IT54" s="12"/>
      <c r="IU54" s="12"/>
      <c r="IV54" s="12"/>
      <c r="IW54" s="12"/>
    </row>
    <row r="55" customFormat="false" ht="11.25" hidden="false" customHeight="false" outlineLevel="0" collapsed="false">
      <c r="A55" s="25" t="n">
        <f aca="false">DATE(YEAR(A54),MONTH(A54)+1,1)</f>
        <v>47392</v>
      </c>
      <c r="B55" s="21" t="n">
        <v>2.127</v>
      </c>
      <c r="C55" s="21" t="n">
        <v>2.137</v>
      </c>
      <c r="D55" s="25" t="n">
        <f aca="false">DATE(YEAR(D54),MONTH(D54)+1,1)</f>
        <v>47392</v>
      </c>
      <c r="E55" s="21" t="n">
        <v>18.43</v>
      </c>
      <c r="F55" s="21" t="n">
        <v>18.558</v>
      </c>
      <c r="G55" s="6"/>
      <c r="H55" s="22" t="n">
        <f aca="false">A55</f>
        <v>47392</v>
      </c>
      <c r="I55" s="23" t="n">
        <f aca="false">IF($J$1="bid",B55,C55)</f>
        <v>2.137</v>
      </c>
      <c r="J55" s="24" t="n">
        <f aca="false">D55</f>
        <v>47392</v>
      </c>
      <c r="K55" s="23" t="n">
        <f aca="false">IF($J$1="bid",E55,F55)</f>
        <v>18.558</v>
      </c>
      <c r="L55" s="11"/>
      <c r="M55" s="11"/>
      <c r="N55" s="11"/>
      <c r="O55" s="11"/>
      <c r="P55" s="11"/>
      <c r="Q55" s="11"/>
      <c r="R55" s="11"/>
      <c r="S55" s="11"/>
      <c r="T55" s="11"/>
      <c r="U55" s="11"/>
      <c r="V55" s="11"/>
      <c r="W55" s="11"/>
      <c r="X55" s="11"/>
      <c r="Y55" s="11"/>
      <c r="Z55" s="11"/>
      <c r="AA55" s="11"/>
      <c r="AB55" s="11"/>
      <c r="AC55" s="11"/>
      <c r="AD55" s="11"/>
      <c r="AE55" s="11"/>
      <c r="AF55" s="11"/>
      <c r="AG55" s="11"/>
      <c r="AH55" s="11"/>
      <c r="AI55" s="11"/>
      <c r="AJ55" s="11"/>
      <c r="AK55" s="11"/>
      <c r="AL55" s="11"/>
      <c r="AM55" s="11"/>
      <c r="AN55" s="11"/>
      <c r="AO55" s="11"/>
      <c r="AP55" s="11"/>
      <c r="AQ55" s="11"/>
      <c r="AR55" s="5"/>
      <c r="AS55" s="12"/>
      <c r="AT55" s="12"/>
      <c r="AU55" s="12"/>
      <c r="AV55" s="12"/>
      <c r="AW55" s="12"/>
      <c r="AX55" s="12"/>
      <c r="AY55" s="12"/>
      <c r="AZ55" s="12"/>
      <c r="BA55" s="12"/>
      <c r="BB55" s="12"/>
      <c r="BC55" s="12"/>
      <c r="BD55" s="12"/>
      <c r="BE55" s="12"/>
      <c r="BF55" s="12"/>
      <c r="BG55" s="12"/>
      <c r="BH55" s="12"/>
      <c r="BI55" s="12"/>
      <c r="BJ55" s="12"/>
      <c r="BK55" s="12"/>
      <c r="BL55" s="12"/>
      <c r="BM55" s="12"/>
      <c r="BN55" s="12"/>
      <c r="BO55" s="12"/>
      <c r="BP55" s="12"/>
      <c r="BQ55" s="12"/>
      <c r="BR55" s="12"/>
      <c r="BS55" s="12"/>
      <c r="BT55" s="12"/>
      <c r="BU55" s="12"/>
      <c r="BV55" s="12"/>
      <c r="BW55" s="12"/>
      <c r="BX55" s="12"/>
      <c r="BY55" s="12"/>
      <c r="BZ55" s="12"/>
      <c r="CA55" s="12"/>
      <c r="CB55" s="12"/>
      <c r="CC55" s="12"/>
      <c r="CD55" s="12"/>
      <c r="CE55" s="12"/>
      <c r="CF55" s="12"/>
      <c r="CG55" s="12"/>
      <c r="CH55" s="12"/>
      <c r="CI55" s="12"/>
      <c r="CJ55" s="12"/>
      <c r="CK55" s="12"/>
      <c r="CL55" s="12"/>
      <c r="CM55" s="12"/>
      <c r="CN55" s="12"/>
      <c r="CO55" s="12"/>
      <c r="CP55" s="12"/>
      <c r="CQ55" s="12"/>
      <c r="CR55" s="12"/>
      <c r="CS55" s="12"/>
      <c r="CT55" s="12"/>
      <c r="CU55" s="12"/>
      <c r="CV55" s="12"/>
      <c r="CW55" s="12"/>
      <c r="CX55" s="12"/>
      <c r="CY55" s="12"/>
      <c r="CZ55" s="12"/>
      <c r="DA55" s="12"/>
      <c r="DB55" s="12"/>
      <c r="DC55" s="12"/>
      <c r="DD55" s="12"/>
      <c r="DE55" s="12"/>
      <c r="DF55" s="12"/>
      <c r="DG55" s="12"/>
      <c r="DH55" s="12"/>
      <c r="DI55" s="12"/>
      <c r="DJ55" s="12"/>
      <c r="DK55" s="12"/>
      <c r="DL55" s="12"/>
      <c r="DM55" s="12"/>
      <c r="DN55" s="12"/>
      <c r="DO55" s="12"/>
      <c r="DP55" s="12"/>
      <c r="DQ55" s="12"/>
      <c r="DR55" s="12"/>
      <c r="DS55" s="12"/>
      <c r="DT55" s="12"/>
      <c r="DU55" s="12"/>
      <c r="DV55" s="12"/>
      <c r="DW55" s="12"/>
      <c r="DX55" s="12"/>
      <c r="DY55" s="12"/>
      <c r="DZ55" s="12"/>
      <c r="EA55" s="12"/>
      <c r="EB55" s="12"/>
      <c r="EC55" s="12"/>
      <c r="ED55" s="12"/>
      <c r="EE55" s="12"/>
      <c r="EF55" s="12"/>
      <c r="EG55" s="12"/>
      <c r="EH55" s="12"/>
      <c r="EI55" s="12"/>
      <c r="EJ55" s="12"/>
      <c r="EK55" s="12"/>
      <c r="EL55" s="12"/>
      <c r="EM55" s="12"/>
      <c r="EN55" s="12"/>
      <c r="EO55" s="12"/>
      <c r="EP55" s="12"/>
      <c r="EQ55" s="12"/>
      <c r="ER55" s="12"/>
      <c r="ES55" s="12"/>
      <c r="ET55" s="12"/>
      <c r="EU55" s="12"/>
      <c r="EV55" s="12"/>
      <c r="EW55" s="12"/>
      <c r="EX55" s="12"/>
      <c r="EY55" s="12"/>
      <c r="EZ55" s="12"/>
      <c r="FA55" s="12"/>
      <c r="FB55" s="12"/>
      <c r="FC55" s="12"/>
      <c r="FD55" s="12"/>
      <c r="FE55" s="12"/>
      <c r="FF55" s="12"/>
      <c r="FG55" s="12"/>
      <c r="FH55" s="12"/>
      <c r="FI55" s="12"/>
      <c r="FJ55" s="12"/>
      <c r="FK55" s="12"/>
      <c r="FL55" s="12"/>
      <c r="FM55" s="12"/>
      <c r="FN55" s="12"/>
      <c r="FO55" s="12"/>
      <c r="FP55" s="12"/>
      <c r="FQ55" s="12"/>
      <c r="FR55" s="12"/>
      <c r="FS55" s="12"/>
      <c r="FT55" s="12"/>
      <c r="FU55" s="12"/>
      <c r="FV55" s="12"/>
      <c r="FW55" s="12"/>
      <c r="FX55" s="12"/>
      <c r="FY55" s="12"/>
      <c r="FZ55" s="12"/>
      <c r="GA55" s="12"/>
      <c r="GB55" s="12"/>
      <c r="GC55" s="12"/>
      <c r="GD55" s="12"/>
      <c r="GE55" s="12"/>
      <c r="GF55" s="12"/>
      <c r="GG55" s="12"/>
      <c r="GH55" s="12"/>
      <c r="GI55" s="12"/>
      <c r="GJ55" s="12"/>
      <c r="GK55" s="12"/>
      <c r="GL55" s="12"/>
      <c r="GM55" s="12"/>
      <c r="GN55" s="12"/>
      <c r="GO55" s="12"/>
      <c r="GP55" s="12"/>
      <c r="GQ55" s="12"/>
      <c r="GR55" s="12"/>
      <c r="GS55" s="12"/>
      <c r="GT55" s="12"/>
      <c r="GU55" s="12"/>
      <c r="GV55" s="12"/>
      <c r="GW55" s="12"/>
      <c r="GX55" s="12"/>
      <c r="GY55" s="12"/>
      <c r="GZ55" s="12"/>
      <c r="HA55" s="12"/>
      <c r="HB55" s="12"/>
      <c r="HC55" s="12"/>
      <c r="HD55" s="12"/>
      <c r="HE55" s="12"/>
      <c r="HF55" s="12"/>
      <c r="HG55" s="12"/>
      <c r="HH55" s="12"/>
      <c r="HI55" s="12"/>
      <c r="HJ55" s="12"/>
      <c r="HK55" s="12"/>
      <c r="HL55" s="12"/>
      <c r="HM55" s="12"/>
      <c r="HN55" s="12"/>
      <c r="HO55" s="12"/>
      <c r="HP55" s="12"/>
      <c r="HQ55" s="12"/>
      <c r="HR55" s="12"/>
      <c r="HS55" s="12"/>
      <c r="HT55" s="12"/>
      <c r="HU55" s="12"/>
      <c r="HV55" s="12"/>
      <c r="HW55" s="12"/>
      <c r="HX55" s="12"/>
      <c r="HY55" s="12"/>
      <c r="HZ55" s="12"/>
      <c r="IA55" s="12"/>
      <c r="IB55" s="12"/>
      <c r="IC55" s="12"/>
      <c r="ID55" s="12"/>
      <c r="IE55" s="12"/>
      <c r="IF55" s="12"/>
      <c r="IG55" s="12"/>
      <c r="IH55" s="12"/>
      <c r="II55" s="12"/>
      <c r="IJ55" s="12"/>
      <c r="IK55" s="12"/>
      <c r="IL55" s="12"/>
      <c r="IM55" s="12"/>
      <c r="IN55" s="12"/>
      <c r="IO55" s="12"/>
      <c r="IP55" s="12"/>
      <c r="IQ55" s="12"/>
      <c r="IR55" s="12"/>
      <c r="IS55" s="12"/>
      <c r="IT55" s="12"/>
      <c r="IU55" s="12"/>
      <c r="IV55" s="12"/>
      <c r="IW55" s="12"/>
    </row>
    <row r="56" customFormat="false" ht="11.25" hidden="false" customHeight="false" outlineLevel="0" collapsed="false">
      <c r="A56" s="30" t="n">
        <f aca="false">DATE(YEAR(A55),MONTH(A55)+1,1)</f>
        <v>47423</v>
      </c>
      <c r="B56" s="21" t="n">
        <v>2.153</v>
      </c>
      <c r="C56" s="21" t="n">
        <v>2.163</v>
      </c>
      <c r="D56" s="30" t="n">
        <f aca="false">DATE(YEAR(D55),MONTH(D55)+1,1)</f>
        <v>47423</v>
      </c>
      <c r="E56" s="21" t="n">
        <v>18.437</v>
      </c>
      <c r="F56" s="21" t="n">
        <v>18.57</v>
      </c>
      <c r="G56" s="6"/>
      <c r="H56" s="22" t="n">
        <f aca="false">A56</f>
        <v>47423</v>
      </c>
      <c r="I56" s="23" t="n">
        <f aca="false">IF($J$1="bid",B56,C56)</f>
        <v>2.163</v>
      </c>
      <c r="J56" s="24" t="n">
        <f aca="false">D56</f>
        <v>47423</v>
      </c>
      <c r="K56" s="23" t="n">
        <f aca="false">IF($J$1="bid",E56,F56)</f>
        <v>18.57</v>
      </c>
      <c r="L56" s="11"/>
      <c r="M56" s="11"/>
      <c r="N56" s="11"/>
      <c r="O56" s="11"/>
      <c r="P56" s="11"/>
      <c r="Q56" s="11"/>
      <c r="R56" s="11"/>
      <c r="S56" s="11"/>
      <c r="T56" s="11"/>
      <c r="U56" s="11"/>
      <c r="V56" s="11"/>
      <c r="W56" s="11"/>
      <c r="X56" s="11"/>
      <c r="Y56" s="11"/>
      <c r="Z56" s="11"/>
      <c r="AA56" s="11"/>
      <c r="AB56" s="11"/>
      <c r="AC56" s="11"/>
      <c r="AD56" s="11"/>
      <c r="AE56" s="11"/>
      <c r="AF56" s="11"/>
      <c r="AG56" s="11"/>
      <c r="AH56" s="11"/>
      <c r="AI56" s="11"/>
      <c r="AJ56" s="11"/>
      <c r="AK56" s="11"/>
      <c r="AL56" s="11"/>
      <c r="AM56" s="11"/>
      <c r="AN56" s="11"/>
      <c r="AO56" s="11"/>
      <c r="AP56" s="11"/>
      <c r="AQ56" s="11"/>
      <c r="AR56" s="5"/>
      <c r="AS56" s="12"/>
      <c r="AT56" s="12"/>
      <c r="AU56" s="12"/>
      <c r="AV56" s="12"/>
      <c r="AW56" s="12"/>
      <c r="AX56" s="12"/>
      <c r="AY56" s="12"/>
      <c r="AZ56" s="12"/>
      <c r="BA56" s="12"/>
      <c r="BB56" s="12"/>
      <c r="BC56" s="12"/>
      <c r="BD56" s="12"/>
      <c r="BE56" s="12"/>
      <c r="BF56" s="12"/>
      <c r="BG56" s="12"/>
      <c r="BH56" s="12"/>
      <c r="BI56" s="12"/>
      <c r="BJ56" s="12"/>
      <c r="BK56" s="12"/>
      <c r="BL56" s="12"/>
      <c r="BM56" s="12"/>
      <c r="BN56" s="12"/>
      <c r="BO56" s="12"/>
      <c r="BP56" s="12"/>
      <c r="BQ56" s="12"/>
      <c r="BR56" s="12"/>
      <c r="BS56" s="12"/>
      <c r="BT56" s="12"/>
      <c r="BU56" s="12"/>
      <c r="BV56" s="12"/>
      <c r="BW56" s="12"/>
      <c r="BX56" s="12"/>
      <c r="BY56" s="12"/>
      <c r="BZ56" s="12"/>
      <c r="CA56" s="12"/>
      <c r="CB56" s="12"/>
      <c r="CC56" s="12"/>
      <c r="CD56" s="12"/>
      <c r="CE56" s="12"/>
      <c r="CF56" s="12"/>
      <c r="CG56" s="12"/>
      <c r="CH56" s="12"/>
      <c r="CI56" s="12"/>
      <c r="CJ56" s="12"/>
      <c r="CK56" s="12"/>
      <c r="CL56" s="12"/>
      <c r="CM56" s="12"/>
      <c r="CN56" s="12"/>
      <c r="CO56" s="12"/>
      <c r="CP56" s="12"/>
      <c r="CQ56" s="12"/>
      <c r="CR56" s="12"/>
      <c r="CS56" s="12"/>
      <c r="CT56" s="12"/>
      <c r="CU56" s="12"/>
      <c r="CV56" s="12"/>
      <c r="CW56" s="12"/>
      <c r="CX56" s="12"/>
      <c r="CY56" s="12"/>
      <c r="CZ56" s="12"/>
      <c r="DA56" s="12"/>
      <c r="DB56" s="12"/>
      <c r="DC56" s="12"/>
      <c r="DD56" s="12"/>
      <c r="DE56" s="12"/>
      <c r="DF56" s="12"/>
      <c r="DG56" s="12"/>
      <c r="DH56" s="12"/>
      <c r="DI56" s="12"/>
      <c r="DJ56" s="12"/>
      <c r="DK56" s="12"/>
      <c r="DL56" s="12"/>
      <c r="DM56" s="12"/>
      <c r="DN56" s="12"/>
      <c r="DO56" s="12"/>
      <c r="DP56" s="12"/>
      <c r="DQ56" s="12"/>
      <c r="DR56" s="12"/>
      <c r="DS56" s="12"/>
      <c r="DT56" s="12"/>
      <c r="DU56" s="12"/>
      <c r="DV56" s="12"/>
      <c r="DW56" s="12"/>
      <c r="DX56" s="12"/>
      <c r="DY56" s="12"/>
      <c r="DZ56" s="12"/>
      <c r="EA56" s="12"/>
      <c r="EB56" s="12"/>
      <c r="EC56" s="12"/>
      <c r="ED56" s="12"/>
      <c r="EE56" s="12"/>
      <c r="EF56" s="12"/>
      <c r="EG56" s="12"/>
      <c r="EH56" s="12"/>
      <c r="EI56" s="12"/>
      <c r="EJ56" s="12"/>
      <c r="EK56" s="12"/>
      <c r="EL56" s="12"/>
      <c r="EM56" s="12"/>
      <c r="EN56" s="12"/>
      <c r="EO56" s="12"/>
      <c r="EP56" s="12"/>
      <c r="EQ56" s="12"/>
      <c r="ER56" s="12"/>
      <c r="ES56" s="12"/>
      <c r="ET56" s="12"/>
      <c r="EU56" s="12"/>
      <c r="EV56" s="12"/>
      <c r="EW56" s="12"/>
      <c r="EX56" s="12"/>
      <c r="EY56" s="12"/>
      <c r="EZ56" s="12"/>
      <c r="FA56" s="12"/>
      <c r="FB56" s="12"/>
      <c r="FC56" s="12"/>
      <c r="FD56" s="12"/>
      <c r="FE56" s="12"/>
      <c r="FF56" s="12"/>
      <c r="FG56" s="12"/>
      <c r="FH56" s="12"/>
      <c r="FI56" s="12"/>
      <c r="FJ56" s="12"/>
      <c r="FK56" s="12"/>
      <c r="FL56" s="12"/>
      <c r="FM56" s="12"/>
      <c r="FN56" s="12"/>
      <c r="FO56" s="12"/>
      <c r="FP56" s="12"/>
      <c r="FQ56" s="12"/>
      <c r="FR56" s="12"/>
      <c r="FS56" s="12"/>
      <c r="FT56" s="12"/>
      <c r="FU56" s="12"/>
      <c r="FV56" s="12"/>
      <c r="FW56" s="12"/>
      <c r="FX56" s="12"/>
      <c r="FY56" s="12"/>
      <c r="FZ56" s="12"/>
      <c r="GA56" s="12"/>
      <c r="GB56" s="12"/>
      <c r="GC56" s="12"/>
      <c r="GD56" s="12"/>
      <c r="GE56" s="12"/>
      <c r="GF56" s="12"/>
      <c r="GG56" s="12"/>
      <c r="GH56" s="12"/>
      <c r="GI56" s="12"/>
      <c r="GJ56" s="12"/>
      <c r="GK56" s="12"/>
      <c r="GL56" s="12"/>
      <c r="GM56" s="12"/>
      <c r="GN56" s="12"/>
      <c r="GO56" s="12"/>
      <c r="GP56" s="12"/>
      <c r="GQ56" s="12"/>
      <c r="GR56" s="12"/>
      <c r="GS56" s="12"/>
      <c r="GT56" s="12"/>
      <c r="GU56" s="12"/>
      <c r="GV56" s="12"/>
      <c r="GW56" s="12"/>
      <c r="GX56" s="12"/>
      <c r="GY56" s="12"/>
      <c r="GZ56" s="12"/>
      <c r="HA56" s="12"/>
      <c r="HB56" s="12"/>
      <c r="HC56" s="12"/>
      <c r="HD56" s="12"/>
      <c r="HE56" s="12"/>
      <c r="HF56" s="12"/>
      <c r="HG56" s="12"/>
      <c r="HH56" s="12"/>
      <c r="HI56" s="12"/>
      <c r="HJ56" s="12"/>
      <c r="HK56" s="12"/>
      <c r="HL56" s="12"/>
      <c r="HM56" s="12"/>
      <c r="HN56" s="12"/>
      <c r="HO56" s="12"/>
      <c r="HP56" s="12"/>
      <c r="HQ56" s="12"/>
      <c r="HR56" s="12"/>
      <c r="HS56" s="12"/>
      <c r="HT56" s="12"/>
      <c r="HU56" s="12"/>
      <c r="HV56" s="12"/>
      <c r="HW56" s="12"/>
      <c r="HX56" s="12"/>
      <c r="HY56" s="12"/>
      <c r="HZ56" s="12"/>
      <c r="IA56" s="12"/>
      <c r="IB56" s="12"/>
      <c r="IC56" s="12"/>
      <c r="ID56" s="12"/>
      <c r="IE56" s="12"/>
      <c r="IF56" s="12"/>
      <c r="IG56" s="12"/>
      <c r="IH56" s="12"/>
      <c r="II56" s="12"/>
      <c r="IJ56" s="12"/>
      <c r="IK56" s="12"/>
      <c r="IL56" s="12"/>
      <c r="IM56" s="12"/>
      <c r="IN56" s="12"/>
      <c r="IO56" s="12"/>
      <c r="IP56" s="12"/>
      <c r="IQ56" s="12"/>
      <c r="IR56" s="12"/>
      <c r="IS56" s="12"/>
      <c r="IT56" s="12"/>
      <c r="IU56" s="12"/>
      <c r="IV56" s="12"/>
      <c r="IW56" s="12"/>
    </row>
    <row r="57" customFormat="false" ht="11.25" hidden="false" customHeight="false" outlineLevel="0" collapsed="false">
      <c r="A57" s="30" t="n">
        <f aca="false">DATE(YEAR(A56),MONTH(A56)+1,1)</f>
        <v>47453</v>
      </c>
      <c r="B57" s="21" t="n">
        <v>2.068</v>
      </c>
      <c r="C57" s="21" t="n">
        <v>2.078</v>
      </c>
      <c r="D57" s="30" t="n">
        <f aca="false">DATE(YEAR(D56),MONTH(D56)+1,1)</f>
        <v>47453</v>
      </c>
      <c r="E57" s="21" t="n">
        <v>18.444</v>
      </c>
      <c r="F57" s="21" t="n">
        <v>18.582</v>
      </c>
      <c r="G57" s="6"/>
      <c r="H57" s="22" t="n">
        <f aca="false">A57</f>
        <v>47453</v>
      </c>
      <c r="I57" s="23" t="n">
        <f aca="false">IF($J$1="bid",B57,C57)</f>
        <v>2.078</v>
      </c>
      <c r="J57" s="24" t="n">
        <f aca="false">D57</f>
        <v>47453</v>
      </c>
      <c r="K57" s="23" t="n">
        <f aca="false">IF($J$1="bid",E57,F57)</f>
        <v>18.582</v>
      </c>
      <c r="L57" s="11"/>
      <c r="M57" s="11"/>
      <c r="N57" s="11"/>
      <c r="O57" s="11"/>
      <c r="P57" s="11"/>
      <c r="Q57" s="11"/>
      <c r="R57" s="11"/>
      <c r="S57" s="11"/>
      <c r="T57" s="11"/>
      <c r="U57" s="11"/>
      <c r="V57" s="11"/>
      <c r="W57" s="11"/>
      <c r="X57" s="11"/>
      <c r="Y57" s="11"/>
      <c r="Z57" s="11"/>
      <c r="AA57" s="11"/>
      <c r="AB57" s="11"/>
      <c r="AC57" s="11"/>
      <c r="AD57" s="11"/>
      <c r="AE57" s="11"/>
      <c r="AF57" s="11"/>
      <c r="AG57" s="11"/>
      <c r="AH57" s="11"/>
      <c r="AI57" s="11"/>
      <c r="AJ57" s="11"/>
      <c r="AK57" s="11"/>
      <c r="AL57" s="11"/>
      <c r="AM57" s="11"/>
      <c r="AN57" s="11"/>
      <c r="AO57" s="11"/>
      <c r="AP57" s="11"/>
      <c r="AQ57" s="11"/>
      <c r="AR57" s="5"/>
      <c r="AS57" s="12"/>
      <c r="AT57" s="12"/>
      <c r="AU57" s="12"/>
      <c r="AV57" s="12"/>
      <c r="AW57" s="12"/>
      <c r="AX57" s="12"/>
      <c r="AY57" s="12"/>
      <c r="AZ57" s="12"/>
      <c r="BA57" s="12"/>
      <c r="BB57" s="12"/>
      <c r="BC57" s="12"/>
      <c r="BD57" s="12"/>
      <c r="BE57" s="12"/>
      <c r="BF57" s="12"/>
      <c r="BG57" s="12"/>
      <c r="BH57" s="12"/>
      <c r="BI57" s="12"/>
      <c r="BJ57" s="12"/>
      <c r="BK57" s="12"/>
      <c r="BL57" s="12"/>
      <c r="BM57" s="12"/>
      <c r="BN57" s="12"/>
      <c r="BO57" s="12"/>
      <c r="BP57" s="12"/>
      <c r="BQ57" s="12"/>
      <c r="BR57" s="12"/>
      <c r="BS57" s="12"/>
      <c r="BT57" s="12"/>
      <c r="BU57" s="12"/>
      <c r="BV57" s="12"/>
      <c r="BW57" s="12"/>
      <c r="BX57" s="12"/>
      <c r="BY57" s="12"/>
      <c r="BZ57" s="12"/>
      <c r="CA57" s="12"/>
      <c r="CB57" s="12"/>
      <c r="CC57" s="12"/>
      <c r="CD57" s="12"/>
      <c r="CE57" s="12"/>
      <c r="CF57" s="12"/>
      <c r="CG57" s="12"/>
      <c r="CH57" s="12"/>
      <c r="CI57" s="12"/>
      <c r="CJ57" s="12"/>
      <c r="CK57" s="12"/>
      <c r="CL57" s="12"/>
      <c r="CM57" s="12"/>
      <c r="CN57" s="12"/>
      <c r="CO57" s="12"/>
      <c r="CP57" s="12"/>
      <c r="CQ57" s="12"/>
      <c r="CR57" s="12"/>
      <c r="CS57" s="12"/>
      <c r="CT57" s="12"/>
      <c r="CU57" s="12"/>
      <c r="CV57" s="12"/>
      <c r="CW57" s="12"/>
      <c r="CX57" s="12"/>
      <c r="CY57" s="12"/>
      <c r="CZ57" s="12"/>
      <c r="DA57" s="12"/>
      <c r="DB57" s="12"/>
      <c r="DC57" s="12"/>
      <c r="DD57" s="12"/>
      <c r="DE57" s="12"/>
      <c r="DF57" s="12"/>
      <c r="DG57" s="12"/>
      <c r="DH57" s="12"/>
      <c r="DI57" s="12"/>
      <c r="DJ57" s="12"/>
      <c r="DK57" s="12"/>
      <c r="DL57" s="12"/>
      <c r="DM57" s="12"/>
      <c r="DN57" s="12"/>
      <c r="DO57" s="12"/>
      <c r="DP57" s="12"/>
      <c r="DQ57" s="12"/>
      <c r="DR57" s="12"/>
      <c r="DS57" s="12"/>
      <c r="DT57" s="12"/>
      <c r="DU57" s="12"/>
      <c r="DV57" s="12"/>
      <c r="DW57" s="12"/>
      <c r="DX57" s="12"/>
      <c r="DY57" s="12"/>
      <c r="DZ57" s="12"/>
      <c r="EA57" s="12"/>
      <c r="EB57" s="12"/>
      <c r="EC57" s="12"/>
      <c r="ED57" s="12"/>
      <c r="EE57" s="12"/>
      <c r="EF57" s="12"/>
      <c r="EG57" s="12"/>
      <c r="EH57" s="12"/>
      <c r="EI57" s="12"/>
      <c r="EJ57" s="12"/>
      <c r="EK57" s="12"/>
      <c r="EL57" s="12"/>
      <c r="EM57" s="12"/>
      <c r="EN57" s="12"/>
      <c r="EO57" s="12"/>
      <c r="EP57" s="12"/>
      <c r="EQ57" s="12"/>
      <c r="ER57" s="12"/>
      <c r="ES57" s="12"/>
      <c r="ET57" s="12"/>
      <c r="EU57" s="12"/>
      <c r="EV57" s="12"/>
      <c r="EW57" s="12"/>
      <c r="EX57" s="12"/>
      <c r="EY57" s="12"/>
      <c r="EZ57" s="12"/>
      <c r="FA57" s="12"/>
      <c r="FB57" s="12"/>
      <c r="FC57" s="12"/>
      <c r="FD57" s="12"/>
      <c r="FE57" s="12"/>
      <c r="FF57" s="12"/>
      <c r="FG57" s="12"/>
      <c r="FH57" s="12"/>
      <c r="FI57" s="12"/>
      <c r="FJ57" s="12"/>
      <c r="FK57" s="12"/>
      <c r="FL57" s="12"/>
      <c r="FM57" s="12"/>
      <c r="FN57" s="12"/>
      <c r="FO57" s="12"/>
      <c r="FP57" s="12"/>
      <c r="FQ57" s="12"/>
      <c r="FR57" s="12"/>
      <c r="FS57" s="12"/>
      <c r="FT57" s="12"/>
      <c r="FU57" s="12"/>
      <c r="FV57" s="12"/>
      <c r="FW57" s="12"/>
      <c r="FX57" s="12"/>
      <c r="FY57" s="12"/>
      <c r="FZ57" s="12"/>
      <c r="GA57" s="12"/>
      <c r="GB57" s="12"/>
      <c r="GC57" s="12"/>
      <c r="GD57" s="12"/>
      <c r="GE57" s="12"/>
      <c r="GF57" s="12"/>
      <c r="GG57" s="12"/>
      <c r="GH57" s="12"/>
      <c r="GI57" s="12"/>
      <c r="GJ57" s="12"/>
      <c r="GK57" s="12"/>
      <c r="GL57" s="12"/>
      <c r="GM57" s="12"/>
      <c r="GN57" s="12"/>
      <c r="GO57" s="12"/>
      <c r="GP57" s="12"/>
      <c r="GQ57" s="12"/>
      <c r="GR57" s="12"/>
      <c r="GS57" s="12"/>
      <c r="GT57" s="12"/>
      <c r="GU57" s="12"/>
      <c r="GV57" s="12"/>
      <c r="GW57" s="12"/>
      <c r="GX57" s="12"/>
      <c r="GY57" s="12"/>
      <c r="GZ57" s="12"/>
      <c r="HA57" s="12"/>
      <c r="HB57" s="12"/>
      <c r="HC57" s="12"/>
      <c r="HD57" s="12"/>
      <c r="HE57" s="12"/>
      <c r="HF57" s="12"/>
      <c r="HG57" s="12"/>
      <c r="HH57" s="12"/>
      <c r="HI57" s="12"/>
      <c r="HJ57" s="12"/>
      <c r="HK57" s="12"/>
      <c r="HL57" s="12"/>
      <c r="HM57" s="12"/>
      <c r="HN57" s="12"/>
      <c r="HO57" s="12"/>
      <c r="HP57" s="12"/>
      <c r="HQ57" s="12"/>
      <c r="HR57" s="12"/>
      <c r="HS57" s="12"/>
      <c r="HT57" s="12"/>
      <c r="HU57" s="12"/>
      <c r="HV57" s="12"/>
      <c r="HW57" s="12"/>
      <c r="HX57" s="12"/>
      <c r="HY57" s="12"/>
      <c r="HZ57" s="12"/>
      <c r="IA57" s="12"/>
      <c r="IB57" s="12"/>
      <c r="IC57" s="12"/>
      <c r="ID57" s="12"/>
      <c r="IE57" s="12"/>
      <c r="IF57" s="12"/>
      <c r="IG57" s="12"/>
      <c r="IH57" s="12"/>
      <c r="II57" s="12"/>
      <c r="IJ57" s="12"/>
      <c r="IK57" s="12"/>
      <c r="IL57" s="12"/>
      <c r="IM57" s="12"/>
      <c r="IN57" s="12"/>
      <c r="IO57" s="12"/>
      <c r="IP57" s="12"/>
      <c r="IQ57" s="12"/>
      <c r="IR57" s="12"/>
      <c r="IS57" s="12"/>
      <c r="IT57" s="12"/>
      <c r="IU57" s="12"/>
      <c r="IV57" s="12"/>
      <c r="IW57" s="12"/>
    </row>
    <row r="58" customFormat="false" ht="11.25" hidden="false" customHeight="false" outlineLevel="0" collapsed="false">
      <c r="A58" s="25" t="n">
        <f aca="false">DATE(YEAR(A57),MONTH(A57)+1,1)</f>
        <v>47484</v>
      </c>
      <c r="B58" s="21" t="n">
        <v>2.002</v>
      </c>
      <c r="C58" s="21" t="n">
        <v>2.012</v>
      </c>
      <c r="D58" s="25" t="n">
        <f aca="false">DATE(YEAR(D57),MONTH(D57)+1,1)</f>
        <v>47484</v>
      </c>
      <c r="E58" s="21" t="n">
        <v>18.451</v>
      </c>
      <c r="F58" s="21" t="n">
        <v>18.595</v>
      </c>
      <c r="G58" s="6"/>
      <c r="H58" s="22" t="n">
        <f aca="false">A58</f>
        <v>47484</v>
      </c>
      <c r="I58" s="23" t="n">
        <f aca="false">IF($J$1="bid",B58,C58)</f>
        <v>2.012</v>
      </c>
      <c r="J58" s="24" t="n">
        <f aca="false">D58</f>
        <v>47484</v>
      </c>
      <c r="K58" s="23" t="n">
        <f aca="false">IF($J$1="bid",E58,F58)</f>
        <v>18.595</v>
      </c>
      <c r="L58" s="11"/>
      <c r="M58" s="11"/>
      <c r="N58" s="11"/>
      <c r="O58" s="11"/>
      <c r="P58" s="11"/>
      <c r="Q58" s="11"/>
      <c r="R58" s="11"/>
      <c r="S58" s="11"/>
      <c r="T58" s="11"/>
      <c r="U58" s="11"/>
      <c r="V58" s="11"/>
      <c r="W58" s="11"/>
      <c r="X58" s="11"/>
      <c r="Y58" s="11"/>
      <c r="Z58" s="11"/>
      <c r="AA58" s="11"/>
      <c r="AB58" s="11"/>
      <c r="AC58" s="11"/>
      <c r="AD58" s="11"/>
      <c r="AE58" s="11"/>
      <c r="AF58" s="11"/>
      <c r="AG58" s="11"/>
      <c r="AH58" s="11"/>
      <c r="AI58" s="11"/>
      <c r="AJ58" s="11"/>
      <c r="AK58" s="11"/>
      <c r="AL58" s="11"/>
      <c r="AM58" s="11"/>
      <c r="AN58" s="11"/>
      <c r="AO58" s="11"/>
      <c r="AP58" s="11"/>
      <c r="AQ58" s="11"/>
      <c r="AR58" s="5"/>
      <c r="AS58" s="12"/>
      <c r="AT58" s="12"/>
      <c r="AU58" s="12"/>
      <c r="AV58" s="12"/>
      <c r="AW58" s="12"/>
      <c r="AX58" s="12"/>
      <c r="AY58" s="12"/>
      <c r="AZ58" s="12"/>
      <c r="BA58" s="12"/>
      <c r="BB58" s="12"/>
      <c r="BC58" s="12"/>
      <c r="BD58" s="12"/>
      <c r="BE58" s="12"/>
      <c r="BF58" s="12"/>
      <c r="BG58" s="12"/>
      <c r="BH58" s="12"/>
      <c r="BI58" s="12"/>
      <c r="BJ58" s="12"/>
      <c r="BK58" s="12"/>
      <c r="BL58" s="12"/>
      <c r="BM58" s="12"/>
      <c r="BN58" s="12"/>
      <c r="BO58" s="12"/>
      <c r="BP58" s="12"/>
      <c r="BQ58" s="12"/>
      <c r="BR58" s="12"/>
      <c r="BS58" s="12"/>
      <c r="BT58" s="12"/>
      <c r="BU58" s="12"/>
      <c r="BV58" s="12"/>
      <c r="BW58" s="12"/>
      <c r="BX58" s="12"/>
      <c r="BY58" s="12"/>
      <c r="BZ58" s="12"/>
      <c r="CA58" s="12"/>
      <c r="CB58" s="12"/>
      <c r="CC58" s="12"/>
      <c r="CD58" s="12"/>
      <c r="CE58" s="12"/>
      <c r="CF58" s="12"/>
      <c r="CG58" s="12"/>
      <c r="CH58" s="12"/>
      <c r="CI58" s="12"/>
      <c r="CJ58" s="12"/>
      <c r="CK58" s="12"/>
      <c r="CL58" s="12"/>
      <c r="CM58" s="12"/>
      <c r="CN58" s="12"/>
      <c r="CO58" s="12"/>
      <c r="CP58" s="12"/>
      <c r="CQ58" s="12"/>
      <c r="CR58" s="12"/>
      <c r="CS58" s="12"/>
      <c r="CT58" s="12"/>
      <c r="CU58" s="12"/>
      <c r="CV58" s="12"/>
      <c r="CW58" s="12"/>
      <c r="CX58" s="12"/>
      <c r="CY58" s="12"/>
      <c r="CZ58" s="12"/>
      <c r="DA58" s="12"/>
      <c r="DB58" s="12"/>
      <c r="DC58" s="12"/>
      <c r="DD58" s="12"/>
      <c r="DE58" s="12"/>
      <c r="DF58" s="12"/>
      <c r="DG58" s="12"/>
      <c r="DH58" s="12"/>
      <c r="DI58" s="12"/>
      <c r="DJ58" s="12"/>
      <c r="DK58" s="12"/>
      <c r="DL58" s="12"/>
      <c r="DM58" s="12"/>
      <c r="DN58" s="12"/>
      <c r="DO58" s="12"/>
      <c r="DP58" s="12"/>
      <c r="DQ58" s="12"/>
      <c r="DR58" s="12"/>
      <c r="DS58" s="12"/>
      <c r="DT58" s="12"/>
      <c r="DU58" s="12"/>
      <c r="DV58" s="12"/>
      <c r="DW58" s="12"/>
      <c r="DX58" s="12"/>
      <c r="DY58" s="12"/>
      <c r="DZ58" s="12"/>
      <c r="EA58" s="12"/>
      <c r="EB58" s="12"/>
      <c r="EC58" s="12"/>
      <c r="ED58" s="12"/>
      <c r="EE58" s="12"/>
      <c r="EF58" s="12"/>
      <c r="EG58" s="12"/>
      <c r="EH58" s="12"/>
      <c r="EI58" s="12"/>
      <c r="EJ58" s="12"/>
      <c r="EK58" s="12"/>
      <c r="EL58" s="12"/>
      <c r="EM58" s="12"/>
      <c r="EN58" s="12"/>
      <c r="EO58" s="12"/>
      <c r="EP58" s="12"/>
      <c r="EQ58" s="12"/>
      <c r="ER58" s="12"/>
      <c r="ES58" s="12"/>
      <c r="ET58" s="12"/>
      <c r="EU58" s="12"/>
      <c r="EV58" s="12"/>
      <c r="EW58" s="12"/>
      <c r="EX58" s="12"/>
      <c r="EY58" s="12"/>
      <c r="EZ58" s="12"/>
      <c r="FA58" s="12"/>
      <c r="FB58" s="12"/>
      <c r="FC58" s="12"/>
      <c r="FD58" s="12"/>
      <c r="FE58" s="12"/>
      <c r="FF58" s="12"/>
      <c r="FG58" s="12"/>
      <c r="FH58" s="12"/>
      <c r="FI58" s="12"/>
      <c r="FJ58" s="12"/>
      <c r="FK58" s="12"/>
      <c r="FL58" s="12"/>
      <c r="FM58" s="12"/>
      <c r="FN58" s="12"/>
      <c r="FO58" s="12"/>
      <c r="FP58" s="12"/>
      <c r="FQ58" s="12"/>
      <c r="FR58" s="12"/>
      <c r="FS58" s="12"/>
      <c r="FT58" s="12"/>
      <c r="FU58" s="12"/>
      <c r="FV58" s="12"/>
      <c r="FW58" s="12"/>
      <c r="FX58" s="12"/>
      <c r="FY58" s="12"/>
      <c r="FZ58" s="12"/>
      <c r="GA58" s="12"/>
      <c r="GB58" s="12"/>
      <c r="GC58" s="12"/>
      <c r="GD58" s="12"/>
      <c r="GE58" s="12"/>
      <c r="GF58" s="12"/>
      <c r="GG58" s="12"/>
      <c r="GH58" s="12"/>
      <c r="GI58" s="12"/>
      <c r="GJ58" s="12"/>
      <c r="GK58" s="12"/>
      <c r="GL58" s="12"/>
      <c r="GM58" s="12"/>
      <c r="GN58" s="12"/>
      <c r="GO58" s="12"/>
      <c r="GP58" s="12"/>
      <c r="GQ58" s="12"/>
      <c r="GR58" s="12"/>
      <c r="GS58" s="12"/>
      <c r="GT58" s="12"/>
      <c r="GU58" s="12"/>
      <c r="GV58" s="12"/>
      <c r="GW58" s="12"/>
      <c r="GX58" s="12"/>
      <c r="GY58" s="12"/>
      <c r="GZ58" s="12"/>
      <c r="HA58" s="12"/>
      <c r="HB58" s="12"/>
      <c r="HC58" s="12"/>
      <c r="HD58" s="12"/>
      <c r="HE58" s="12"/>
      <c r="HF58" s="12"/>
      <c r="HG58" s="12"/>
      <c r="HH58" s="12"/>
      <c r="HI58" s="12"/>
      <c r="HJ58" s="12"/>
      <c r="HK58" s="12"/>
      <c r="HL58" s="12"/>
      <c r="HM58" s="12"/>
      <c r="HN58" s="12"/>
      <c r="HO58" s="12"/>
      <c r="HP58" s="12"/>
      <c r="HQ58" s="12"/>
      <c r="HR58" s="12"/>
      <c r="HS58" s="12"/>
      <c r="HT58" s="12"/>
      <c r="HU58" s="12"/>
      <c r="HV58" s="12"/>
      <c r="HW58" s="12"/>
      <c r="HX58" s="12"/>
      <c r="HY58" s="12"/>
      <c r="HZ58" s="12"/>
      <c r="IA58" s="12"/>
      <c r="IB58" s="12"/>
      <c r="IC58" s="12"/>
      <c r="ID58" s="12"/>
      <c r="IE58" s="12"/>
      <c r="IF58" s="12"/>
      <c r="IG58" s="12"/>
      <c r="IH58" s="12"/>
      <c r="II58" s="12"/>
      <c r="IJ58" s="12"/>
      <c r="IK58" s="12"/>
      <c r="IL58" s="12"/>
      <c r="IM58" s="12"/>
      <c r="IN58" s="12"/>
      <c r="IO58" s="12"/>
      <c r="IP58" s="12"/>
      <c r="IQ58" s="12"/>
      <c r="IR58" s="12"/>
      <c r="IS58" s="12"/>
      <c r="IT58" s="12"/>
      <c r="IU58" s="12"/>
      <c r="IV58" s="12"/>
      <c r="IW58" s="12"/>
    </row>
    <row r="59" customFormat="false" ht="11.25" hidden="false" customHeight="false" outlineLevel="0" collapsed="false">
      <c r="A59" s="25" t="n">
        <f aca="false">DATE(YEAR(A58),MONTH(A58)+1,1)</f>
        <v>47515</v>
      </c>
      <c r="B59" s="21" t="n">
        <v>1.953</v>
      </c>
      <c r="C59" s="21" t="n">
        <v>1.963</v>
      </c>
      <c r="D59" s="25" t="n">
        <f aca="false">DATE(YEAR(D58),MONTH(D58)+1,1)</f>
        <v>47515</v>
      </c>
      <c r="E59" s="21" t="n">
        <v>18.458</v>
      </c>
      <c r="F59" s="21" t="n">
        <v>18.607</v>
      </c>
      <c r="G59" s="6"/>
      <c r="H59" s="22" t="n">
        <f aca="false">A59</f>
        <v>47515</v>
      </c>
      <c r="I59" s="23" t="n">
        <f aca="false">IF($J$1="bid",B59,C59)</f>
        <v>1.963</v>
      </c>
      <c r="J59" s="24" t="n">
        <f aca="false">D59</f>
        <v>47515</v>
      </c>
      <c r="K59" s="23" t="n">
        <f aca="false">IF($J$1="bid",E59,F59)</f>
        <v>18.607</v>
      </c>
      <c r="L59" s="11"/>
      <c r="M59" s="11"/>
      <c r="N59" s="11"/>
      <c r="O59" s="11"/>
      <c r="P59" s="11"/>
      <c r="Q59" s="11"/>
      <c r="R59" s="11"/>
      <c r="S59" s="11"/>
      <c r="T59" s="11"/>
      <c r="U59" s="11"/>
      <c r="V59" s="11"/>
      <c r="W59" s="11"/>
      <c r="X59" s="11"/>
      <c r="Y59" s="11"/>
      <c r="Z59" s="11"/>
      <c r="AA59" s="11"/>
      <c r="AB59" s="11"/>
      <c r="AC59" s="11"/>
      <c r="AD59" s="11"/>
      <c r="AE59" s="11"/>
      <c r="AF59" s="11"/>
      <c r="AG59" s="11"/>
      <c r="AH59" s="11"/>
      <c r="AI59" s="11"/>
      <c r="AJ59" s="11"/>
      <c r="AK59" s="11"/>
      <c r="AL59" s="11"/>
      <c r="AM59" s="11"/>
      <c r="AN59" s="11"/>
      <c r="AO59" s="11"/>
      <c r="AP59" s="11"/>
      <c r="AQ59" s="11"/>
      <c r="AR59" s="5"/>
      <c r="AS59" s="12"/>
      <c r="AT59" s="12"/>
      <c r="AU59" s="12"/>
      <c r="AV59" s="12"/>
      <c r="AW59" s="12"/>
      <c r="AX59" s="12"/>
      <c r="AY59" s="12"/>
      <c r="AZ59" s="12"/>
      <c r="BA59" s="12"/>
      <c r="BB59" s="12"/>
      <c r="BC59" s="12"/>
      <c r="BD59" s="12"/>
      <c r="BE59" s="12"/>
      <c r="BF59" s="12"/>
      <c r="BG59" s="12"/>
      <c r="BH59" s="12"/>
      <c r="BI59" s="12"/>
      <c r="BJ59" s="12"/>
      <c r="BK59" s="12"/>
      <c r="BL59" s="12"/>
      <c r="BM59" s="12"/>
      <c r="BN59" s="12"/>
      <c r="BO59" s="12"/>
      <c r="BP59" s="12"/>
      <c r="BQ59" s="12"/>
      <c r="BR59" s="12"/>
      <c r="BS59" s="12"/>
      <c r="BT59" s="12"/>
      <c r="BU59" s="12"/>
      <c r="BV59" s="12"/>
      <c r="BW59" s="12"/>
      <c r="BX59" s="12"/>
      <c r="BY59" s="12"/>
      <c r="BZ59" s="12"/>
      <c r="CA59" s="12"/>
      <c r="CB59" s="12"/>
      <c r="CC59" s="12"/>
      <c r="CD59" s="12"/>
      <c r="CE59" s="12"/>
      <c r="CF59" s="12"/>
      <c r="CG59" s="12"/>
      <c r="CH59" s="12"/>
      <c r="CI59" s="12"/>
      <c r="CJ59" s="12"/>
      <c r="CK59" s="12"/>
      <c r="CL59" s="12"/>
      <c r="CM59" s="12"/>
      <c r="CN59" s="12"/>
      <c r="CO59" s="12"/>
      <c r="CP59" s="12"/>
      <c r="CQ59" s="12"/>
      <c r="CR59" s="12"/>
      <c r="CS59" s="12"/>
      <c r="CT59" s="12"/>
      <c r="CU59" s="12"/>
      <c r="CV59" s="12"/>
      <c r="CW59" s="12"/>
      <c r="CX59" s="12"/>
      <c r="CY59" s="12"/>
      <c r="CZ59" s="12"/>
      <c r="DA59" s="12"/>
      <c r="DB59" s="12"/>
      <c r="DC59" s="12"/>
      <c r="DD59" s="12"/>
      <c r="DE59" s="12"/>
      <c r="DF59" s="12"/>
      <c r="DG59" s="12"/>
      <c r="DH59" s="12"/>
      <c r="DI59" s="12"/>
      <c r="DJ59" s="12"/>
      <c r="DK59" s="12"/>
      <c r="DL59" s="12"/>
      <c r="DM59" s="12"/>
      <c r="DN59" s="12"/>
      <c r="DO59" s="12"/>
      <c r="DP59" s="12"/>
      <c r="DQ59" s="12"/>
      <c r="DR59" s="12"/>
      <c r="DS59" s="12"/>
      <c r="DT59" s="12"/>
      <c r="DU59" s="12"/>
      <c r="DV59" s="12"/>
      <c r="DW59" s="12"/>
      <c r="DX59" s="12"/>
      <c r="DY59" s="12"/>
      <c r="DZ59" s="12"/>
      <c r="EA59" s="12"/>
      <c r="EB59" s="12"/>
      <c r="EC59" s="12"/>
      <c r="ED59" s="12"/>
      <c r="EE59" s="12"/>
      <c r="EF59" s="12"/>
      <c r="EG59" s="12"/>
      <c r="EH59" s="12"/>
      <c r="EI59" s="12"/>
      <c r="EJ59" s="12"/>
      <c r="EK59" s="12"/>
      <c r="EL59" s="12"/>
      <c r="EM59" s="12"/>
      <c r="EN59" s="12"/>
      <c r="EO59" s="12"/>
      <c r="EP59" s="12"/>
      <c r="EQ59" s="12"/>
      <c r="ER59" s="12"/>
      <c r="ES59" s="12"/>
      <c r="ET59" s="12"/>
      <c r="EU59" s="12"/>
      <c r="EV59" s="12"/>
      <c r="EW59" s="12"/>
      <c r="EX59" s="12"/>
      <c r="EY59" s="12"/>
      <c r="EZ59" s="12"/>
      <c r="FA59" s="12"/>
      <c r="FB59" s="12"/>
      <c r="FC59" s="12"/>
      <c r="FD59" s="12"/>
      <c r="FE59" s="12"/>
      <c r="FF59" s="12"/>
      <c r="FG59" s="12"/>
      <c r="FH59" s="12"/>
      <c r="FI59" s="12"/>
      <c r="FJ59" s="12"/>
      <c r="FK59" s="12"/>
      <c r="FL59" s="12"/>
      <c r="FM59" s="12"/>
      <c r="FN59" s="12"/>
      <c r="FO59" s="12"/>
      <c r="FP59" s="12"/>
      <c r="FQ59" s="12"/>
      <c r="FR59" s="12"/>
      <c r="FS59" s="12"/>
      <c r="FT59" s="12"/>
      <c r="FU59" s="12"/>
      <c r="FV59" s="12"/>
      <c r="FW59" s="12"/>
      <c r="FX59" s="12"/>
      <c r="FY59" s="12"/>
      <c r="FZ59" s="12"/>
      <c r="GA59" s="12"/>
      <c r="GB59" s="12"/>
      <c r="GC59" s="12"/>
      <c r="GD59" s="12"/>
      <c r="GE59" s="12"/>
      <c r="GF59" s="12"/>
      <c r="GG59" s="12"/>
      <c r="GH59" s="12"/>
      <c r="GI59" s="12"/>
      <c r="GJ59" s="12"/>
      <c r="GK59" s="12"/>
      <c r="GL59" s="12"/>
      <c r="GM59" s="12"/>
      <c r="GN59" s="12"/>
      <c r="GO59" s="12"/>
      <c r="GP59" s="12"/>
      <c r="GQ59" s="12"/>
      <c r="GR59" s="12"/>
      <c r="GS59" s="12"/>
      <c r="GT59" s="12"/>
      <c r="GU59" s="12"/>
      <c r="GV59" s="12"/>
      <c r="GW59" s="12"/>
      <c r="GX59" s="12"/>
      <c r="GY59" s="12"/>
      <c r="GZ59" s="12"/>
      <c r="HA59" s="12"/>
      <c r="HB59" s="12"/>
      <c r="HC59" s="12"/>
      <c r="HD59" s="12"/>
      <c r="HE59" s="12"/>
      <c r="HF59" s="12"/>
      <c r="HG59" s="12"/>
      <c r="HH59" s="12"/>
      <c r="HI59" s="12"/>
      <c r="HJ59" s="12"/>
      <c r="HK59" s="12"/>
      <c r="HL59" s="12"/>
      <c r="HM59" s="12"/>
      <c r="HN59" s="12"/>
      <c r="HO59" s="12"/>
      <c r="HP59" s="12"/>
      <c r="HQ59" s="12"/>
      <c r="HR59" s="12"/>
      <c r="HS59" s="12"/>
      <c r="HT59" s="12"/>
      <c r="HU59" s="12"/>
      <c r="HV59" s="12"/>
      <c r="HW59" s="12"/>
      <c r="HX59" s="12"/>
      <c r="HY59" s="12"/>
      <c r="HZ59" s="12"/>
      <c r="IA59" s="12"/>
      <c r="IB59" s="12"/>
      <c r="IC59" s="12"/>
      <c r="ID59" s="12"/>
      <c r="IE59" s="12"/>
      <c r="IF59" s="12"/>
      <c r="IG59" s="12"/>
      <c r="IH59" s="12"/>
      <c r="II59" s="12"/>
      <c r="IJ59" s="12"/>
      <c r="IK59" s="12"/>
      <c r="IL59" s="12"/>
      <c r="IM59" s="12"/>
      <c r="IN59" s="12"/>
      <c r="IO59" s="12"/>
      <c r="IP59" s="12"/>
      <c r="IQ59" s="12"/>
      <c r="IR59" s="12"/>
      <c r="IS59" s="12"/>
      <c r="IT59" s="12"/>
      <c r="IU59" s="12"/>
      <c r="IV59" s="12"/>
      <c r="IW59" s="12"/>
    </row>
    <row r="60" customFormat="false" ht="11.25" hidden="false" customHeight="false" outlineLevel="0" collapsed="false">
      <c r="A60" s="25" t="n">
        <f aca="false">DATE(YEAR(A59),MONTH(A59)+1,1)</f>
        <v>47543</v>
      </c>
      <c r="B60" s="21" t="n">
        <v>1.94</v>
      </c>
      <c r="C60" s="21" t="n">
        <v>1.95</v>
      </c>
      <c r="D60" s="25" t="n">
        <f aca="false">DATE(YEAR(D59),MONTH(D59)+1,1)</f>
        <v>47543</v>
      </c>
      <c r="E60" s="21" t="n">
        <v>18.465</v>
      </c>
      <c r="F60" s="21" t="n">
        <v>18.62</v>
      </c>
      <c r="G60" s="6"/>
      <c r="H60" s="22" t="n">
        <f aca="false">A60</f>
        <v>47543</v>
      </c>
      <c r="I60" s="23" t="n">
        <f aca="false">IF($J$1="bid",B60,C60)</f>
        <v>1.95</v>
      </c>
      <c r="J60" s="24" t="n">
        <f aca="false">D60</f>
        <v>47543</v>
      </c>
      <c r="K60" s="23" t="n">
        <f aca="false">IF($J$1="bid",E60,F60)</f>
        <v>18.62</v>
      </c>
      <c r="L60" s="11"/>
      <c r="M60" s="11"/>
      <c r="N60" s="11"/>
      <c r="O60" s="11"/>
      <c r="P60" s="11"/>
      <c r="Q60" s="11"/>
      <c r="R60" s="11"/>
      <c r="S60" s="11"/>
      <c r="T60" s="11"/>
      <c r="U60" s="11"/>
      <c r="V60" s="11"/>
      <c r="W60" s="11"/>
      <c r="X60" s="11"/>
      <c r="Y60" s="11"/>
      <c r="Z60" s="11"/>
      <c r="AA60" s="11"/>
      <c r="AB60" s="11"/>
      <c r="AC60" s="11"/>
      <c r="AD60" s="11"/>
      <c r="AE60" s="11"/>
      <c r="AF60" s="11"/>
      <c r="AG60" s="11"/>
      <c r="AH60" s="11"/>
      <c r="AI60" s="11"/>
      <c r="AJ60" s="11"/>
      <c r="AK60" s="11"/>
      <c r="AL60" s="11"/>
      <c r="AM60" s="11"/>
      <c r="AN60" s="11"/>
      <c r="AO60" s="11"/>
      <c r="AP60" s="11"/>
      <c r="AQ60" s="11"/>
      <c r="AR60" s="5"/>
      <c r="AS60" s="12"/>
      <c r="AT60" s="12"/>
      <c r="AU60" s="12"/>
      <c r="AV60" s="12"/>
      <c r="AW60" s="12"/>
      <c r="AX60" s="12"/>
      <c r="AY60" s="12"/>
      <c r="AZ60" s="12"/>
      <c r="BA60" s="12"/>
      <c r="BB60" s="12"/>
      <c r="BC60" s="12"/>
      <c r="BD60" s="12"/>
      <c r="BE60" s="12"/>
      <c r="BF60" s="12"/>
      <c r="BG60" s="12"/>
      <c r="BH60" s="12"/>
      <c r="BI60" s="12"/>
      <c r="BJ60" s="12"/>
      <c r="BK60" s="12"/>
      <c r="BL60" s="12"/>
      <c r="BM60" s="12"/>
      <c r="BN60" s="12"/>
      <c r="BO60" s="12"/>
      <c r="BP60" s="12"/>
      <c r="BQ60" s="12"/>
      <c r="BR60" s="12"/>
      <c r="BS60" s="12"/>
      <c r="BT60" s="12"/>
      <c r="BU60" s="12"/>
      <c r="BV60" s="12"/>
      <c r="BW60" s="12"/>
      <c r="BX60" s="12"/>
      <c r="BY60" s="12"/>
      <c r="BZ60" s="12"/>
      <c r="CA60" s="12"/>
      <c r="CB60" s="12"/>
      <c r="CC60" s="12"/>
      <c r="CD60" s="12"/>
      <c r="CE60" s="12"/>
      <c r="CF60" s="12"/>
      <c r="CG60" s="12"/>
      <c r="CH60" s="12"/>
      <c r="CI60" s="12"/>
      <c r="CJ60" s="12"/>
      <c r="CK60" s="12"/>
      <c r="CL60" s="12"/>
      <c r="CM60" s="12"/>
      <c r="CN60" s="12"/>
      <c r="CO60" s="12"/>
      <c r="CP60" s="12"/>
      <c r="CQ60" s="12"/>
      <c r="CR60" s="12"/>
      <c r="CS60" s="12"/>
      <c r="CT60" s="12"/>
      <c r="CU60" s="12"/>
      <c r="CV60" s="12"/>
      <c r="CW60" s="12"/>
      <c r="CX60" s="12"/>
      <c r="CY60" s="12"/>
      <c r="CZ60" s="12"/>
      <c r="DA60" s="12"/>
      <c r="DB60" s="12"/>
      <c r="DC60" s="12"/>
      <c r="DD60" s="12"/>
      <c r="DE60" s="12"/>
      <c r="DF60" s="12"/>
      <c r="DG60" s="12"/>
      <c r="DH60" s="12"/>
      <c r="DI60" s="12"/>
      <c r="DJ60" s="12"/>
      <c r="DK60" s="12"/>
      <c r="DL60" s="12"/>
      <c r="DM60" s="12"/>
      <c r="DN60" s="12"/>
      <c r="DO60" s="12"/>
      <c r="DP60" s="12"/>
      <c r="DQ60" s="12"/>
      <c r="DR60" s="12"/>
      <c r="DS60" s="12"/>
      <c r="DT60" s="12"/>
      <c r="DU60" s="12"/>
      <c r="DV60" s="12"/>
      <c r="DW60" s="12"/>
      <c r="DX60" s="12"/>
      <c r="DY60" s="12"/>
      <c r="DZ60" s="12"/>
      <c r="EA60" s="12"/>
      <c r="EB60" s="12"/>
      <c r="EC60" s="12"/>
      <c r="ED60" s="12"/>
      <c r="EE60" s="12"/>
      <c r="EF60" s="12"/>
      <c r="EG60" s="12"/>
      <c r="EH60" s="12"/>
      <c r="EI60" s="12"/>
      <c r="EJ60" s="12"/>
      <c r="EK60" s="12"/>
      <c r="EL60" s="12"/>
      <c r="EM60" s="12"/>
      <c r="EN60" s="12"/>
      <c r="EO60" s="12"/>
      <c r="EP60" s="12"/>
      <c r="EQ60" s="12"/>
      <c r="ER60" s="12"/>
      <c r="ES60" s="12"/>
      <c r="ET60" s="12"/>
      <c r="EU60" s="12"/>
      <c r="EV60" s="12"/>
      <c r="EW60" s="12"/>
      <c r="EX60" s="12"/>
      <c r="EY60" s="12"/>
      <c r="EZ60" s="12"/>
      <c r="FA60" s="12"/>
      <c r="FB60" s="12"/>
      <c r="FC60" s="12"/>
      <c r="FD60" s="12"/>
      <c r="FE60" s="12"/>
      <c r="FF60" s="12"/>
      <c r="FG60" s="12"/>
      <c r="FH60" s="12"/>
      <c r="FI60" s="12"/>
      <c r="FJ60" s="12"/>
      <c r="FK60" s="12"/>
      <c r="FL60" s="12"/>
      <c r="FM60" s="12"/>
      <c r="FN60" s="12"/>
      <c r="FO60" s="12"/>
      <c r="FP60" s="12"/>
      <c r="FQ60" s="12"/>
      <c r="FR60" s="12"/>
      <c r="FS60" s="12"/>
      <c r="FT60" s="12"/>
      <c r="FU60" s="12"/>
      <c r="FV60" s="12"/>
      <c r="FW60" s="12"/>
      <c r="FX60" s="12"/>
      <c r="FY60" s="12"/>
      <c r="FZ60" s="12"/>
      <c r="GA60" s="12"/>
      <c r="GB60" s="12"/>
      <c r="GC60" s="12"/>
      <c r="GD60" s="12"/>
      <c r="GE60" s="12"/>
      <c r="GF60" s="12"/>
      <c r="GG60" s="12"/>
      <c r="GH60" s="12"/>
      <c r="GI60" s="12"/>
      <c r="GJ60" s="12"/>
      <c r="GK60" s="12"/>
      <c r="GL60" s="12"/>
      <c r="GM60" s="12"/>
      <c r="GN60" s="12"/>
      <c r="GO60" s="12"/>
      <c r="GP60" s="12"/>
      <c r="GQ60" s="12"/>
      <c r="GR60" s="12"/>
      <c r="GS60" s="12"/>
      <c r="GT60" s="12"/>
      <c r="GU60" s="12"/>
      <c r="GV60" s="12"/>
      <c r="GW60" s="12"/>
      <c r="GX60" s="12"/>
      <c r="GY60" s="12"/>
      <c r="GZ60" s="12"/>
      <c r="HA60" s="12"/>
      <c r="HB60" s="12"/>
      <c r="HC60" s="12"/>
      <c r="HD60" s="12"/>
      <c r="HE60" s="12"/>
      <c r="HF60" s="12"/>
      <c r="HG60" s="12"/>
      <c r="HH60" s="12"/>
      <c r="HI60" s="12"/>
      <c r="HJ60" s="12"/>
      <c r="HK60" s="12"/>
      <c r="HL60" s="12"/>
      <c r="HM60" s="12"/>
      <c r="HN60" s="12"/>
      <c r="HO60" s="12"/>
      <c r="HP60" s="12"/>
      <c r="HQ60" s="12"/>
      <c r="HR60" s="12"/>
      <c r="HS60" s="12"/>
      <c r="HT60" s="12"/>
      <c r="HU60" s="12"/>
      <c r="HV60" s="12"/>
      <c r="HW60" s="12"/>
      <c r="HX60" s="12"/>
      <c r="HY60" s="12"/>
      <c r="HZ60" s="12"/>
      <c r="IA60" s="12"/>
      <c r="IB60" s="12"/>
      <c r="IC60" s="12"/>
      <c r="ID60" s="12"/>
      <c r="IE60" s="12"/>
      <c r="IF60" s="12"/>
      <c r="IG60" s="12"/>
      <c r="IH60" s="12"/>
      <c r="II60" s="12"/>
      <c r="IJ60" s="12"/>
      <c r="IK60" s="12"/>
      <c r="IL60" s="12"/>
      <c r="IM60" s="12"/>
      <c r="IN60" s="12"/>
      <c r="IO60" s="12"/>
      <c r="IP60" s="12"/>
      <c r="IQ60" s="12"/>
      <c r="IR60" s="12"/>
      <c r="IS60" s="12"/>
      <c r="IT60" s="12"/>
      <c r="IU60" s="12"/>
      <c r="IV60" s="12"/>
      <c r="IW60" s="12"/>
    </row>
    <row r="61" customFormat="false" ht="11.25" hidden="false" customHeight="false" outlineLevel="0" collapsed="false">
      <c r="A61" s="25" t="n">
        <f aca="false">DATE(YEAR(A60),MONTH(A60)+1,1)</f>
        <v>47574</v>
      </c>
      <c r="B61" s="21" t="n">
        <v>1.948</v>
      </c>
      <c r="C61" s="21" t="n">
        <v>1.958</v>
      </c>
      <c r="D61" s="25" t="n">
        <f aca="false">DATE(YEAR(D60),MONTH(D60)+1,1)</f>
        <v>47574</v>
      </c>
      <c r="E61" s="21" t="n">
        <v>18.472</v>
      </c>
      <c r="F61" s="21" t="n">
        <v>18.632</v>
      </c>
      <c r="G61" s="6"/>
      <c r="H61" s="22" t="n">
        <f aca="false">A61</f>
        <v>47574</v>
      </c>
      <c r="I61" s="23" t="n">
        <f aca="false">IF($J$1="bid",B61,C61)</f>
        <v>1.958</v>
      </c>
      <c r="J61" s="24" t="n">
        <f aca="false">D61</f>
        <v>47574</v>
      </c>
      <c r="K61" s="23" t="n">
        <f aca="false">IF($J$1="bid",E61,F61)</f>
        <v>18.632</v>
      </c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  <c r="W61" s="11"/>
      <c r="X61" s="11"/>
      <c r="Y61" s="11"/>
      <c r="Z61" s="11"/>
      <c r="AA61" s="11"/>
      <c r="AB61" s="11"/>
      <c r="AC61" s="11"/>
      <c r="AD61" s="11"/>
      <c r="AE61" s="11"/>
      <c r="AF61" s="11"/>
      <c r="AG61" s="11"/>
      <c r="AH61" s="11"/>
      <c r="AI61" s="11"/>
      <c r="AJ61" s="11"/>
      <c r="AK61" s="11"/>
      <c r="AL61" s="11"/>
      <c r="AM61" s="11"/>
      <c r="AN61" s="11"/>
      <c r="AO61" s="11"/>
      <c r="AP61" s="11"/>
      <c r="AQ61" s="11"/>
      <c r="AR61" s="5"/>
      <c r="AS61" s="12"/>
      <c r="AT61" s="12"/>
      <c r="AU61" s="12"/>
      <c r="AV61" s="12"/>
      <c r="AW61" s="12"/>
      <c r="AX61" s="12"/>
      <c r="AY61" s="12"/>
      <c r="AZ61" s="12"/>
      <c r="BA61" s="12"/>
      <c r="BB61" s="12"/>
      <c r="BC61" s="12"/>
      <c r="BD61" s="12"/>
      <c r="BE61" s="12"/>
      <c r="BF61" s="12"/>
      <c r="BG61" s="12"/>
      <c r="BH61" s="12"/>
      <c r="BI61" s="12"/>
      <c r="BJ61" s="12"/>
      <c r="BK61" s="12"/>
      <c r="BL61" s="12"/>
      <c r="BM61" s="12"/>
      <c r="BN61" s="12"/>
      <c r="BO61" s="12"/>
      <c r="BP61" s="12"/>
      <c r="BQ61" s="12"/>
      <c r="BR61" s="12"/>
      <c r="BS61" s="12"/>
      <c r="BT61" s="12"/>
      <c r="BU61" s="12"/>
      <c r="BV61" s="12"/>
      <c r="BW61" s="12"/>
      <c r="BX61" s="12"/>
      <c r="BY61" s="12"/>
      <c r="BZ61" s="12"/>
      <c r="CA61" s="12"/>
      <c r="CB61" s="12"/>
      <c r="CC61" s="12"/>
      <c r="CD61" s="12"/>
      <c r="CE61" s="12"/>
      <c r="CF61" s="12"/>
      <c r="CG61" s="12"/>
      <c r="CH61" s="12"/>
      <c r="CI61" s="12"/>
      <c r="CJ61" s="12"/>
      <c r="CK61" s="12"/>
      <c r="CL61" s="12"/>
      <c r="CM61" s="12"/>
      <c r="CN61" s="12"/>
      <c r="CO61" s="12"/>
      <c r="CP61" s="12"/>
      <c r="CQ61" s="12"/>
      <c r="CR61" s="12"/>
      <c r="CS61" s="12"/>
      <c r="CT61" s="12"/>
      <c r="CU61" s="12"/>
      <c r="CV61" s="12"/>
      <c r="CW61" s="12"/>
      <c r="CX61" s="12"/>
      <c r="CY61" s="12"/>
      <c r="CZ61" s="12"/>
      <c r="DA61" s="12"/>
      <c r="DB61" s="12"/>
      <c r="DC61" s="12"/>
      <c r="DD61" s="12"/>
      <c r="DE61" s="12"/>
      <c r="DF61" s="12"/>
      <c r="DG61" s="12"/>
      <c r="DH61" s="12"/>
      <c r="DI61" s="12"/>
      <c r="DJ61" s="12"/>
      <c r="DK61" s="12"/>
      <c r="DL61" s="12"/>
      <c r="DM61" s="12"/>
      <c r="DN61" s="12"/>
      <c r="DO61" s="12"/>
      <c r="DP61" s="12"/>
      <c r="DQ61" s="12"/>
      <c r="DR61" s="12"/>
      <c r="DS61" s="12"/>
      <c r="DT61" s="12"/>
      <c r="DU61" s="12"/>
      <c r="DV61" s="12"/>
      <c r="DW61" s="12"/>
      <c r="DX61" s="12"/>
      <c r="DY61" s="12"/>
      <c r="DZ61" s="12"/>
      <c r="EA61" s="12"/>
      <c r="EB61" s="12"/>
      <c r="EC61" s="12"/>
      <c r="ED61" s="12"/>
      <c r="EE61" s="12"/>
      <c r="EF61" s="12"/>
      <c r="EG61" s="12"/>
      <c r="EH61" s="12"/>
      <c r="EI61" s="12"/>
      <c r="EJ61" s="12"/>
      <c r="EK61" s="12"/>
      <c r="EL61" s="12"/>
      <c r="EM61" s="12"/>
      <c r="EN61" s="12"/>
      <c r="EO61" s="12"/>
      <c r="EP61" s="12"/>
      <c r="EQ61" s="12"/>
      <c r="ER61" s="12"/>
      <c r="ES61" s="12"/>
      <c r="ET61" s="12"/>
      <c r="EU61" s="12"/>
      <c r="EV61" s="12"/>
      <c r="EW61" s="12"/>
      <c r="EX61" s="12"/>
      <c r="EY61" s="12"/>
      <c r="EZ61" s="12"/>
      <c r="FA61" s="12"/>
      <c r="FB61" s="12"/>
      <c r="FC61" s="12"/>
      <c r="FD61" s="12"/>
      <c r="FE61" s="12"/>
      <c r="FF61" s="12"/>
      <c r="FG61" s="12"/>
      <c r="FH61" s="12"/>
      <c r="FI61" s="12"/>
      <c r="FJ61" s="12"/>
      <c r="FK61" s="12"/>
      <c r="FL61" s="12"/>
      <c r="FM61" s="12"/>
      <c r="FN61" s="12"/>
      <c r="FO61" s="12"/>
      <c r="FP61" s="12"/>
      <c r="FQ61" s="12"/>
      <c r="FR61" s="12"/>
      <c r="FS61" s="12"/>
      <c r="FT61" s="12"/>
      <c r="FU61" s="12"/>
      <c r="FV61" s="12"/>
      <c r="FW61" s="12"/>
      <c r="FX61" s="12"/>
      <c r="FY61" s="12"/>
      <c r="FZ61" s="12"/>
      <c r="GA61" s="12"/>
      <c r="GB61" s="12"/>
      <c r="GC61" s="12"/>
      <c r="GD61" s="12"/>
      <c r="GE61" s="12"/>
      <c r="GF61" s="12"/>
      <c r="GG61" s="12"/>
      <c r="GH61" s="12"/>
      <c r="GI61" s="12"/>
      <c r="GJ61" s="12"/>
      <c r="GK61" s="12"/>
      <c r="GL61" s="12"/>
      <c r="GM61" s="12"/>
      <c r="GN61" s="12"/>
      <c r="GO61" s="12"/>
      <c r="GP61" s="12"/>
      <c r="GQ61" s="12"/>
      <c r="GR61" s="12"/>
      <c r="GS61" s="12"/>
      <c r="GT61" s="12"/>
      <c r="GU61" s="12"/>
      <c r="GV61" s="12"/>
      <c r="GW61" s="12"/>
      <c r="GX61" s="12"/>
      <c r="GY61" s="12"/>
      <c r="GZ61" s="12"/>
      <c r="HA61" s="12"/>
      <c r="HB61" s="12"/>
      <c r="HC61" s="12"/>
      <c r="HD61" s="12"/>
      <c r="HE61" s="12"/>
      <c r="HF61" s="12"/>
      <c r="HG61" s="12"/>
      <c r="HH61" s="12"/>
      <c r="HI61" s="12"/>
      <c r="HJ61" s="12"/>
      <c r="HK61" s="12"/>
      <c r="HL61" s="12"/>
      <c r="HM61" s="12"/>
      <c r="HN61" s="12"/>
      <c r="HO61" s="12"/>
      <c r="HP61" s="12"/>
      <c r="HQ61" s="12"/>
      <c r="HR61" s="12"/>
      <c r="HS61" s="12"/>
      <c r="HT61" s="12"/>
      <c r="HU61" s="12"/>
      <c r="HV61" s="12"/>
      <c r="HW61" s="12"/>
      <c r="HX61" s="12"/>
      <c r="HY61" s="12"/>
      <c r="HZ61" s="12"/>
      <c r="IA61" s="12"/>
      <c r="IB61" s="12"/>
      <c r="IC61" s="12"/>
      <c r="ID61" s="12"/>
      <c r="IE61" s="12"/>
      <c r="IF61" s="12"/>
      <c r="IG61" s="12"/>
      <c r="IH61" s="12"/>
      <c r="II61" s="12"/>
      <c r="IJ61" s="12"/>
      <c r="IK61" s="12"/>
      <c r="IL61" s="12"/>
      <c r="IM61" s="12"/>
      <c r="IN61" s="12"/>
      <c r="IO61" s="12"/>
      <c r="IP61" s="12"/>
      <c r="IQ61" s="12"/>
      <c r="IR61" s="12"/>
      <c r="IS61" s="12"/>
      <c r="IT61" s="12"/>
      <c r="IU61" s="12"/>
      <c r="IV61" s="12"/>
      <c r="IW61" s="12"/>
    </row>
    <row r="62" customFormat="false" ht="11.25" hidden="false" customHeight="false" outlineLevel="0" collapsed="false">
      <c r="A62" s="25" t="n">
        <f aca="false">DATE(YEAR(A61),MONTH(A61)+1,1)</f>
        <v>47604</v>
      </c>
      <c r="B62" s="21" t="n">
        <v>1.94</v>
      </c>
      <c r="C62" s="21" t="n">
        <v>1.95</v>
      </c>
      <c r="D62" s="25" t="n">
        <f aca="false">DATE(YEAR(D61),MONTH(D61)+1,1)</f>
        <v>47604</v>
      </c>
      <c r="E62" s="21" t="n">
        <v>18.479</v>
      </c>
      <c r="F62" s="21" t="n">
        <v>18.644</v>
      </c>
      <c r="G62" s="6"/>
      <c r="H62" s="22" t="n">
        <f aca="false">A62</f>
        <v>47604</v>
      </c>
      <c r="I62" s="23" t="n">
        <f aca="false">IF($J$1="bid",B62,C62)</f>
        <v>1.95</v>
      </c>
      <c r="J62" s="24" t="n">
        <f aca="false">D62</f>
        <v>47604</v>
      </c>
      <c r="K62" s="23" t="n">
        <f aca="false">IF($J$1="bid",E62,F62)</f>
        <v>18.644</v>
      </c>
      <c r="L62" s="11"/>
      <c r="M62" s="11"/>
      <c r="N62" s="11"/>
      <c r="O62" s="11"/>
      <c r="P62" s="11"/>
      <c r="Q62" s="11"/>
      <c r="R62" s="11"/>
      <c r="S62" s="11"/>
      <c r="T62" s="11"/>
      <c r="U62" s="11"/>
      <c r="V62" s="11"/>
      <c r="W62" s="11"/>
      <c r="X62" s="11"/>
      <c r="Y62" s="11"/>
      <c r="Z62" s="11"/>
      <c r="AA62" s="11"/>
      <c r="AB62" s="11"/>
      <c r="AC62" s="11"/>
      <c r="AD62" s="11"/>
      <c r="AE62" s="11"/>
      <c r="AF62" s="11"/>
      <c r="AG62" s="11"/>
      <c r="AH62" s="11"/>
      <c r="AI62" s="11"/>
      <c r="AJ62" s="11"/>
      <c r="AK62" s="11"/>
      <c r="AL62" s="11"/>
      <c r="AM62" s="11"/>
      <c r="AN62" s="11"/>
      <c r="AO62" s="11"/>
      <c r="AP62" s="11"/>
      <c r="AQ62" s="11"/>
      <c r="AR62" s="5"/>
      <c r="AS62" s="12"/>
      <c r="AT62" s="12"/>
      <c r="AU62" s="12"/>
      <c r="AV62" s="12"/>
      <c r="AW62" s="12"/>
      <c r="AX62" s="12"/>
      <c r="AY62" s="12"/>
      <c r="AZ62" s="12"/>
      <c r="BA62" s="12"/>
      <c r="BB62" s="12"/>
      <c r="BC62" s="12"/>
      <c r="BD62" s="12"/>
      <c r="BE62" s="12"/>
      <c r="BF62" s="12"/>
      <c r="BG62" s="12"/>
      <c r="BH62" s="12"/>
      <c r="BI62" s="12"/>
      <c r="BJ62" s="12"/>
      <c r="BK62" s="12"/>
      <c r="BL62" s="12"/>
      <c r="BM62" s="12"/>
      <c r="BN62" s="12"/>
      <c r="BO62" s="12"/>
      <c r="BP62" s="12"/>
      <c r="BQ62" s="12"/>
      <c r="BR62" s="12"/>
      <c r="BS62" s="12"/>
      <c r="BT62" s="12"/>
      <c r="BU62" s="12"/>
      <c r="BV62" s="12"/>
      <c r="BW62" s="12"/>
      <c r="BX62" s="12"/>
      <c r="BY62" s="12"/>
      <c r="BZ62" s="12"/>
      <c r="CA62" s="12"/>
      <c r="CB62" s="12"/>
      <c r="CC62" s="12"/>
      <c r="CD62" s="12"/>
      <c r="CE62" s="12"/>
      <c r="CF62" s="12"/>
      <c r="CG62" s="12"/>
      <c r="CH62" s="12"/>
      <c r="CI62" s="12"/>
      <c r="CJ62" s="12"/>
      <c r="CK62" s="12"/>
      <c r="CL62" s="12"/>
      <c r="CM62" s="12"/>
      <c r="CN62" s="12"/>
      <c r="CO62" s="12"/>
      <c r="CP62" s="12"/>
      <c r="CQ62" s="12"/>
      <c r="CR62" s="12"/>
      <c r="CS62" s="12"/>
      <c r="CT62" s="12"/>
      <c r="CU62" s="12"/>
      <c r="CV62" s="12"/>
      <c r="CW62" s="12"/>
      <c r="CX62" s="12"/>
      <c r="CY62" s="12"/>
      <c r="CZ62" s="12"/>
      <c r="DA62" s="12"/>
      <c r="DB62" s="12"/>
      <c r="DC62" s="12"/>
      <c r="DD62" s="12"/>
      <c r="DE62" s="12"/>
      <c r="DF62" s="12"/>
      <c r="DG62" s="12"/>
      <c r="DH62" s="12"/>
      <c r="DI62" s="12"/>
      <c r="DJ62" s="12"/>
      <c r="DK62" s="12"/>
      <c r="DL62" s="12"/>
      <c r="DM62" s="12"/>
      <c r="DN62" s="12"/>
      <c r="DO62" s="12"/>
      <c r="DP62" s="12"/>
      <c r="DQ62" s="12"/>
      <c r="DR62" s="12"/>
      <c r="DS62" s="12"/>
      <c r="DT62" s="12"/>
      <c r="DU62" s="12"/>
      <c r="DV62" s="12"/>
      <c r="DW62" s="12"/>
      <c r="DX62" s="12"/>
      <c r="DY62" s="12"/>
      <c r="DZ62" s="12"/>
      <c r="EA62" s="12"/>
      <c r="EB62" s="12"/>
      <c r="EC62" s="12"/>
      <c r="ED62" s="12"/>
      <c r="EE62" s="12"/>
      <c r="EF62" s="12"/>
      <c r="EG62" s="12"/>
      <c r="EH62" s="12"/>
      <c r="EI62" s="12"/>
      <c r="EJ62" s="12"/>
      <c r="EK62" s="12"/>
      <c r="EL62" s="12"/>
      <c r="EM62" s="12"/>
      <c r="EN62" s="12"/>
      <c r="EO62" s="12"/>
      <c r="EP62" s="12"/>
      <c r="EQ62" s="12"/>
      <c r="ER62" s="12"/>
      <c r="ES62" s="12"/>
      <c r="ET62" s="12"/>
      <c r="EU62" s="12"/>
      <c r="EV62" s="12"/>
      <c r="EW62" s="12"/>
      <c r="EX62" s="12"/>
      <c r="EY62" s="12"/>
      <c r="EZ62" s="12"/>
      <c r="FA62" s="12"/>
      <c r="FB62" s="12"/>
      <c r="FC62" s="12"/>
      <c r="FD62" s="12"/>
      <c r="FE62" s="12"/>
      <c r="FF62" s="12"/>
      <c r="FG62" s="12"/>
      <c r="FH62" s="12"/>
      <c r="FI62" s="12"/>
      <c r="FJ62" s="12"/>
      <c r="FK62" s="12"/>
      <c r="FL62" s="12"/>
      <c r="FM62" s="12"/>
      <c r="FN62" s="12"/>
      <c r="FO62" s="12"/>
      <c r="FP62" s="12"/>
      <c r="FQ62" s="12"/>
      <c r="FR62" s="12"/>
      <c r="FS62" s="12"/>
      <c r="FT62" s="12"/>
      <c r="FU62" s="12"/>
      <c r="FV62" s="12"/>
      <c r="FW62" s="12"/>
      <c r="FX62" s="12"/>
      <c r="FY62" s="12"/>
      <c r="FZ62" s="12"/>
      <c r="GA62" s="12"/>
      <c r="GB62" s="12"/>
      <c r="GC62" s="12"/>
      <c r="GD62" s="12"/>
      <c r="GE62" s="12"/>
      <c r="GF62" s="12"/>
      <c r="GG62" s="12"/>
      <c r="GH62" s="12"/>
      <c r="GI62" s="12"/>
      <c r="GJ62" s="12"/>
      <c r="GK62" s="12"/>
      <c r="GL62" s="12"/>
      <c r="GM62" s="12"/>
      <c r="GN62" s="12"/>
      <c r="GO62" s="12"/>
      <c r="GP62" s="12"/>
      <c r="GQ62" s="12"/>
      <c r="GR62" s="12"/>
      <c r="GS62" s="12"/>
      <c r="GT62" s="12"/>
      <c r="GU62" s="12"/>
      <c r="GV62" s="12"/>
      <c r="GW62" s="12"/>
      <c r="GX62" s="12"/>
      <c r="GY62" s="12"/>
      <c r="GZ62" s="12"/>
      <c r="HA62" s="12"/>
      <c r="HB62" s="12"/>
      <c r="HC62" s="12"/>
      <c r="HD62" s="12"/>
      <c r="HE62" s="12"/>
      <c r="HF62" s="12"/>
      <c r="HG62" s="12"/>
      <c r="HH62" s="12"/>
      <c r="HI62" s="12"/>
      <c r="HJ62" s="12"/>
      <c r="HK62" s="12"/>
      <c r="HL62" s="12"/>
      <c r="HM62" s="12"/>
      <c r="HN62" s="12"/>
      <c r="HO62" s="12"/>
      <c r="HP62" s="12"/>
      <c r="HQ62" s="12"/>
      <c r="HR62" s="12"/>
      <c r="HS62" s="12"/>
      <c r="HT62" s="12"/>
      <c r="HU62" s="12"/>
      <c r="HV62" s="12"/>
      <c r="HW62" s="12"/>
      <c r="HX62" s="12"/>
      <c r="HY62" s="12"/>
      <c r="HZ62" s="12"/>
      <c r="IA62" s="12"/>
      <c r="IB62" s="12"/>
      <c r="IC62" s="12"/>
      <c r="ID62" s="12"/>
      <c r="IE62" s="12"/>
      <c r="IF62" s="12"/>
      <c r="IG62" s="12"/>
      <c r="IH62" s="12"/>
      <c r="II62" s="12"/>
      <c r="IJ62" s="12"/>
      <c r="IK62" s="12"/>
      <c r="IL62" s="12"/>
      <c r="IM62" s="12"/>
      <c r="IN62" s="12"/>
      <c r="IO62" s="12"/>
      <c r="IP62" s="12"/>
      <c r="IQ62" s="12"/>
      <c r="IR62" s="12"/>
      <c r="IS62" s="12"/>
      <c r="IT62" s="12"/>
      <c r="IU62" s="12"/>
      <c r="IV62" s="12"/>
      <c r="IW62" s="12"/>
    </row>
    <row r="63" customFormat="false" ht="11.25" hidden="false" customHeight="false" outlineLevel="0" collapsed="false">
      <c r="A63" s="25" t="n">
        <f aca="false">DATE(YEAR(A62),MONTH(A62)+1,1)</f>
        <v>47635</v>
      </c>
      <c r="B63" s="21" t="n">
        <v>1.94</v>
      </c>
      <c r="C63" s="21" t="n">
        <v>1.95</v>
      </c>
      <c r="D63" s="25" t="n">
        <f aca="false">DATE(YEAR(D62),MONTH(D62)+1,1)</f>
        <v>47635</v>
      </c>
      <c r="E63" s="21" t="n">
        <v>18.487</v>
      </c>
      <c r="F63" s="21" t="n">
        <v>18.658</v>
      </c>
      <c r="G63" s="6"/>
      <c r="H63" s="22" t="n">
        <f aca="false">A63</f>
        <v>47635</v>
      </c>
      <c r="I63" s="23" t="n">
        <f aca="false">IF($J$1="bid",B63,C63)</f>
        <v>1.95</v>
      </c>
      <c r="J63" s="24" t="n">
        <f aca="false">D63</f>
        <v>47635</v>
      </c>
      <c r="K63" s="23" t="n">
        <f aca="false">IF($J$1="bid",E63,F63)</f>
        <v>18.658</v>
      </c>
      <c r="L63" s="11"/>
      <c r="M63" s="11"/>
      <c r="N63" s="11"/>
      <c r="O63" s="11"/>
      <c r="P63" s="11"/>
      <c r="Q63" s="11"/>
      <c r="R63" s="11"/>
      <c r="S63" s="11"/>
      <c r="T63" s="11"/>
      <c r="U63" s="11"/>
      <c r="V63" s="11"/>
      <c r="W63" s="11"/>
      <c r="X63" s="11"/>
      <c r="Y63" s="11"/>
      <c r="Z63" s="11"/>
      <c r="AA63" s="11"/>
      <c r="AB63" s="11"/>
      <c r="AC63" s="11"/>
      <c r="AD63" s="11"/>
      <c r="AE63" s="11"/>
      <c r="AF63" s="11"/>
      <c r="AG63" s="11"/>
      <c r="AH63" s="11"/>
      <c r="AI63" s="11"/>
      <c r="AJ63" s="11"/>
      <c r="AK63" s="11"/>
      <c r="AL63" s="11"/>
      <c r="AM63" s="11"/>
      <c r="AN63" s="11"/>
      <c r="AO63" s="11"/>
      <c r="AP63" s="11"/>
      <c r="AQ63" s="11"/>
      <c r="AR63" s="5"/>
      <c r="AS63" s="12"/>
      <c r="AT63" s="12"/>
      <c r="AU63" s="12"/>
      <c r="AV63" s="12"/>
      <c r="AW63" s="12"/>
      <c r="AX63" s="12"/>
      <c r="AY63" s="12"/>
      <c r="AZ63" s="12"/>
      <c r="BA63" s="12"/>
      <c r="BB63" s="12"/>
      <c r="BC63" s="12"/>
      <c r="BD63" s="12"/>
      <c r="BE63" s="12"/>
      <c r="BF63" s="12"/>
      <c r="BG63" s="12"/>
      <c r="BH63" s="12"/>
      <c r="BI63" s="12"/>
      <c r="BJ63" s="12"/>
      <c r="BK63" s="12"/>
      <c r="BL63" s="12"/>
      <c r="BM63" s="12"/>
      <c r="BN63" s="12"/>
      <c r="BO63" s="12"/>
      <c r="BP63" s="12"/>
      <c r="BQ63" s="12"/>
      <c r="BR63" s="12"/>
      <c r="BS63" s="12"/>
      <c r="BT63" s="12"/>
      <c r="BU63" s="12"/>
      <c r="BV63" s="12"/>
      <c r="BW63" s="12"/>
      <c r="BX63" s="12"/>
      <c r="BY63" s="12"/>
      <c r="BZ63" s="12"/>
      <c r="CA63" s="12"/>
      <c r="CB63" s="12"/>
      <c r="CC63" s="12"/>
      <c r="CD63" s="12"/>
      <c r="CE63" s="12"/>
      <c r="CF63" s="12"/>
      <c r="CG63" s="12"/>
      <c r="CH63" s="12"/>
      <c r="CI63" s="12"/>
      <c r="CJ63" s="12"/>
      <c r="CK63" s="12"/>
      <c r="CL63" s="12"/>
      <c r="CM63" s="12"/>
      <c r="CN63" s="12"/>
      <c r="CO63" s="12"/>
      <c r="CP63" s="12"/>
      <c r="CQ63" s="12"/>
      <c r="CR63" s="12"/>
      <c r="CS63" s="12"/>
      <c r="CT63" s="12"/>
      <c r="CU63" s="12"/>
      <c r="CV63" s="12"/>
      <c r="CW63" s="12"/>
      <c r="CX63" s="12"/>
      <c r="CY63" s="12"/>
      <c r="CZ63" s="12"/>
      <c r="DA63" s="12"/>
      <c r="DB63" s="12"/>
      <c r="DC63" s="12"/>
      <c r="DD63" s="12"/>
      <c r="DE63" s="12"/>
      <c r="DF63" s="12"/>
      <c r="DG63" s="12"/>
      <c r="DH63" s="12"/>
      <c r="DI63" s="12"/>
      <c r="DJ63" s="12"/>
      <c r="DK63" s="12"/>
      <c r="DL63" s="12"/>
      <c r="DM63" s="12"/>
      <c r="DN63" s="12"/>
      <c r="DO63" s="12"/>
      <c r="DP63" s="12"/>
      <c r="DQ63" s="12"/>
      <c r="DR63" s="12"/>
      <c r="DS63" s="12"/>
      <c r="DT63" s="12"/>
      <c r="DU63" s="12"/>
      <c r="DV63" s="12"/>
      <c r="DW63" s="12"/>
      <c r="DX63" s="12"/>
      <c r="DY63" s="12"/>
      <c r="DZ63" s="12"/>
      <c r="EA63" s="12"/>
      <c r="EB63" s="12"/>
      <c r="EC63" s="12"/>
      <c r="ED63" s="12"/>
      <c r="EE63" s="12"/>
      <c r="EF63" s="12"/>
      <c r="EG63" s="12"/>
      <c r="EH63" s="12"/>
      <c r="EI63" s="12"/>
      <c r="EJ63" s="12"/>
      <c r="EK63" s="12"/>
      <c r="EL63" s="12"/>
      <c r="EM63" s="12"/>
      <c r="EN63" s="12"/>
      <c r="EO63" s="12"/>
      <c r="EP63" s="12"/>
      <c r="EQ63" s="12"/>
      <c r="ER63" s="12"/>
      <c r="ES63" s="12"/>
      <c r="ET63" s="12"/>
      <c r="EU63" s="12"/>
      <c r="EV63" s="12"/>
      <c r="EW63" s="12"/>
      <c r="EX63" s="12"/>
      <c r="EY63" s="12"/>
      <c r="EZ63" s="12"/>
      <c r="FA63" s="12"/>
      <c r="FB63" s="12"/>
      <c r="FC63" s="12"/>
      <c r="FD63" s="12"/>
      <c r="FE63" s="12"/>
      <c r="FF63" s="12"/>
      <c r="FG63" s="12"/>
      <c r="FH63" s="12"/>
      <c r="FI63" s="12"/>
      <c r="FJ63" s="12"/>
      <c r="FK63" s="12"/>
      <c r="FL63" s="12"/>
      <c r="FM63" s="12"/>
      <c r="FN63" s="12"/>
      <c r="FO63" s="12"/>
      <c r="FP63" s="12"/>
      <c r="FQ63" s="12"/>
      <c r="FR63" s="12"/>
      <c r="FS63" s="12"/>
      <c r="FT63" s="12"/>
      <c r="FU63" s="12"/>
      <c r="FV63" s="12"/>
      <c r="FW63" s="12"/>
      <c r="FX63" s="12"/>
      <c r="FY63" s="12"/>
      <c r="FZ63" s="12"/>
      <c r="GA63" s="12"/>
      <c r="GB63" s="12"/>
      <c r="GC63" s="12"/>
      <c r="GD63" s="12"/>
      <c r="GE63" s="12"/>
      <c r="GF63" s="12"/>
      <c r="GG63" s="12"/>
      <c r="GH63" s="12"/>
      <c r="GI63" s="12"/>
      <c r="GJ63" s="12"/>
      <c r="GK63" s="12"/>
      <c r="GL63" s="12"/>
      <c r="GM63" s="12"/>
      <c r="GN63" s="12"/>
      <c r="GO63" s="12"/>
      <c r="GP63" s="12"/>
      <c r="GQ63" s="12"/>
      <c r="GR63" s="12"/>
      <c r="GS63" s="12"/>
      <c r="GT63" s="12"/>
      <c r="GU63" s="12"/>
      <c r="GV63" s="12"/>
      <c r="GW63" s="12"/>
      <c r="GX63" s="12"/>
      <c r="GY63" s="12"/>
      <c r="GZ63" s="12"/>
      <c r="HA63" s="12"/>
      <c r="HB63" s="12"/>
      <c r="HC63" s="12"/>
      <c r="HD63" s="12"/>
      <c r="HE63" s="12"/>
      <c r="HF63" s="12"/>
      <c r="HG63" s="12"/>
      <c r="HH63" s="12"/>
      <c r="HI63" s="12"/>
      <c r="HJ63" s="12"/>
      <c r="HK63" s="12"/>
      <c r="HL63" s="12"/>
      <c r="HM63" s="12"/>
      <c r="HN63" s="12"/>
      <c r="HO63" s="12"/>
      <c r="HP63" s="12"/>
      <c r="HQ63" s="12"/>
      <c r="HR63" s="12"/>
      <c r="HS63" s="12"/>
      <c r="HT63" s="12"/>
      <c r="HU63" s="12"/>
      <c r="HV63" s="12"/>
      <c r="HW63" s="12"/>
      <c r="HX63" s="12"/>
      <c r="HY63" s="12"/>
      <c r="HZ63" s="12"/>
      <c r="IA63" s="12"/>
      <c r="IB63" s="12"/>
      <c r="IC63" s="12"/>
      <c r="ID63" s="12"/>
      <c r="IE63" s="12"/>
      <c r="IF63" s="12"/>
      <c r="IG63" s="12"/>
      <c r="IH63" s="12"/>
      <c r="II63" s="12"/>
      <c r="IJ63" s="12"/>
      <c r="IK63" s="12"/>
      <c r="IL63" s="12"/>
      <c r="IM63" s="12"/>
      <c r="IN63" s="12"/>
      <c r="IO63" s="12"/>
      <c r="IP63" s="12"/>
      <c r="IQ63" s="12"/>
      <c r="IR63" s="12"/>
      <c r="IS63" s="12"/>
      <c r="IT63" s="12"/>
      <c r="IU63" s="12"/>
      <c r="IV63" s="12"/>
      <c r="IW63" s="12"/>
    </row>
    <row r="64" customFormat="false" ht="11.25" hidden="false" customHeight="false" outlineLevel="0" collapsed="false">
      <c r="A64" s="30" t="n">
        <f aca="false">DATE(YEAR(A63),MONTH(A63)+1,1)</f>
        <v>47665</v>
      </c>
      <c r="B64" s="21" t="n">
        <v>1.94</v>
      </c>
      <c r="C64" s="21" t="n">
        <v>1.95</v>
      </c>
      <c r="D64" s="30" t="n">
        <f aca="false">DATE(YEAR(D63),MONTH(D63)+1,1)</f>
        <v>47665</v>
      </c>
      <c r="E64" s="21" t="n">
        <v>18.494</v>
      </c>
      <c r="F64" s="21" t="n">
        <v>18.67</v>
      </c>
      <c r="G64" s="6"/>
      <c r="H64" s="22" t="n">
        <f aca="false">A64</f>
        <v>47665</v>
      </c>
      <c r="I64" s="23" t="n">
        <f aca="false">IF($J$1="bid",B64,C64)</f>
        <v>1.95</v>
      </c>
      <c r="J64" s="24" t="n">
        <f aca="false">D64</f>
        <v>47665</v>
      </c>
      <c r="K64" s="23" t="n">
        <f aca="false">IF($J$1="bid",E64,F64)</f>
        <v>18.67</v>
      </c>
      <c r="L64" s="11"/>
      <c r="M64" s="11"/>
      <c r="N64" s="11"/>
      <c r="O64" s="11"/>
      <c r="P64" s="11"/>
      <c r="Q64" s="11"/>
      <c r="R64" s="11"/>
      <c r="S64" s="11"/>
      <c r="T64" s="11"/>
      <c r="U64" s="11"/>
      <c r="V64" s="11"/>
      <c r="W64" s="11"/>
      <c r="X64" s="11"/>
      <c r="Y64" s="11"/>
      <c r="Z64" s="11"/>
      <c r="AA64" s="11"/>
      <c r="AB64" s="11"/>
      <c r="AC64" s="11"/>
      <c r="AD64" s="11"/>
      <c r="AE64" s="11"/>
      <c r="AF64" s="11"/>
      <c r="AG64" s="11"/>
      <c r="AH64" s="11"/>
      <c r="AI64" s="11"/>
      <c r="AJ64" s="11"/>
      <c r="AK64" s="11"/>
      <c r="AL64" s="11"/>
      <c r="AM64" s="11"/>
      <c r="AN64" s="11"/>
      <c r="AO64" s="11"/>
      <c r="AP64" s="11"/>
      <c r="AQ64" s="11"/>
      <c r="AR64" s="5"/>
      <c r="AS64" s="12"/>
      <c r="AT64" s="12"/>
      <c r="AU64" s="12"/>
      <c r="AV64" s="12"/>
      <c r="AW64" s="12"/>
      <c r="AX64" s="12"/>
      <c r="AY64" s="12"/>
      <c r="AZ64" s="12"/>
      <c r="BA64" s="12"/>
      <c r="BB64" s="12"/>
      <c r="BC64" s="12"/>
      <c r="BD64" s="12"/>
      <c r="BE64" s="12"/>
      <c r="BF64" s="12"/>
      <c r="BG64" s="12"/>
      <c r="BH64" s="12"/>
      <c r="BI64" s="12"/>
      <c r="BJ64" s="12"/>
      <c r="BK64" s="12"/>
      <c r="BL64" s="12"/>
      <c r="BM64" s="12"/>
      <c r="BN64" s="12"/>
      <c r="BO64" s="12"/>
      <c r="BP64" s="12"/>
      <c r="BQ64" s="12"/>
      <c r="BR64" s="12"/>
      <c r="BS64" s="12"/>
      <c r="BT64" s="12"/>
      <c r="BU64" s="12"/>
      <c r="BV64" s="12"/>
      <c r="BW64" s="12"/>
      <c r="BX64" s="12"/>
      <c r="BY64" s="12"/>
      <c r="BZ64" s="12"/>
      <c r="CA64" s="12"/>
      <c r="CB64" s="12"/>
      <c r="CC64" s="12"/>
      <c r="CD64" s="12"/>
      <c r="CE64" s="12"/>
      <c r="CF64" s="12"/>
      <c r="CG64" s="12"/>
      <c r="CH64" s="12"/>
      <c r="CI64" s="12"/>
      <c r="CJ64" s="12"/>
      <c r="CK64" s="12"/>
      <c r="CL64" s="12"/>
      <c r="CM64" s="12"/>
      <c r="CN64" s="12"/>
      <c r="CO64" s="12"/>
      <c r="CP64" s="12"/>
      <c r="CQ64" s="12"/>
      <c r="CR64" s="12"/>
      <c r="CS64" s="12"/>
      <c r="CT64" s="12"/>
      <c r="CU64" s="12"/>
      <c r="CV64" s="12"/>
      <c r="CW64" s="12"/>
      <c r="CX64" s="12"/>
      <c r="CY64" s="12"/>
      <c r="CZ64" s="12"/>
      <c r="DA64" s="12"/>
      <c r="DB64" s="12"/>
      <c r="DC64" s="12"/>
      <c r="DD64" s="12"/>
      <c r="DE64" s="12"/>
      <c r="DF64" s="12"/>
      <c r="DG64" s="12"/>
      <c r="DH64" s="12"/>
      <c r="DI64" s="12"/>
      <c r="DJ64" s="12"/>
      <c r="DK64" s="12"/>
      <c r="DL64" s="12"/>
      <c r="DM64" s="12"/>
      <c r="DN64" s="12"/>
      <c r="DO64" s="12"/>
      <c r="DP64" s="12"/>
      <c r="DQ64" s="12"/>
      <c r="DR64" s="12"/>
      <c r="DS64" s="12"/>
      <c r="DT64" s="12"/>
      <c r="DU64" s="12"/>
      <c r="DV64" s="12"/>
      <c r="DW64" s="12"/>
      <c r="DX64" s="12"/>
      <c r="DY64" s="12"/>
      <c r="DZ64" s="12"/>
      <c r="EA64" s="12"/>
      <c r="EB64" s="12"/>
      <c r="EC64" s="12"/>
      <c r="ED64" s="12"/>
      <c r="EE64" s="12"/>
      <c r="EF64" s="12"/>
      <c r="EG64" s="12"/>
      <c r="EH64" s="12"/>
      <c r="EI64" s="12"/>
      <c r="EJ64" s="12"/>
      <c r="EK64" s="12"/>
      <c r="EL64" s="12"/>
      <c r="EM64" s="12"/>
      <c r="EN64" s="12"/>
      <c r="EO64" s="12"/>
      <c r="EP64" s="12"/>
      <c r="EQ64" s="12"/>
      <c r="ER64" s="12"/>
      <c r="ES64" s="12"/>
      <c r="ET64" s="12"/>
      <c r="EU64" s="12"/>
      <c r="EV64" s="12"/>
      <c r="EW64" s="12"/>
      <c r="EX64" s="12"/>
      <c r="EY64" s="12"/>
      <c r="EZ64" s="12"/>
      <c r="FA64" s="12"/>
      <c r="FB64" s="12"/>
      <c r="FC64" s="12"/>
      <c r="FD64" s="12"/>
      <c r="FE64" s="12"/>
      <c r="FF64" s="12"/>
      <c r="FG64" s="12"/>
      <c r="FH64" s="12"/>
      <c r="FI64" s="12"/>
      <c r="FJ64" s="12"/>
      <c r="FK64" s="12"/>
      <c r="FL64" s="12"/>
      <c r="FM64" s="12"/>
      <c r="FN64" s="12"/>
      <c r="FO64" s="12"/>
      <c r="FP64" s="12"/>
      <c r="FQ64" s="12"/>
      <c r="FR64" s="12"/>
      <c r="FS64" s="12"/>
      <c r="FT64" s="12"/>
      <c r="FU64" s="12"/>
      <c r="FV64" s="12"/>
      <c r="FW64" s="12"/>
      <c r="FX64" s="12"/>
      <c r="FY64" s="12"/>
      <c r="FZ64" s="12"/>
      <c r="GA64" s="12"/>
      <c r="GB64" s="12"/>
      <c r="GC64" s="12"/>
      <c r="GD64" s="12"/>
      <c r="GE64" s="12"/>
      <c r="GF64" s="12"/>
      <c r="GG64" s="12"/>
      <c r="GH64" s="12"/>
      <c r="GI64" s="12"/>
      <c r="GJ64" s="12"/>
      <c r="GK64" s="12"/>
      <c r="GL64" s="12"/>
      <c r="GM64" s="12"/>
      <c r="GN64" s="12"/>
      <c r="GO64" s="12"/>
      <c r="GP64" s="12"/>
      <c r="GQ64" s="12"/>
      <c r="GR64" s="12"/>
      <c r="GS64" s="12"/>
      <c r="GT64" s="12"/>
      <c r="GU64" s="12"/>
      <c r="GV64" s="12"/>
      <c r="GW64" s="12"/>
      <c r="GX64" s="12"/>
      <c r="GY64" s="12"/>
      <c r="GZ64" s="12"/>
      <c r="HA64" s="12"/>
      <c r="HB64" s="12"/>
      <c r="HC64" s="12"/>
      <c r="HD64" s="12"/>
      <c r="HE64" s="12"/>
      <c r="HF64" s="12"/>
      <c r="HG64" s="12"/>
      <c r="HH64" s="12"/>
      <c r="HI64" s="12"/>
      <c r="HJ64" s="12"/>
      <c r="HK64" s="12"/>
      <c r="HL64" s="12"/>
      <c r="HM64" s="12"/>
      <c r="HN64" s="12"/>
      <c r="HO64" s="12"/>
      <c r="HP64" s="12"/>
      <c r="HQ64" s="12"/>
      <c r="HR64" s="12"/>
      <c r="HS64" s="12"/>
      <c r="HT64" s="12"/>
      <c r="HU64" s="12"/>
      <c r="HV64" s="12"/>
      <c r="HW64" s="12"/>
      <c r="HX64" s="12"/>
      <c r="HY64" s="12"/>
      <c r="HZ64" s="12"/>
      <c r="IA64" s="12"/>
      <c r="IB64" s="12"/>
      <c r="IC64" s="12"/>
      <c r="ID64" s="12"/>
      <c r="IE64" s="12"/>
      <c r="IF64" s="12"/>
      <c r="IG64" s="12"/>
      <c r="IH64" s="12"/>
      <c r="II64" s="12"/>
      <c r="IJ64" s="12"/>
      <c r="IK64" s="12"/>
      <c r="IL64" s="12"/>
      <c r="IM64" s="12"/>
      <c r="IN64" s="12"/>
      <c r="IO64" s="12"/>
      <c r="IP64" s="12"/>
      <c r="IQ64" s="12"/>
      <c r="IR64" s="12"/>
      <c r="IS64" s="12"/>
      <c r="IT64" s="12"/>
      <c r="IU64" s="12"/>
      <c r="IV64" s="12"/>
      <c r="IW64" s="12"/>
    </row>
    <row r="65" customFormat="false" ht="11.25" hidden="false" customHeight="false" outlineLevel="0" collapsed="false">
      <c r="A65" s="30" t="n">
        <f aca="false">DATE(YEAR(A64),MONTH(A64)+1,1)</f>
        <v>47696</v>
      </c>
      <c r="B65" s="21" t="n">
        <v>1.94</v>
      </c>
      <c r="C65" s="21" t="n">
        <v>1.95</v>
      </c>
      <c r="D65" s="30" t="n">
        <f aca="false">DATE(YEAR(D64),MONTH(D64)+1,1)</f>
        <v>47696</v>
      </c>
      <c r="E65" s="21" t="n">
        <v>18.5</v>
      </c>
      <c r="F65" s="21" t="n">
        <v>18.682</v>
      </c>
      <c r="G65" s="6"/>
      <c r="H65" s="22" t="n">
        <f aca="false">A65</f>
        <v>47696</v>
      </c>
      <c r="I65" s="23" t="n">
        <f aca="false">IF($J$1="bid",B65,C65)</f>
        <v>1.95</v>
      </c>
      <c r="J65" s="24" t="n">
        <f aca="false">D65</f>
        <v>47696</v>
      </c>
      <c r="K65" s="23" t="n">
        <f aca="false">IF($J$1="bid",E65,F65)</f>
        <v>18.682</v>
      </c>
      <c r="L65" s="11"/>
      <c r="M65" s="11"/>
      <c r="N65" s="11"/>
      <c r="O65" s="11"/>
      <c r="P65" s="11"/>
      <c r="Q65" s="11"/>
      <c r="R65" s="11"/>
      <c r="S65" s="11"/>
      <c r="T65" s="11"/>
      <c r="U65" s="11"/>
      <c r="V65" s="11"/>
      <c r="W65" s="11"/>
      <c r="X65" s="11"/>
      <c r="Y65" s="11"/>
      <c r="Z65" s="11"/>
      <c r="AA65" s="11"/>
      <c r="AB65" s="11"/>
      <c r="AC65" s="11"/>
      <c r="AD65" s="11"/>
      <c r="AE65" s="11"/>
      <c r="AF65" s="11"/>
      <c r="AG65" s="11"/>
      <c r="AH65" s="11"/>
      <c r="AI65" s="11"/>
      <c r="AJ65" s="11"/>
      <c r="AK65" s="11"/>
      <c r="AL65" s="11"/>
      <c r="AM65" s="11"/>
      <c r="AN65" s="11"/>
      <c r="AO65" s="11"/>
      <c r="AP65" s="11"/>
      <c r="AQ65" s="11"/>
      <c r="AR65" s="5"/>
      <c r="AS65" s="12"/>
      <c r="AT65" s="12"/>
      <c r="AU65" s="12"/>
      <c r="AV65" s="12"/>
      <c r="AW65" s="12"/>
      <c r="AX65" s="12"/>
      <c r="AY65" s="12"/>
      <c r="AZ65" s="12"/>
      <c r="BA65" s="12"/>
      <c r="BB65" s="12"/>
      <c r="BC65" s="12"/>
      <c r="BD65" s="12"/>
      <c r="BE65" s="12"/>
      <c r="BF65" s="12"/>
      <c r="BG65" s="12"/>
      <c r="BH65" s="12"/>
      <c r="BI65" s="12"/>
      <c r="BJ65" s="12"/>
      <c r="BK65" s="12"/>
      <c r="BL65" s="12"/>
      <c r="BM65" s="12"/>
      <c r="BN65" s="12"/>
      <c r="BO65" s="12"/>
      <c r="BP65" s="12"/>
      <c r="BQ65" s="12"/>
      <c r="BR65" s="12"/>
      <c r="BS65" s="12"/>
      <c r="BT65" s="12"/>
      <c r="BU65" s="12"/>
      <c r="BV65" s="12"/>
      <c r="BW65" s="12"/>
      <c r="BX65" s="12"/>
      <c r="BY65" s="12"/>
      <c r="BZ65" s="12"/>
      <c r="CA65" s="12"/>
      <c r="CB65" s="12"/>
      <c r="CC65" s="12"/>
      <c r="CD65" s="12"/>
      <c r="CE65" s="12"/>
      <c r="CF65" s="12"/>
      <c r="CG65" s="12"/>
      <c r="CH65" s="12"/>
      <c r="CI65" s="12"/>
      <c r="CJ65" s="12"/>
      <c r="CK65" s="12"/>
      <c r="CL65" s="12"/>
      <c r="CM65" s="12"/>
      <c r="CN65" s="12"/>
      <c r="CO65" s="12"/>
      <c r="CP65" s="12"/>
      <c r="CQ65" s="12"/>
      <c r="CR65" s="12"/>
      <c r="CS65" s="12"/>
      <c r="CT65" s="12"/>
      <c r="CU65" s="12"/>
      <c r="CV65" s="12"/>
      <c r="CW65" s="12"/>
      <c r="CX65" s="12"/>
      <c r="CY65" s="12"/>
      <c r="CZ65" s="12"/>
      <c r="DA65" s="12"/>
      <c r="DB65" s="12"/>
      <c r="DC65" s="12"/>
      <c r="DD65" s="12"/>
      <c r="DE65" s="12"/>
      <c r="DF65" s="12"/>
      <c r="DG65" s="12"/>
      <c r="DH65" s="12"/>
      <c r="DI65" s="12"/>
      <c r="DJ65" s="12"/>
      <c r="DK65" s="12"/>
      <c r="DL65" s="12"/>
      <c r="DM65" s="12"/>
      <c r="DN65" s="12"/>
      <c r="DO65" s="12"/>
      <c r="DP65" s="12"/>
      <c r="DQ65" s="12"/>
      <c r="DR65" s="12"/>
      <c r="DS65" s="12"/>
      <c r="DT65" s="12"/>
      <c r="DU65" s="12"/>
      <c r="DV65" s="12"/>
      <c r="DW65" s="12"/>
      <c r="DX65" s="12"/>
      <c r="DY65" s="12"/>
      <c r="DZ65" s="12"/>
      <c r="EA65" s="12"/>
      <c r="EB65" s="12"/>
      <c r="EC65" s="12"/>
      <c r="ED65" s="12"/>
      <c r="EE65" s="12"/>
      <c r="EF65" s="12"/>
      <c r="EG65" s="12"/>
      <c r="EH65" s="12"/>
      <c r="EI65" s="12"/>
      <c r="EJ65" s="12"/>
      <c r="EK65" s="12"/>
      <c r="EL65" s="12"/>
      <c r="EM65" s="12"/>
      <c r="EN65" s="12"/>
      <c r="EO65" s="12"/>
      <c r="EP65" s="12"/>
      <c r="EQ65" s="12"/>
      <c r="ER65" s="12"/>
      <c r="ES65" s="12"/>
      <c r="ET65" s="12"/>
      <c r="EU65" s="12"/>
      <c r="EV65" s="12"/>
      <c r="EW65" s="12"/>
      <c r="EX65" s="12"/>
      <c r="EY65" s="12"/>
      <c r="EZ65" s="12"/>
      <c r="FA65" s="12"/>
      <c r="FB65" s="12"/>
      <c r="FC65" s="12"/>
      <c r="FD65" s="12"/>
      <c r="FE65" s="12"/>
      <c r="FF65" s="12"/>
      <c r="FG65" s="12"/>
      <c r="FH65" s="12"/>
      <c r="FI65" s="12"/>
      <c r="FJ65" s="12"/>
      <c r="FK65" s="12"/>
      <c r="FL65" s="12"/>
      <c r="FM65" s="12"/>
      <c r="FN65" s="12"/>
      <c r="FO65" s="12"/>
      <c r="FP65" s="12"/>
      <c r="FQ65" s="12"/>
      <c r="FR65" s="12"/>
      <c r="FS65" s="12"/>
      <c r="FT65" s="12"/>
      <c r="FU65" s="12"/>
      <c r="FV65" s="12"/>
      <c r="FW65" s="12"/>
      <c r="FX65" s="12"/>
      <c r="FY65" s="12"/>
      <c r="FZ65" s="12"/>
      <c r="GA65" s="12"/>
      <c r="GB65" s="12"/>
      <c r="GC65" s="12"/>
      <c r="GD65" s="12"/>
      <c r="GE65" s="12"/>
      <c r="GF65" s="12"/>
      <c r="GG65" s="12"/>
      <c r="GH65" s="12"/>
      <c r="GI65" s="12"/>
      <c r="GJ65" s="12"/>
      <c r="GK65" s="12"/>
      <c r="GL65" s="12"/>
      <c r="GM65" s="12"/>
      <c r="GN65" s="12"/>
      <c r="GO65" s="12"/>
      <c r="GP65" s="12"/>
      <c r="GQ65" s="12"/>
      <c r="GR65" s="12"/>
      <c r="GS65" s="12"/>
      <c r="GT65" s="12"/>
      <c r="GU65" s="12"/>
      <c r="GV65" s="12"/>
      <c r="GW65" s="12"/>
      <c r="GX65" s="12"/>
      <c r="GY65" s="12"/>
      <c r="GZ65" s="12"/>
      <c r="HA65" s="12"/>
      <c r="HB65" s="12"/>
      <c r="HC65" s="12"/>
      <c r="HD65" s="12"/>
      <c r="HE65" s="12"/>
      <c r="HF65" s="12"/>
      <c r="HG65" s="12"/>
      <c r="HH65" s="12"/>
      <c r="HI65" s="12"/>
      <c r="HJ65" s="12"/>
      <c r="HK65" s="12"/>
      <c r="HL65" s="12"/>
      <c r="HM65" s="12"/>
      <c r="HN65" s="12"/>
      <c r="HO65" s="12"/>
      <c r="HP65" s="12"/>
      <c r="HQ65" s="12"/>
      <c r="HR65" s="12"/>
      <c r="HS65" s="12"/>
      <c r="HT65" s="12"/>
      <c r="HU65" s="12"/>
      <c r="HV65" s="12"/>
      <c r="HW65" s="12"/>
      <c r="HX65" s="12"/>
      <c r="HY65" s="12"/>
      <c r="HZ65" s="12"/>
      <c r="IA65" s="12"/>
      <c r="IB65" s="12"/>
      <c r="IC65" s="12"/>
      <c r="ID65" s="12"/>
      <c r="IE65" s="12"/>
      <c r="IF65" s="12"/>
      <c r="IG65" s="12"/>
      <c r="IH65" s="12"/>
      <c r="II65" s="12"/>
      <c r="IJ65" s="12"/>
      <c r="IK65" s="12"/>
      <c r="IL65" s="12"/>
      <c r="IM65" s="12"/>
      <c r="IN65" s="12"/>
      <c r="IO65" s="12"/>
      <c r="IP65" s="12"/>
      <c r="IQ65" s="12"/>
      <c r="IR65" s="12"/>
      <c r="IS65" s="12"/>
      <c r="IT65" s="12"/>
      <c r="IU65" s="12"/>
      <c r="IV65" s="12"/>
      <c r="IW65" s="12"/>
    </row>
    <row r="66" customFormat="false" ht="11.25" hidden="false" customHeight="false" outlineLevel="0" collapsed="false">
      <c r="A66" s="25" t="n">
        <f aca="false">DATE(YEAR(A65),MONTH(A65)+1,1)</f>
        <v>47727</v>
      </c>
      <c r="B66" s="21" t="n">
        <v>2.014</v>
      </c>
      <c r="C66" s="21" t="n">
        <v>2.024</v>
      </c>
      <c r="D66" s="25" t="n">
        <f aca="false">DATE(YEAR(D65),MONTH(D65)+1,1)</f>
        <v>47727</v>
      </c>
      <c r="E66" s="21" t="n">
        <v>18.508</v>
      </c>
      <c r="F66" s="21" t="n">
        <v>18.696</v>
      </c>
      <c r="G66" s="6"/>
      <c r="H66" s="22" t="n">
        <f aca="false">A66</f>
        <v>47727</v>
      </c>
      <c r="I66" s="23" t="n">
        <f aca="false">IF($J$1="bid",B66,C66)</f>
        <v>2.024</v>
      </c>
      <c r="J66" s="24" t="n">
        <f aca="false">D66</f>
        <v>47727</v>
      </c>
      <c r="K66" s="23" t="n">
        <f aca="false">IF($J$1="bid",E66,F66)</f>
        <v>18.696</v>
      </c>
      <c r="L66" s="11"/>
      <c r="M66" s="11"/>
      <c r="N66" s="11"/>
      <c r="O66" s="11"/>
      <c r="P66" s="11"/>
      <c r="Q66" s="11"/>
      <c r="R66" s="11"/>
      <c r="S66" s="11"/>
      <c r="T66" s="11"/>
      <c r="U66" s="11"/>
      <c r="V66" s="11"/>
      <c r="W66" s="11"/>
      <c r="X66" s="11"/>
      <c r="Y66" s="11"/>
      <c r="Z66" s="11"/>
      <c r="AA66" s="11"/>
      <c r="AB66" s="11"/>
      <c r="AC66" s="11"/>
      <c r="AD66" s="11"/>
      <c r="AE66" s="11"/>
      <c r="AF66" s="11"/>
      <c r="AG66" s="11"/>
      <c r="AH66" s="11"/>
      <c r="AI66" s="11"/>
      <c r="AJ66" s="11"/>
      <c r="AK66" s="11"/>
      <c r="AL66" s="11"/>
      <c r="AM66" s="11"/>
      <c r="AN66" s="11"/>
      <c r="AO66" s="11"/>
      <c r="AP66" s="11"/>
      <c r="AQ66" s="11"/>
      <c r="AR66" s="5"/>
      <c r="AS66" s="12"/>
      <c r="AT66" s="12"/>
      <c r="AU66" s="12"/>
      <c r="AV66" s="12"/>
      <c r="AW66" s="12"/>
      <c r="AX66" s="12"/>
      <c r="AY66" s="12"/>
      <c r="AZ66" s="12"/>
      <c r="BA66" s="12"/>
      <c r="BB66" s="12"/>
      <c r="BC66" s="12"/>
      <c r="BD66" s="12"/>
      <c r="BE66" s="12"/>
      <c r="BF66" s="12"/>
      <c r="BG66" s="12"/>
      <c r="BH66" s="12"/>
      <c r="BI66" s="12"/>
      <c r="BJ66" s="12"/>
      <c r="BK66" s="12"/>
      <c r="BL66" s="12"/>
      <c r="BM66" s="12"/>
      <c r="BN66" s="12"/>
      <c r="BO66" s="12"/>
      <c r="BP66" s="12"/>
      <c r="BQ66" s="12"/>
      <c r="BR66" s="12"/>
      <c r="BS66" s="12"/>
      <c r="BT66" s="12"/>
      <c r="BU66" s="12"/>
      <c r="BV66" s="12"/>
      <c r="BW66" s="12"/>
      <c r="BX66" s="12"/>
      <c r="BY66" s="12"/>
      <c r="BZ66" s="12"/>
      <c r="CA66" s="12"/>
      <c r="CB66" s="12"/>
      <c r="CC66" s="12"/>
      <c r="CD66" s="12"/>
      <c r="CE66" s="12"/>
      <c r="CF66" s="12"/>
      <c r="CG66" s="12"/>
      <c r="CH66" s="12"/>
      <c r="CI66" s="12"/>
      <c r="CJ66" s="12"/>
      <c r="CK66" s="12"/>
      <c r="CL66" s="12"/>
      <c r="CM66" s="12"/>
      <c r="CN66" s="12"/>
      <c r="CO66" s="12"/>
      <c r="CP66" s="12"/>
      <c r="CQ66" s="12"/>
      <c r="CR66" s="12"/>
      <c r="CS66" s="12"/>
      <c r="CT66" s="12"/>
      <c r="CU66" s="12"/>
      <c r="CV66" s="12"/>
      <c r="CW66" s="12"/>
      <c r="CX66" s="12"/>
      <c r="CY66" s="12"/>
      <c r="CZ66" s="12"/>
      <c r="DA66" s="12"/>
      <c r="DB66" s="12"/>
      <c r="DC66" s="12"/>
      <c r="DD66" s="12"/>
      <c r="DE66" s="12"/>
      <c r="DF66" s="12"/>
      <c r="DG66" s="12"/>
      <c r="DH66" s="12"/>
      <c r="DI66" s="12"/>
      <c r="DJ66" s="12"/>
      <c r="DK66" s="12"/>
      <c r="DL66" s="12"/>
      <c r="DM66" s="12"/>
      <c r="DN66" s="12"/>
      <c r="DO66" s="12"/>
      <c r="DP66" s="12"/>
      <c r="DQ66" s="12"/>
      <c r="DR66" s="12"/>
      <c r="DS66" s="12"/>
      <c r="DT66" s="12"/>
      <c r="DU66" s="12"/>
      <c r="DV66" s="12"/>
      <c r="DW66" s="12"/>
      <c r="DX66" s="12"/>
      <c r="DY66" s="12"/>
      <c r="DZ66" s="12"/>
      <c r="EA66" s="12"/>
      <c r="EB66" s="12"/>
      <c r="EC66" s="12"/>
      <c r="ED66" s="12"/>
      <c r="EE66" s="12"/>
      <c r="EF66" s="12"/>
      <c r="EG66" s="12"/>
      <c r="EH66" s="12"/>
      <c r="EI66" s="12"/>
      <c r="EJ66" s="12"/>
      <c r="EK66" s="12"/>
      <c r="EL66" s="12"/>
      <c r="EM66" s="12"/>
      <c r="EN66" s="12"/>
      <c r="EO66" s="12"/>
      <c r="EP66" s="12"/>
      <c r="EQ66" s="12"/>
      <c r="ER66" s="12"/>
      <c r="ES66" s="12"/>
      <c r="ET66" s="12"/>
      <c r="EU66" s="12"/>
      <c r="EV66" s="12"/>
      <c r="EW66" s="12"/>
      <c r="EX66" s="12"/>
      <c r="EY66" s="12"/>
      <c r="EZ66" s="12"/>
      <c r="FA66" s="12"/>
      <c r="FB66" s="12"/>
      <c r="FC66" s="12"/>
      <c r="FD66" s="12"/>
      <c r="FE66" s="12"/>
      <c r="FF66" s="12"/>
      <c r="FG66" s="12"/>
      <c r="FH66" s="12"/>
      <c r="FI66" s="12"/>
      <c r="FJ66" s="12"/>
      <c r="FK66" s="12"/>
      <c r="FL66" s="12"/>
      <c r="FM66" s="12"/>
      <c r="FN66" s="12"/>
      <c r="FO66" s="12"/>
      <c r="FP66" s="12"/>
      <c r="FQ66" s="12"/>
      <c r="FR66" s="12"/>
      <c r="FS66" s="12"/>
      <c r="FT66" s="12"/>
      <c r="FU66" s="12"/>
      <c r="FV66" s="12"/>
      <c r="FW66" s="12"/>
      <c r="FX66" s="12"/>
      <c r="FY66" s="12"/>
      <c r="FZ66" s="12"/>
      <c r="GA66" s="12"/>
      <c r="GB66" s="12"/>
      <c r="GC66" s="12"/>
      <c r="GD66" s="12"/>
      <c r="GE66" s="12"/>
      <c r="GF66" s="12"/>
      <c r="GG66" s="12"/>
      <c r="GH66" s="12"/>
      <c r="GI66" s="12"/>
      <c r="GJ66" s="12"/>
      <c r="GK66" s="12"/>
      <c r="GL66" s="12"/>
      <c r="GM66" s="12"/>
      <c r="GN66" s="12"/>
      <c r="GO66" s="12"/>
      <c r="GP66" s="12"/>
      <c r="GQ66" s="12"/>
      <c r="GR66" s="12"/>
      <c r="GS66" s="12"/>
      <c r="GT66" s="12"/>
      <c r="GU66" s="12"/>
      <c r="GV66" s="12"/>
      <c r="GW66" s="12"/>
      <c r="GX66" s="12"/>
      <c r="GY66" s="12"/>
      <c r="GZ66" s="12"/>
      <c r="HA66" s="12"/>
      <c r="HB66" s="12"/>
      <c r="HC66" s="12"/>
      <c r="HD66" s="12"/>
      <c r="HE66" s="12"/>
      <c r="HF66" s="12"/>
      <c r="HG66" s="12"/>
      <c r="HH66" s="12"/>
      <c r="HI66" s="12"/>
      <c r="HJ66" s="12"/>
      <c r="HK66" s="12"/>
      <c r="HL66" s="12"/>
      <c r="HM66" s="12"/>
      <c r="HN66" s="12"/>
      <c r="HO66" s="12"/>
      <c r="HP66" s="12"/>
      <c r="HQ66" s="12"/>
      <c r="HR66" s="12"/>
      <c r="HS66" s="12"/>
      <c r="HT66" s="12"/>
      <c r="HU66" s="12"/>
      <c r="HV66" s="12"/>
      <c r="HW66" s="12"/>
      <c r="HX66" s="12"/>
      <c r="HY66" s="12"/>
      <c r="HZ66" s="12"/>
      <c r="IA66" s="12"/>
      <c r="IB66" s="12"/>
      <c r="IC66" s="12"/>
      <c r="ID66" s="12"/>
      <c r="IE66" s="12"/>
      <c r="IF66" s="12"/>
      <c r="IG66" s="12"/>
      <c r="IH66" s="12"/>
      <c r="II66" s="12"/>
      <c r="IJ66" s="12"/>
      <c r="IK66" s="12"/>
      <c r="IL66" s="12"/>
      <c r="IM66" s="12"/>
      <c r="IN66" s="12"/>
      <c r="IO66" s="12"/>
      <c r="IP66" s="12"/>
      <c r="IQ66" s="12"/>
      <c r="IR66" s="12"/>
      <c r="IS66" s="12"/>
      <c r="IT66" s="12"/>
      <c r="IU66" s="12"/>
      <c r="IV66" s="12"/>
      <c r="IW66" s="12"/>
    </row>
    <row r="67" customFormat="false" ht="11.25" hidden="false" customHeight="false" outlineLevel="0" collapsed="false">
      <c r="A67" s="25" t="n">
        <f aca="false">DATE(YEAR(A66),MONTH(A66)+1,1)</f>
        <v>47757</v>
      </c>
      <c r="B67" s="21" t="n">
        <v>2.132</v>
      </c>
      <c r="C67" s="21" t="n">
        <v>2.142</v>
      </c>
      <c r="D67" s="25" t="n">
        <f aca="false">DATE(YEAR(D66),MONTH(D66)+1,1)</f>
        <v>47757</v>
      </c>
      <c r="E67" s="21" t="n">
        <v>18.513</v>
      </c>
      <c r="F67" s="21" t="n">
        <v>18.71</v>
      </c>
      <c r="G67" s="6"/>
      <c r="H67" s="22" t="n">
        <f aca="false">A67</f>
        <v>47757</v>
      </c>
      <c r="I67" s="23" t="n">
        <f aca="false">IF($J$1="bid",B67,C67)</f>
        <v>2.142</v>
      </c>
      <c r="J67" s="24" t="n">
        <f aca="false">D67</f>
        <v>47757</v>
      </c>
      <c r="K67" s="23" t="n">
        <f aca="false">IF($J$1="bid",E67,F67)</f>
        <v>18.71</v>
      </c>
      <c r="L67" s="11"/>
      <c r="M67" s="11"/>
      <c r="N67" s="11"/>
      <c r="O67" s="11"/>
      <c r="P67" s="11"/>
      <c r="Q67" s="11"/>
      <c r="R67" s="11"/>
      <c r="S67" s="11"/>
      <c r="T67" s="11"/>
      <c r="U67" s="11"/>
      <c r="V67" s="11"/>
      <c r="W67" s="11"/>
      <c r="X67" s="11"/>
      <c r="Y67" s="11"/>
      <c r="Z67" s="11"/>
      <c r="AA67" s="11"/>
      <c r="AB67" s="11"/>
      <c r="AC67" s="11"/>
      <c r="AD67" s="11"/>
      <c r="AE67" s="11"/>
      <c r="AF67" s="11"/>
      <c r="AG67" s="11"/>
      <c r="AH67" s="11"/>
      <c r="AI67" s="11"/>
      <c r="AJ67" s="11"/>
      <c r="AK67" s="11"/>
      <c r="AL67" s="11"/>
      <c r="AM67" s="11"/>
      <c r="AN67" s="11"/>
      <c r="AO67" s="11"/>
      <c r="AP67" s="11"/>
      <c r="AQ67" s="11"/>
      <c r="AR67" s="5"/>
      <c r="AS67" s="12"/>
      <c r="AT67" s="12"/>
      <c r="AU67" s="12"/>
      <c r="AV67" s="12"/>
      <c r="AW67" s="12"/>
      <c r="AX67" s="12"/>
      <c r="AY67" s="12"/>
      <c r="AZ67" s="12"/>
      <c r="BA67" s="12"/>
      <c r="BB67" s="12"/>
      <c r="BC67" s="12"/>
      <c r="BD67" s="12"/>
      <c r="BE67" s="12"/>
      <c r="BF67" s="12"/>
      <c r="BG67" s="12"/>
      <c r="BH67" s="12"/>
      <c r="BI67" s="12"/>
      <c r="BJ67" s="12"/>
      <c r="BK67" s="12"/>
      <c r="BL67" s="12"/>
      <c r="BM67" s="12"/>
      <c r="BN67" s="12"/>
      <c r="BO67" s="12"/>
      <c r="BP67" s="12"/>
      <c r="BQ67" s="12"/>
      <c r="BR67" s="12"/>
      <c r="BS67" s="12"/>
      <c r="BT67" s="12"/>
      <c r="BU67" s="12"/>
      <c r="BV67" s="12"/>
      <c r="BW67" s="12"/>
      <c r="BX67" s="12"/>
      <c r="BY67" s="12"/>
      <c r="BZ67" s="12"/>
      <c r="CA67" s="12"/>
      <c r="CB67" s="12"/>
      <c r="CC67" s="12"/>
      <c r="CD67" s="12"/>
      <c r="CE67" s="12"/>
      <c r="CF67" s="12"/>
      <c r="CG67" s="12"/>
      <c r="CH67" s="12"/>
      <c r="CI67" s="12"/>
      <c r="CJ67" s="12"/>
      <c r="CK67" s="12"/>
      <c r="CL67" s="12"/>
      <c r="CM67" s="12"/>
      <c r="CN67" s="12"/>
      <c r="CO67" s="12"/>
      <c r="CP67" s="12"/>
      <c r="CQ67" s="12"/>
      <c r="CR67" s="12"/>
      <c r="CS67" s="12"/>
      <c r="CT67" s="12"/>
      <c r="CU67" s="12"/>
      <c r="CV67" s="12"/>
      <c r="CW67" s="12"/>
      <c r="CX67" s="12"/>
      <c r="CY67" s="12"/>
      <c r="CZ67" s="12"/>
      <c r="DA67" s="12"/>
      <c r="DB67" s="12"/>
      <c r="DC67" s="12"/>
      <c r="DD67" s="12"/>
      <c r="DE67" s="12"/>
      <c r="DF67" s="12"/>
      <c r="DG67" s="12"/>
      <c r="DH67" s="12"/>
      <c r="DI67" s="12"/>
      <c r="DJ67" s="12"/>
      <c r="DK67" s="12"/>
      <c r="DL67" s="12"/>
      <c r="DM67" s="12"/>
      <c r="DN67" s="12"/>
      <c r="DO67" s="12"/>
      <c r="DP67" s="12"/>
      <c r="DQ67" s="12"/>
      <c r="DR67" s="12"/>
      <c r="DS67" s="12"/>
      <c r="DT67" s="12"/>
      <c r="DU67" s="12"/>
      <c r="DV67" s="12"/>
      <c r="DW67" s="12"/>
      <c r="DX67" s="12"/>
      <c r="DY67" s="12"/>
      <c r="DZ67" s="12"/>
      <c r="EA67" s="12"/>
      <c r="EB67" s="12"/>
      <c r="EC67" s="12"/>
      <c r="ED67" s="12"/>
      <c r="EE67" s="12"/>
      <c r="EF67" s="12"/>
      <c r="EG67" s="12"/>
      <c r="EH67" s="12"/>
      <c r="EI67" s="12"/>
      <c r="EJ67" s="12"/>
      <c r="EK67" s="12"/>
      <c r="EL67" s="12"/>
      <c r="EM67" s="12"/>
      <c r="EN67" s="12"/>
      <c r="EO67" s="12"/>
      <c r="EP67" s="12"/>
      <c r="EQ67" s="12"/>
      <c r="ER67" s="12"/>
      <c r="ES67" s="12"/>
      <c r="ET67" s="12"/>
      <c r="EU67" s="12"/>
      <c r="EV67" s="12"/>
      <c r="EW67" s="12"/>
      <c r="EX67" s="12"/>
      <c r="EY67" s="12"/>
      <c r="EZ67" s="12"/>
      <c r="FA67" s="12"/>
      <c r="FB67" s="12"/>
      <c r="FC67" s="12"/>
      <c r="FD67" s="12"/>
      <c r="FE67" s="12"/>
      <c r="FF67" s="12"/>
      <c r="FG67" s="12"/>
      <c r="FH67" s="12"/>
      <c r="FI67" s="12"/>
      <c r="FJ67" s="12"/>
      <c r="FK67" s="12"/>
      <c r="FL67" s="12"/>
      <c r="FM67" s="12"/>
      <c r="FN67" s="12"/>
      <c r="FO67" s="12"/>
      <c r="FP67" s="12"/>
      <c r="FQ67" s="12"/>
      <c r="FR67" s="12"/>
      <c r="FS67" s="12"/>
      <c r="FT67" s="12"/>
      <c r="FU67" s="12"/>
      <c r="FV67" s="12"/>
      <c r="FW67" s="12"/>
      <c r="FX67" s="12"/>
      <c r="FY67" s="12"/>
      <c r="FZ67" s="12"/>
      <c r="GA67" s="12"/>
      <c r="GB67" s="12"/>
      <c r="GC67" s="12"/>
      <c r="GD67" s="12"/>
      <c r="GE67" s="12"/>
      <c r="GF67" s="12"/>
      <c r="GG67" s="12"/>
      <c r="GH67" s="12"/>
      <c r="GI67" s="12"/>
      <c r="GJ67" s="12"/>
      <c r="GK67" s="12"/>
      <c r="GL67" s="12"/>
      <c r="GM67" s="12"/>
      <c r="GN67" s="12"/>
      <c r="GO67" s="12"/>
      <c r="GP67" s="12"/>
      <c r="GQ67" s="12"/>
      <c r="GR67" s="12"/>
      <c r="GS67" s="12"/>
      <c r="GT67" s="12"/>
      <c r="GU67" s="12"/>
      <c r="GV67" s="12"/>
      <c r="GW67" s="12"/>
      <c r="GX67" s="12"/>
      <c r="GY67" s="12"/>
      <c r="GZ67" s="12"/>
      <c r="HA67" s="12"/>
      <c r="HB67" s="12"/>
      <c r="HC67" s="12"/>
      <c r="HD67" s="12"/>
      <c r="HE67" s="12"/>
      <c r="HF67" s="12"/>
      <c r="HG67" s="12"/>
      <c r="HH67" s="12"/>
      <c r="HI67" s="12"/>
      <c r="HJ67" s="12"/>
      <c r="HK67" s="12"/>
      <c r="HL67" s="12"/>
      <c r="HM67" s="12"/>
      <c r="HN67" s="12"/>
      <c r="HO67" s="12"/>
      <c r="HP67" s="12"/>
      <c r="HQ67" s="12"/>
      <c r="HR67" s="12"/>
      <c r="HS67" s="12"/>
      <c r="HT67" s="12"/>
      <c r="HU67" s="12"/>
      <c r="HV67" s="12"/>
      <c r="HW67" s="12"/>
      <c r="HX67" s="12"/>
      <c r="HY67" s="12"/>
      <c r="HZ67" s="12"/>
      <c r="IA67" s="12"/>
      <c r="IB67" s="12"/>
      <c r="IC67" s="12"/>
      <c r="ID67" s="12"/>
      <c r="IE67" s="12"/>
      <c r="IF67" s="12"/>
      <c r="IG67" s="12"/>
      <c r="IH67" s="12"/>
      <c r="II67" s="12"/>
      <c r="IJ67" s="12"/>
      <c r="IK67" s="12"/>
      <c r="IL67" s="12"/>
      <c r="IM67" s="12"/>
      <c r="IN67" s="12"/>
      <c r="IO67" s="12"/>
      <c r="IP67" s="12"/>
      <c r="IQ67" s="12"/>
      <c r="IR67" s="12"/>
      <c r="IS67" s="12"/>
      <c r="IT67" s="12"/>
      <c r="IU67" s="12"/>
      <c r="IV67" s="12"/>
      <c r="IW67" s="12"/>
    </row>
    <row r="68" customFormat="false" ht="11.25" hidden="false" customHeight="false" outlineLevel="0" collapsed="false">
      <c r="A68" s="25" t="n">
        <f aca="false">DATE(YEAR(A67),MONTH(A67)+1,1)</f>
        <v>47788</v>
      </c>
      <c r="B68" s="21" t="n">
        <v>2.153</v>
      </c>
      <c r="C68" s="21" t="n">
        <v>2.173</v>
      </c>
      <c r="D68" s="25" t="n">
        <f aca="false">DATE(YEAR(D67),MONTH(D67)+1,1)</f>
        <v>47788</v>
      </c>
      <c r="E68" s="21" t="n">
        <v>18.519</v>
      </c>
      <c r="F68" s="21" t="n">
        <v>18.724</v>
      </c>
      <c r="G68" s="6"/>
      <c r="H68" s="22" t="n">
        <f aca="false">A68</f>
        <v>47788</v>
      </c>
      <c r="I68" s="23" t="n">
        <f aca="false">IF($J$1="bid",B68,C68)</f>
        <v>2.173</v>
      </c>
      <c r="J68" s="24" t="n">
        <f aca="false">D68</f>
        <v>47788</v>
      </c>
      <c r="K68" s="23" t="n">
        <f aca="false">IF($J$1="bid",E68,F68)</f>
        <v>18.724</v>
      </c>
      <c r="L68" s="11"/>
      <c r="M68" s="11"/>
      <c r="N68" s="11"/>
      <c r="O68" s="11"/>
      <c r="P68" s="11"/>
      <c r="Q68" s="11"/>
      <c r="R68" s="11"/>
      <c r="S68" s="11"/>
      <c r="T68" s="11"/>
      <c r="U68" s="11"/>
      <c r="V68" s="11"/>
      <c r="W68" s="11"/>
      <c r="X68" s="11"/>
      <c r="Y68" s="11"/>
      <c r="Z68" s="11"/>
      <c r="AA68" s="11"/>
      <c r="AB68" s="11"/>
      <c r="AC68" s="11"/>
      <c r="AD68" s="11"/>
      <c r="AE68" s="11"/>
      <c r="AF68" s="11"/>
      <c r="AG68" s="11"/>
      <c r="AH68" s="11"/>
      <c r="AI68" s="11"/>
      <c r="AJ68" s="11"/>
      <c r="AK68" s="11"/>
      <c r="AL68" s="11"/>
      <c r="AM68" s="11"/>
      <c r="AN68" s="11"/>
      <c r="AO68" s="11"/>
      <c r="AP68" s="11"/>
      <c r="AQ68" s="11"/>
      <c r="AR68" s="5"/>
      <c r="AS68" s="12"/>
      <c r="AT68" s="12"/>
      <c r="AU68" s="12"/>
      <c r="AV68" s="12"/>
      <c r="AW68" s="12"/>
      <c r="AX68" s="12"/>
      <c r="AY68" s="12"/>
      <c r="AZ68" s="12"/>
      <c r="BA68" s="12"/>
      <c r="BB68" s="12"/>
      <c r="BC68" s="12"/>
      <c r="BD68" s="12"/>
      <c r="BE68" s="12"/>
      <c r="BF68" s="12"/>
      <c r="BG68" s="12"/>
      <c r="BH68" s="12"/>
      <c r="BI68" s="12"/>
      <c r="BJ68" s="12"/>
      <c r="BK68" s="12"/>
      <c r="BL68" s="12"/>
      <c r="BM68" s="12"/>
      <c r="BN68" s="12"/>
      <c r="BO68" s="12"/>
      <c r="BP68" s="12"/>
      <c r="BQ68" s="12"/>
      <c r="BR68" s="12"/>
      <c r="BS68" s="12"/>
      <c r="BT68" s="12"/>
      <c r="BU68" s="12"/>
      <c r="BV68" s="12"/>
      <c r="BW68" s="12"/>
      <c r="BX68" s="12"/>
      <c r="BY68" s="12"/>
      <c r="BZ68" s="12"/>
      <c r="CA68" s="12"/>
      <c r="CB68" s="12"/>
      <c r="CC68" s="12"/>
      <c r="CD68" s="12"/>
      <c r="CE68" s="12"/>
      <c r="CF68" s="12"/>
      <c r="CG68" s="12"/>
      <c r="CH68" s="12"/>
      <c r="CI68" s="12"/>
      <c r="CJ68" s="12"/>
      <c r="CK68" s="12"/>
      <c r="CL68" s="12"/>
      <c r="CM68" s="12"/>
      <c r="CN68" s="12"/>
      <c r="CO68" s="12"/>
      <c r="CP68" s="12"/>
      <c r="CQ68" s="12"/>
      <c r="CR68" s="12"/>
      <c r="CS68" s="12"/>
      <c r="CT68" s="12"/>
      <c r="CU68" s="12"/>
      <c r="CV68" s="12"/>
      <c r="CW68" s="12"/>
      <c r="CX68" s="12"/>
      <c r="CY68" s="12"/>
      <c r="CZ68" s="12"/>
      <c r="DA68" s="12"/>
      <c r="DB68" s="12"/>
      <c r="DC68" s="12"/>
      <c r="DD68" s="12"/>
      <c r="DE68" s="12"/>
      <c r="DF68" s="12"/>
      <c r="DG68" s="12"/>
      <c r="DH68" s="12"/>
      <c r="DI68" s="12"/>
      <c r="DJ68" s="12"/>
      <c r="DK68" s="12"/>
      <c r="DL68" s="12"/>
      <c r="DM68" s="12"/>
      <c r="DN68" s="12"/>
      <c r="DO68" s="12"/>
      <c r="DP68" s="12"/>
      <c r="DQ68" s="12"/>
      <c r="DR68" s="12"/>
      <c r="DS68" s="12"/>
      <c r="DT68" s="12"/>
      <c r="DU68" s="12"/>
      <c r="DV68" s="12"/>
      <c r="DW68" s="12"/>
      <c r="DX68" s="12"/>
      <c r="DY68" s="12"/>
      <c r="DZ68" s="12"/>
      <c r="EA68" s="12"/>
      <c r="EB68" s="12"/>
      <c r="EC68" s="12"/>
      <c r="ED68" s="12"/>
      <c r="EE68" s="12"/>
      <c r="EF68" s="12"/>
      <c r="EG68" s="12"/>
      <c r="EH68" s="12"/>
      <c r="EI68" s="12"/>
      <c r="EJ68" s="12"/>
      <c r="EK68" s="12"/>
      <c r="EL68" s="12"/>
      <c r="EM68" s="12"/>
      <c r="EN68" s="12"/>
      <c r="EO68" s="12"/>
      <c r="EP68" s="12"/>
      <c r="EQ68" s="12"/>
      <c r="ER68" s="12"/>
      <c r="ES68" s="12"/>
      <c r="ET68" s="12"/>
      <c r="EU68" s="12"/>
      <c r="EV68" s="12"/>
      <c r="EW68" s="12"/>
      <c r="EX68" s="12"/>
      <c r="EY68" s="12"/>
      <c r="EZ68" s="12"/>
      <c r="FA68" s="12"/>
      <c r="FB68" s="12"/>
      <c r="FC68" s="12"/>
      <c r="FD68" s="12"/>
      <c r="FE68" s="12"/>
      <c r="FF68" s="12"/>
      <c r="FG68" s="12"/>
      <c r="FH68" s="12"/>
      <c r="FI68" s="12"/>
      <c r="FJ68" s="12"/>
      <c r="FK68" s="12"/>
      <c r="FL68" s="12"/>
      <c r="FM68" s="12"/>
      <c r="FN68" s="12"/>
      <c r="FO68" s="12"/>
      <c r="FP68" s="12"/>
      <c r="FQ68" s="12"/>
      <c r="FR68" s="12"/>
      <c r="FS68" s="12"/>
      <c r="FT68" s="12"/>
      <c r="FU68" s="12"/>
      <c r="FV68" s="12"/>
      <c r="FW68" s="12"/>
      <c r="FX68" s="12"/>
      <c r="FY68" s="12"/>
      <c r="FZ68" s="12"/>
      <c r="GA68" s="12"/>
      <c r="GB68" s="12"/>
      <c r="GC68" s="12"/>
      <c r="GD68" s="12"/>
      <c r="GE68" s="12"/>
      <c r="GF68" s="12"/>
      <c r="GG68" s="12"/>
      <c r="GH68" s="12"/>
      <c r="GI68" s="12"/>
      <c r="GJ68" s="12"/>
      <c r="GK68" s="12"/>
      <c r="GL68" s="12"/>
      <c r="GM68" s="12"/>
      <c r="GN68" s="12"/>
      <c r="GO68" s="12"/>
      <c r="GP68" s="12"/>
      <c r="GQ68" s="12"/>
      <c r="GR68" s="12"/>
      <c r="GS68" s="12"/>
      <c r="GT68" s="12"/>
      <c r="GU68" s="12"/>
      <c r="GV68" s="12"/>
      <c r="GW68" s="12"/>
      <c r="GX68" s="12"/>
      <c r="GY68" s="12"/>
      <c r="GZ68" s="12"/>
      <c r="HA68" s="12"/>
      <c r="HB68" s="12"/>
      <c r="HC68" s="12"/>
      <c r="HD68" s="12"/>
      <c r="HE68" s="12"/>
      <c r="HF68" s="12"/>
      <c r="HG68" s="12"/>
      <c r="HH68" s="12"/>
      <c r="HI68" s="12"/>
      <c r="HJ68" s="12"/>
      <c r="HK68" s="12"/>
      <c r="HL68" s="12"/>
      <c r="HM68" s="12"/>
      <c r="HN68" s="12"/>
      <c r="HO68" s="12"/>
      <c r="HP68" s="12"/>
      <c r="HQ68" s="12"/>
      <c r="HR68" s="12"/>
      <c r="HS68" s="12"/>
      <c r="HT68" s="12"/>
      <c r="HU68" s="12"/>
      <c r="HV68" s="12"/>
      <c r="HW68" s="12"/>
      <c r="HX68" s="12"/>
      <c r="HY68" s="12"/>
      <c r="HZ68" s="12"/>
      <c r="IA68" s="12"/>
      <c r="IB68" s="12"/>
      <c r="IC68" s="12"/>
      <c r="ID68" s="12"/>
      <c r="IE68" s="12"/>
      <c r="IF68" s="12"/>
      <c r="IG68" s="12"/>
      <c r="IH68" s="12"/>
      <c r="II68" s="12"/>
      <c r="IJ68" s="12"/>
      <c r="IK68" s="12"/>
      <c r="IL68" s="12"/>
      <c r="IM68" s="12"/>
      <c r="IN68" s="12"/>
      <c r="IO68" s="12"/>
      <c r="IP68" s="12"/>
      <c r="IQ68" s="12"/>
      <c r="IR68" s="12"/>
      <c r="IS68" s="12"/>
      <c r="IT68" s="12"/>
      <c r="IU68" s="12"/>
      <c r="IV68" s="12"/>
      <c r="IW68" s="12"/>
    </row>
    <row r="69" customFormat="false" ht="11.25" hidden="false" customHeight="false" outlineLevel="0" collapsed="false">
      <c r="A69" s="25" t="n">
        <f aca="false">DATE(YEAR(A68),MONTH(A68)+1,1)</f>
        <v>47818</v>
      </c>
      <c r="B69" s="21" t="n">
        <v>2.068</v>
      </c>
      <c r="C69" s="21" t="n">
        <v>2.088</v>
      </c>
      <c r="D69" s="25" t="n">
        <f aca="false">DATE(YEAR(D68),MONTH(D68)+1,1)</f>
        <v>47818</v>
      </c>
      <c r="E69" s="21" t="n">
        <v>18.525</v>
      </c>
      <c r="F69" s="21" t="n">
        <v>18.738</v>
      </c>
      <c r="G69" s="6"/>
      <c r="H69" s="22" t="n">
        <f aca="false">A69</f>
        <v>47818</v>
      </c>
      <c r="I69" s="23" t="n">
        <f aca="false">IF($J$1="bid",B69,C69)</f>
        <v>2.088</v>
      </c>
      <c r="J69" s="24" t="n">
        <f aca="false">D69</f>
        <v>47818</v>
      </c>
      <c r="K69" s="23" t="n">
        <f aca="false">IF($J$1="bid",E69,F69)</f>
        <v>18.738</v>
      </c>
      <c r="L69" s="11"/>
      <c r="M69" s="11"/>
      <c r="N69" s="11"/>
      <c r="O69" s="11"/>
      <c r="P69" s="11"/>
      <c r="Q69" s="11"/>
      <c r="R69" s="11"/>
      <c r="S69" s="11"/>
      <c r="T69" s="11"/>
      <c r="U69" s="11"/>
      <c r="V69" s="11"/>
      <c r="W69" s="11"/>
      <c r="X69" s="11"/>
      <c r="Y69" s="11"/>
      <c r="Z69" s="11"/>
      <c r="AA69" s="11"/>
      <c r="AB69" s="11"/>
      <c r="AC69" s="11"/>
      <c r="AD69" s="11"/>
      <c r="AE69" s="11"/>
      <c r="AF69" s="11"/>
      <c r="AG69" s="11"/>
      <c r="AH69" s="11"/>
      <c r="AI69" s="11"/>
      <c r="AJ69" s="11"/>
      <c r="AK69" s="11"/>
      <c r="AL69" s="11"/>
      <c r="AM69" s="11"/>
      <c r="AN69" s="11"/>
      <c r="AO69" s="11"/>
      <c r="AP69" s="11"/>
      <c r="AQ69" s="11"/>
      <c r="AR69" s="5"/>
      <c r="AS69" s="12"/>
      <c r="AT69" s="12"/>
      <c r="AU69" s="12"/>
      <c r="AV69" s="12"/>
      <c r="AW69" s="12"/>
      <c r="AX69" s="12"/>
      <c r="AY69" s="12"/>
      <c r="AZ69" s="12"/>
      <c r="BA69" s="12"/>
      <c r="BB69" s="12"/>
      <c r="BC69" s="12"/>
      <c r="BD69" s="12"/>
      <c r="BE69" s="12"/>
      <c r="BF69" s="12"/>
      <c r="BG69" s="12"/>
      <c r="BH69" s="12"/>
      <c r="BI69" s="12"/>
      <c r="BJ69" s="12"/>
      <c r="BK69" s="12"/>
      <c r="BL69" s="12"/>
      <c r="BM69" s="12"/>
      <c r="BN69" s="12"/>
      <c r="BO69" s="12"/>
      <c r="BP69" s="12"/>
      <c r="BQ69" s="12"/>
      <c r="BR69" s="12"/>
      <c r="BS69" s="12"/>
      <c r="BT69" s="12"/>
      <c r="BU69" s="12"/>
      <c r="BV69" s="12"/>
      <c r="BW69" s="12"/>
      <c r="BX69" s="12"/>
      <c r="BY69" s="12"/>
      <c r="BZ69" s="12"/>
      <c r="CA69" s="12"/>
      <c r="CB69" s="12"/>
      <c r="CC69" s="12"/>
      <c r="CD69" s="12"/>
      <c r="CE69" s="12"/>
      <c r="CF69" s="12"/>
      <c r="CG69" s="12"/>
      <c r="CH69" s="12"/>
      <c r="CI69" s="12"/>
      <c r="CJ69" s="12"/>
      <c r="CK69" s="12"/>
      <c r="CL69" s="12"/>
      <c r="CM69" s="12"/>
      <c r="CN69" s="12"/>
      <c r="CO69" s="12"/>
      <c r="CP69" s="12"/>
      <c r="CQ69" s="12"/>
      <c r="CR69" s="12"/>
      <c r="CS69" s="12"/>
      <c r="CT69" s="12"/>
      <c r="CU69" s="12"/>
      <c r="CV69" s="12"/>
      <c r="CW69" s="12"/>
      <c r="CX69" s="12"/>
      <c r="CY69" s="12"/>
      <c r="CZ69" s="12"/>
      <c r="DA69" s="12"/>
      <c r="DB69" s="12"/>
      <c r="DC69" s="12"/>
      <c r="DD69" s="12"/>
      <c r="DE69" s="12"/>
      <c r="DF69" s="12"/>
      <c r="DG69" s="12"/>
      <c r="DH69" s="12"/>
      <c r="DI69" s="12"/>
      <c r="DJ69" s="12"/>
      <c r="DK69" s="12"/>
      <c r="DL69" s="12"/>
      <c r="DM69" s="12"/>
      <c r="DN69" s="12"/>
      <c r="DO69" s="12"/>
      <c r="DP69" s="12"/>
      <c r="DQ69" s="12"/>
      <c r="DR69" s="12"/>
      <c r="DS69" s="12"/>
      <c r="DT69" s="12"/>
      <c r="DU69" s="12"/>
      <c r="DV69" s="12"/>
      <c r="DW69" s="12"/>
      <c r="DX69" s="12"/>
      <c r="DY69" s="12"/>
      <c r="DZ69" s="12"/>
      <c r="EA69" s="12"/>
      <c r="EB69" s="12"/>
      <c r="EC69" s="12"/>
      <c r="ED69" s="12"/>
      <c r="EE69" s="12"/>
      <c r="EF69" s="12"/>
      <c r="EG69" s="12"/>
      <c r="EH69" s="12"/>
      <c r="EI69" s="12"/>
      <c r="EJ69" s="12"/>
      <c r="EK69" s="12"/>
      <c r="EL69" s="12"/>
      <c r="EM69" s="12"/>
      <c r="EN69" s="12"/>
      <c r="EO69" s="12"/>
      <c r="EP69" s="12"/>
      <c r="EQ69" s="12"/>
      <c r="ER69" s="12"/>
      <c r="ES69" s="12"/>
      <c r="ET69" s="12"/>
      <c r="EU69" s="12"/>
      <c r="EV69" s="12"/>
      <c r="EW69" s="12"/>
      <c r="EX69" s="12"/>
      <c r="EY69" s="12"/>
      <c r="EZ69" s="12"/>
      <c r="FA69" s="12"/>
      <c r="FB69" s="12"/>
      <c r="FC69" s="12"/>
      <c r="FD69" s="12"/>
      <c r="FE69" s="12"/>
      <c r="FF69" s="12"/>
      <c r="FG69" s="12"/>
      <c r="FH69" s="12"/>
      <c r="FI69" s="12"/>
      <c r="FJ69" s="12"/>
      <c r="FK69" s="12"/>
      <c r="FL69" s="12"/>
      <c r="FM69" s="12"/>
      <c r="FN69" s="12"/>
      <c r="FO69" s="12"/>
      <c r="FP69" s="12"/>
      <c r="FQ69" s="12"/>
      <c r="FR69" s="12"/>
      <c r="FS69" s="12"/>
      <c r="FT69" s="12"/>
      <c r="FU69" s="12"/>
      <c r="FV69" s="12"/>
      <c r="FW69" s="12"/>
      <c r="FX69" s="12"/>
      <c r="FY69" s="12"/>
      <c r="FZ69" s="12"/>
      <c r="GA69" s="12"/>
      <c r="GB69" s="12"/>
      <c r="GC69" s="12"/>
      <c r="GD69" s="12"/>
      <c r="GE69" s="12"/>
      <c r="GF69" s="12"/>
      <c r="GG69" s="12"/>
      <c r="GH69" s="12"/>
      <c r="GI69" s="12"/>
      <c r="GJ69" s="12"/>
      <c r="GK69" s="12"/>
      <c r="GL69" s="12"/>
      <c r="GM69" s="12"/>
      <c r="GN69" s="12"/>
      <c r="GO69" s="12"/>
      <c r="GP69" s="12"/>
      <c r="GQ69" s="12"/>
      <c r="GR69" s="12"/>
      <c r="GS69" s="12"/>
      <c r="GT69" s="12"/>
      <c r="GU69" s="12"/>
      <c r="GV69" s="12"/>
      <c r="GW69" s="12"/>
      <c r="GX69" s="12"/>
      <c r="GY69" s="12"/>
      <c r="GZ69" s="12"/>
      <c r="HA69" s="12"/>
      <c r="HB69" s="12"/>
      <c r="HC69" s="12"/>
      <c r="HD69" s="12"/>
      <c r="HE69" s="12"/>
      <c r="HF69" s="12"/>
      <c r="HG69" s="12"/>
      <c r="HH69" s="12"/>
      <c r="HI69" s="12"/>
      <c r="HJ69" s="12"/>
      <c r="HK69" s="12"/>
      <c r="HL69" s="12"/>
      <c r="HM69" s="12"/>
      <c r="HN69" s="12"/>
      <c r="HO69" s="12"/>
      <c r="HP69" s="12"/>
      <c r="HQ69" s="12"/>
      <c r="HR69" s="12"/>
      <c r="HS69" s="12"/>
      <c r="HT69" s="12"/>
      <c r="HU69" s="12"/>
      <c r="HV69" s="12"/>
      <c r="HW69" s="12"/>
      <c r="HX69" s="12"/>
      <c r="HY69" s="12"/>
      <c r="HZ69" s="12"/>
      <c r="IA69" s="12"/>
      <c r="IB69" s="12"/>
      <c r="IC69" s="12"/>
      <c r="ID69" s="12"/>
      <c r="IE69" s="12"/>
      <c r="IF69" s="12"/>
      <c r="IG69" s="12"/>
      <c r="IH69" s="12"/>
      <c r="II69" s="12"/>
      <c r="IJ69" s="12"/>
      <c r="IK69" s="12"/>
      <c r="IL69" s="12"/>
      <c r="IM69" s="12"/>
      <c r="IN69" s="12"/>
      <c r="IO69" s="12"/>
      <c r="IP69" s="12"/>
      <c r="IQ69" s="12"/>
      <c r="IR69" s="12"/>
      <c r="IS69" s="12"/>
      <c r="IT69" s="12"/>
      <c r="IU69" s="12"/>
      <c r="IV69" s="12"/>
      <c r="IW69" s="12"/>
    </row>
    <row r="70" customFormat="false" ht="11.25" hidden="false" customHeight="false" outlineLevel="0" collapsed="false">
      <c r="A70" s="25" t="n">
        <f aca="false">DATE(YEAR(A69),MONTH(A69)+1,1)</f>
        <v>47849</v>
      </c>
      <c r="B70" s="21" t="n">
        <v>2.002</v>
      </c>
      <c r="C70" s="21" t="n">
        <v>2.022</v>
      </c>
      <c r="D70" s="25" t="n">
        <f aca="false">DATE(YEAR(D69),MONTH(D69)+1,1)</f>
        <v>47849</v>
      </c>
      <c r="E70" s="21" t="n">
        <v>18.53</v>
      </c>
      <c r="F70" s="21" t="n">
        <v>18.751</v>
      </c>
      <c r="G70" s="6"/>
      <c r="H70" s="22" t="n">
        <f aca="false">A70</f>
        <v>47849</v>
      </c>
      <c r="I70" s="23" t="n">
        <f aca="false">IF($J$1="bid",B70,C70)</f>
        <v>2.022</v>
      </c>
      <c r="J70" s="24" t="n">
        <f aca="false">D70</f>
        <v>47849</v>
      </c>
      <c r="K70" s="23" t="n">
        <f aca="false">IF($J$1="bid",E70,F70)</f>
        <v>18.751</v>
      </c>
      <c r="L70" s="11"/>
      <c r="M70" s="11"/>
      <c r="N70" s="11"/>
      <c r="O70" s="11"/>
      <c r="P70" s="11"/>
      <c r="Q70" s="11"/>
      <c r="R70" s="11"/>
      <c r="S70" s="11"/>
      <c r="T70" s="11"/>
      <c r="U70" s="11"/>
      <c r="V70" s="11"/>
      <c r="W70" s="11"/>
      <c r="X70" s="11"/>
      <c r="Y70" s="11"/>
      <c r="Z70" s="11"/>
      <c r="AA70" s="11"/>
      <c r="AB70" s="11"/>
      <c r="AC70" s="11"/>
      <c r="AD70" s="11"/>
      <c r="AE70" s="11"/>
      <c r="AF70" s="11"/>
      <c r="AG70" s="11"/>
      <c r="AH70" s="11"/>
      <c r="AI70" s="11"/>
      <c r="AJ70" s="11"/>
      <c r="AK70" s="11"/>
      <c r="AL70" s="11"/>
      <c r="AM70" s="11"/>
      <c r="AN70" s="11"/>
      <c r="AO70" s="11"/>
      <c r="AP70" s="11"/>
      <c r="AQ70" s="11"/>
      <c r="AR70" s="5"/>
      <c r="AS70" s="12"/>
      <c r="AT70" s="12"/>
      <c r="AU70" s="12"/>
      <c r="AV70" s="12"/>
      <c r="AW70" s="12"/>
      <c r="AX70" s="12"/>
      <c r="AY70" s="12"/>
      <c r="AZ70" s="12"/>
      <c r="BA70" s="12"/>
      <c r="BB70" s="12"/>
      <c r="BC70" s="12"/>
      <c r="BD70" s="12"/>
      <c r="BE70" s="12"/>
      <c r="BF70" s="12"/>
      <c r="BG70" s="12"/>
      <c r="BH70" s="12"/>
      <c r="BI70" s="12"/>
      <c r="BJ70" s="12"/>
      <c r="BK70" s="12"/>
      <c r="BL70" s="12"/>
      <c r="BM70" s="12"/>
      <c r="BN70" s="12"/>
      <c r="BO70" s="12"/>
      <c r="BP70" s="12"/>
      <c r="BQ70" s="12"/>
      <c r="BR70" s="12"/>
      <c r="BS70" s="12"/>
      <c r="BT70" s="12"/>
      <c r="BU70" s="12"/>
      <c r="BV70" s="12"/>
      <c r="BW70" s="12"/>
      <c r="BX70" s="12"/>
      <c r="BY70" s="12"/>
      <c r="BZ70" s="12"/>
      <c r="CA70" s="12"/>
      <c r="CB70" s="12"/>
      <c r="CC70" s="12"/>
      <c r="CD70" s="12"/>
      <c r="CE70" s="12"/>
      <c r="CF70" s="12"/>
      <c r="CG70" s="12"/>
      <c r="CH70" s="12"/>
      <c r="CI70" s="12"/>
      <c r="CJ70" s="12"/>
      <c r="CK70" s="12"/>
      <c r="CL70" s="12"/>
      <c r="CM70" s="12"/>
      <c r="CN70" s="12"/>
      <c r="CO70" s="12"/>
      <c r="CP70" s="12"/>
      <c r="CQ70" s="12"/>
      <c r="CR70" s="12"/>
      <c r="CS70" s="12"/>
      <c r="CT70" s="12"/>
      <c r="CU70" s="12"/>
      <c r="CV70" s="12"/>
      <c r="CW70" s="12"/>
      <c r="CX70" s="12"/>
      <c r="CY70" s="12"/>
      <c r="CZ70" s="12"/>
      <c r="DA70" s="12"/>
      <c r="DB70" s="12"/>
      <c r="DC70" s="12"/>
      <c r="DD70" s="12"/>
      <c r="DE70" s="12"/>
      <c r="DF70" s="12"/>
      <c r="DG70" s="12"/>
      <c r="DH70" s="12"/>
      <c r="DI70" s="12"/>
      <c r="DJ70" s="12"/>
      <c r="DK70" s="12"/>
      <c r="DL70" s="12"/>
      <c r="DM70" s="12"/>
      <c r="DN70" s="12"/>
      <c r="DO70" s="12"/>
      <c r="DP70" s="12"/>
      <c r="DQ70" s="12"/>
      <c r="DR70" s="12"/>
      <c r="DS70" s="12"/>
      <c r="DT70" s="12"/>
      <c r="DU70" s="12"/>
      <c r="DV70" s="12"/>
      <c r="DW70" s="12"/>
      <c r="DX70" s="12"/>
      <c r="DY70" s="12"/>
      <c r="DZ70" s="12"/>
      <c r="EA70" s="12"/>
      <c r="EB70" s="12"/>
      <c r="EC70" s="12"/>
      <c r="ED70" s="12"/>
      <c r="EE70" s="12"/>
      <c r="EF70" s="12"/>
      <c r="EG70" s="12"/>
      <c r="EH70" s="12"/>
      <c r="EI70" s="12"/>
      <c r="EJ70" s="12"/>
      <c r="EK70" s="12"/>
      <c r="EL70" s="12"/>
      <c r="EM70" s="12"/>
      <c r="EN70" s="12"/>
      <c r="EO70" s="12"/>
      <c r="EP70" s="12"/>
      <c r="EQ70" s="12"/>
      <c r="ER70" s="12"/>
      <c r="ES70" s="12"/>
      <c r="ET70" s="12"/>
      <c r="EU70" s="12"/>
      <c r="EV70" s="12"/>
      <c r="EW70" s="12"/>
      <c r="EX70" s="12"/>
      <c r="EY70" s="12"/>
      <c r="EZ70" s="12"/>
      <c r="FA70" s="12"/>
      <c r="FB70" s="12"/>
      <c r="FC70" s="12"/>
      <c r="FD70" s="12"/>
      <c r="FE70" s="12"/>
      <c r="FF70" s="12"/>
      <c r="FG70" s="12"/>
      <c r="FH70" s="12"/>
      <c r="FI70" s="12"/>
      <c r="FJ70" s="12"/>
      <c r="FK70" s="12"/>
      <c r="FL70" s="12"/>
      <c r="FM70" s="12"/>
      <c r="FN70" s="12"/>
      <c r="FO70" s="12"/>
      <c r="FP70" s="12"/>
      <c r="FQ70" s="12"/>
      <c r="FR70" s="12"/>
      <c r="FS70" s="12"/>
      <c r="FT70" s="12"/>
      <c r="FU70" s="12"/>
      <c r="FV70" s="12"/>
      <c r="FW70" s="12"/>
      <c r="FX70" s="12"/>
      <c r="FY70" s="12"/>
      <c r="FZ70" s="12"/>
      <c r="GA70" s="12"/>
      <c r="GB70" s="12"/>
      <c r="GC70" s="12"/>
      <c r="GD70" s="12"/>
      <c r="GE70" s="12"/>
      <c r="GF70" s="12"/>
      <c r="GG70" s="12"/>
      <c r="GH70" s="12"/>
      <c r="GI70" s="12"/>
      <c r="GJ70" s="12"/>
      <c r="GK70" s="12"/>
      <c r="GL70" s="12"/>
      <c r="GM70" s="12"/>
      <c r="GN70" s="12"/>
      <c r="GO70" s="12"/>
      <c r="GP70" s="12"/>
      <c r="GQ70" s="12"/>
      <c r="GR70" s="12"/>
      <c r="GS70" s="12"/>
      <c r="GT70" s="12"/>
      <c r="GU70" s="12"/>
      <c r="GV70" s="12"/>
      <c r="GW70" s="12"/>
      <c r="GX70" s="12"/>
      <c r="GY70" s="12"/>
      <c r="GZ70" s="12"/>
      <c r="HA70" s="12"/>
      <c r="HB70" s="12"/>
      <c r="HC70" s="12"/>
      <c r="HD70" s="12"/>
      <c r="HE70" s="12"/>
      <c r="HF70" s="12"/>
      <c r="HG70" s="12"/>
      <c r="HH70" s="12"/>
      <c r="HI70" s="12"/>
      <c r="HJ70" s="12"/>
      <c r="HK70" s="12"/>
      <c r="HL70" s="12"/>
      <c r="HM70" s="12"/>
      <c r="HN70" s="12"/>
      <c r="HO70" s="12"/>
      <c r="HP70" s="12"/>
      <c r="HQ70" s="12"/>
      <c r="HR70" s="12"/>
      <c r="HS70" s="12"/>
      <c r="HT70" s="12"/>
      <c r="HU70" s="12"/>
      <c r="HV70" s="12"/>
      <c r="HW70" s="12"/>
      <c r="HX70" s="12"/>
      <c r="HY70" s="12"/>
      <c r="HZ70" s="12"/>
      <c r="IA70" s="12"/>
      <c r="IB70" s="12"/>
      <c r="IC70" s="12"/>
      <c r="ID70" s="12"/>
      <c r="IE70" s="12"/>
      <c r="IF70" s="12"/>
      <c r="IG70" s="12"/>
      <c r="IH70" s="12"/>
      <c r="II70" s="12"/>
      <c r="IJ70" s="12"/>
      <c r="IK70" s="12"/>
      <c r="IL70" s="12"/>
      <c r="IM70" s="12"/>
      <c r="IN70" s="12"/>
      <c r="IO70" s="12"/>
      <c r="IP70" s="12"/>
      <c r="IQ70" s="12"/>
      <c r="IR70" s="12"/>
      <c r="IS70" s="12"/>
      <c r="IT70" s="12"/>
      <c r="IU70" s="12"/>
      <c r="IV70" s="12"/>
      <c r="IW70" s="12"/>
    </row>
    <row r="71" customFormat="false" ht="11.25" hidden="false" customHeight="false" outlineLevel="0" collapsed="false">
      <c r="A71" s="30" t="n">
        <f aca="false">DATE(YEAR(A70),MONTH(A70)+1,1)</f>
        <v>47880</v>
      </c>
      <c r="B71" s="21" t="n">
        <v>1.953</v>
      </c>
      <c r="C71" s="21" t="n">
        <v>1.973</v>
      </c>
      <c r="D71" s="30" t="n">
        <f aca="false">DATE(YEAR(D70),MONTH(D70)+1,1)</f>
        <v>47880</v>
      </c>
      <c r="E71" s="21" t="n">
        <v>18.536</v>
      </c>
      <c r="F71" s="21" t="n">
        <v>18.765</v>
      </c>
      <c r="G71" s="6"/>
      <c r="H71" s="22" t="n">
        <f aca="false">A71</f>
        <v>47880</v>
      </c>
      <c r="I71" s="23" t="n">
        <f aca="false">IF($J$1="bid",B71,C71)</f>
        <v>1.973</v>
      </c>
      <c r="J71" s="24" t="n">
        <f aca="false">D71</f>
        <v>47880</v>
      </c>
      <c r="K71" s="23" t="n">
        <f aca="false">IF($J$1="bid",E71,F71)</f>
        <v>18.765</v>
      </c>
      <c r="L71" s="11"/>
      <c r="M71" s="11"/>
      <c r="N71" s="11"/>
      <c r="O71" s="11"/>
      <c r="P71" s="11"/>
      <c r="Q71" s="11"/>
      <c r="R71" s="11"/>
      <c r="S71" s="11"/>
      <c r="T71" s="11"/>
      <c r="U71" s="11"/>
      <c r="V71" s="11"/>
      <c r="W71" s="11"/>
      <c r="X71" s="11"/>
      <c r="Y71" s="11"/>
      <c r="Z71" s="11"/>
      <c r="AA71" s="11"/>
      <c r="AB71" s="11"/>
      <c r="AC71" s="11"/>
      <c r="AD71" s="11"/>
      <c r="AE71" s="11"/>
      <c r="AF71" s="11"/>
      <c r="AG71" s="11"/>
      <c r="AH71" s="11"/>
      <c r="AI71" s="11"/>
      <c r="AJ71" s="11"/>
      <c r="AK71" s="11"/>
      <c r="AL71" s="11"/>
      <c r="AM71" s="11"/>
      <c r="AN71" s="11"/>
      <c r="AO71" s="11"/>
      <c r="AP71" s="11"/>
      <c r="AQ71" s="11"/>
      <c r="AR71" s="5"/>
      <c r="AS71" s="12"/>
      <c r="AT71" s="12"/>
      <c r="AU71" s="12"/>
      <c r="AV71" s="12"/>
      <c r="AW71" s="12"/>
      <c r="AX71" s="12"/>
      <c r="AY71" s="12"/>
      <c r="AZ71" s="12"/>
      <c r="BA71" s="12"/>
      <c r="BB71" s="12"/>
      <c r="BC71" s="12"/>
      <c r="BD71" s="12"/>
      <c r="BE71" s="12"/>
      <c r="BF71" s="12"/>
      <c r="BG71" s="12"/>
      <c r="BH71" s="12"/>
      <c r="BI71" s="12"/>
      <c r="BJ71" s="12"/>
      <c r="BK71" s="12"/>
      <c r="BL71" s="12"/>
      <c r="BM71" s="12"/>
      <c r="BN71" s="12"/>
      <c r="BO71" s="12"/>
      <c r="BP71" s="12"/>
      <c r="BQ71" s="12"/>
      <c r="BR71" s="12"/>
      <c r="BS71" s="12"/>
      <c r="BT71" s="12"/>
      <c r="BU71" s="12"/>
      <c r="BV71" s="12"/>
      <c r="BW71" s="12"/>
      <c r="BX71" s="12"/>
      <c r="BY71" s="12"/>
      <c r="BZ71" s="12"/>
      <c r="CA71" s="12"/>
      <c r="CB71" s="12"/>
      <c r="CC71" s="12"/>
      <c r="CD71" s="12"/>
      <c r="CE71" s="12"/>
      <c r="CF71" s="12"/>
      <c r="CG71" s="12"/>
      <c r="CH71" s="12"/>
      <c r="CI71" s="12"/>
      <c r="CJ71" s="12"/>
      <c r="CK71" s="12"/>
      <c r="CL71" s="12"/>
      <c r="CM71" s="12"/>
      <c r="CN71" s="12"/>
      <c r="CO71" s="12"/>
      <c r="CP71" s="12"/>
      <c r="CQ71" s="12"/>
      <c r="CR71" s="12"/>
      <c r="CS71" s="12"/>
      <c r="CT71" s="12"/>
      <c r="CU71" s="12"/>
      <c r="CV71" s="12"/>
      <c r="CW71" s="12"/>
      <c r="CX71" s="12"/>
      <c r="CY71" s="12"/>
      <c r="CZ71" s="12"/>
      <c r="DA71" s="12"/>
      <c r="DB71" s="12"/>
      <c r="DC71" s="12"/>
      <c r="DD71" s="12"/>
      <c r="DE71" s="12"/>
      <c r="DF71" s="12"/>
      <c r="DG71" s="12"/>
      <c r="DH71" s="12"/>
      <c r="DI71" s="12"/>
      <c r="DJ71" s="12"/>
      <c r="DK71" s="12"/>
      <c r="DL71" s="12"/>
      <c r="DM71" s="12"/>
      <c r="DN71" s="12"/>
      <c r="DO71" s="12"/>
      <c r="DP71" s="12"/>
      <c r="DQ71" s="12"/>
      <c r="DR71" s="12"/>
      <c r="DS71" s="12"/>
      <c r="DT71" s="12"/>
      <c r="DU71" s="12"/>
      <c r="DV71" s="12"/>
      <c r="DW71" s="12"/>
      <c r="DX71" s="12"/>
      <c r="DY71" s="12"/>
      <c r="DZ71" s="12"/>
      <c r="EA71" s="12"/>
      <c r="EB71" s="12"/>
      <c r="EC71" s="12"/>
      <c r="ED71" s="12"/>
      <c r="EE71" s="12"/>
      <c r="EF71" s="12"/>
      <c r="EG71" s="12"/>
      <c r="EH71" s="12"/>
      <c r="EI71" s="12"/>
      <c r="EJ71" s="12"/>
      <c r="EK71" s="12"/>
      <c r="EL71" s="12"/>
      <c r="EM71" s="12"/>
      <c r="EN71" s="12"/>
      <c r="EO71" s="12"/>
      <c r="EP71" s="12"/>
      <c r="EQ71" s="12"/>
      <c r="ER71" s="12"/>
      <c r="ES71" s="12"/>
      <c r="ET71" s="12"/>
      <c r="EU71" s="12"/>
      <c r="EV71" s="12"/>
      <c r="EW71" s="12"/>
      <c r="EX71" s="12"/>
      <c r="EY71" s="12"/>
      <c r="EZ71" s="12"/>
      <c r="FA71" s="12"/>
      <c r="FB71" s="12"/>
      <c r="FC71" s="12"/>
      <c r="FD71" s="12"/>
      <c r="FE71" s="12"/>
      <c r="FF71" s="12"/>
      <c r="FG71" s="12"/>
      <c r="FH71" s="12"/>
      <c r="FI71" s="12"/>
      <c r="FJ71" s="12"/>
      <c r="FK71" s="12"/>
      <c r="FL71" s="12"/>
      <c r="FM71" s="12"/>
      <c r="FN71" s="12"/>
      <c r="FO71" s="12"/>
      <c r="FP71" s="12"/>
      <c r="FQ71" s="12"/>
      <c r="FR71" s="12"/>
      <c r="FS71" s="12"/>
      <c r="FT71" s="12"/>
      <c r="FU71" s="12"/>
      <c r="FV71" s="12"/>
      <c r="FW71" s="12"/>
      <c r="FX71" s="12"/>
      <c r="FY71" s="12"/>
      <c r="FZ71" s="12"/>
      <c r="GA71" s="12"/>
      <c r="GB71" s="12"/>
      <c r="GC71" s="12"/>
      <c r="GD71" s="12"/>
      <c r="GE71" s="12"/>
      <c r="GF71" s="12"/>
      <c r="GG71" s="12"/>
      <c r="GH71" s="12"/>
      <c r="GI71" s="12"/>
      <c r="GJ71" s="12"/>
      <c r="GK71" s="12"/>
      <c r="GL71" s="12"/>
      <c r="GM71" s="12"/>
      <c r="GN71" s="12"/>
      <c r="GO71" s="12"/>
      <c r="GP71" s="12"/>
      <c r="GQ71" s="12"/>
      <c r="GR71" s="12"/>
      <c r="GS71" s="12"/>
      <c r="GT71" s="12"/>
      <c r="GU71" s="12"/>
      <c r="GV71" s="12"/>
      <c r="GW71" s="12"/>
      <c r="GX71" s="12"/>
      <c r="GY71" s="12"/>
      <c r="GZ71" s="12"/>
      <c r="HA71" s="12"/>
      <c r="HB71" s="12"/>
      <c r="HC71" s="12"/>
      <c r="HD71" s="12"/>
      <c r="HE71" s="12"/>
      <c r="HF71" s="12"/>
      <c r="HG71" s="12"/>
      <c r="HH71" s="12"/>
      <c r="HI71" s="12"/>
      <c r="HJ71" s="12"/>
      <c r="HK71" s="12"/>
      <c r="HL71" s="12"/>
      <c r="HM71" s="12"/>
      <c r="HN71" s="12"/>
      <c r="HO71" s="12"/>
      <c r="HP71" s="12"/>
      <c r="HQ71" s="12"/>
      <c r="HR71" s="12"/>
      <c r="HS71" s="12"/>
      <c r="HT71" s="12"/>
      <c r="HU71" s="12"/>
      <c r="HV71" s="12"/>
      <c r="HW71" s="12"/>
      <c r="HX71" s="12"/>
      <c r="HY71" s="12"/>
      <c r="HZ71" s="12"/>
      <c r="IA71" s="12"/>
      <c r="IB71" s="12"/>
      <c r="IC71" s="12"/>
      <c r="ID71" s="12"/>
      <c r="IE71" s="12"/>
      <c r="IF71" s="12"/>
      <c r="IG71" s="12"/>
      <c r="IH71" s="12"/>
      <c r="II71" s="12"/>
      <c r="IJ71" s="12"/>
      <c r="IK71" s="12"/>
      <c r="IL71" s="12"/>
      <c r="IM71" s="12"/>
      <c r="IN71" s="12"/>
      <c r="IO71" s="12"/>
      <c r="IP71" s="12"/>
      <c r="IQ71" s="12"/>
      <c r="IR71" s="12"/>
      <c r="IS71" s="12"/>
      <c r="IT71" s="12"/>
      <c r="IU71" s="12"/>
      <c r="IV71" s="12"/>
      <c r="IW71" s="12"/>
    </row>
    <row r="72" customFormat="false" ht="11.25" hidden="false" customHeight="false" outlineLevel="0" collapsed="false">
      <c r="A72" s="30" t="n">
        <f aca="false">DATE(YEAR(A71),MONTH(A71)+1,1)</f>
        <v>47908</v>
      </c>
      <c r="B72" s="21" t="n">
        <v>1.94</v>
      </c>
      <c r="C72" s="21" t="n">
        <v>1.96</v>
      </c>
      <c r="D72" s="30" t="n">
        <f aca="false">DATE(YEAR(D71),MONTH(D71)+1,1)</f>
        <v>47908</v>
      </c>
      <c r="E72" s="21" t="n">
        <v>18.542</v>
      </c>
      <c r="F72" s="21" t="n">
        <v>18.781</v>
      </c>
      <c r="G72" s="6"/>
      <c r="H72" s="22" t="n">
        <f aca="false">A72</f>
        <v>47908</v>
      </c>
      <c r="I72" s="23" t="n">
        <f aca="false">IF($J$1="bid",B72,C72)</f>
        <v>1.96</v>
      </c>
      <c r="J72" s="24" t="n">
        <f aca="false">D72</f>
        <v>47908</v>
      </c>
      <c r="K72" s="23" t="n">
        <f aca="false">IF($J$1="bid",E72,F72)</f>
        <v>18.781</v>
      </c>
      <c r="L72" s="11"/>
      <c r="M72" s="11"/>
      <c r="N72" s="11"/>
      <c r="O72" s="11"/>
      <c r="P72" s="11"/>
      <c r="Q72" s="11"/>
      <c r="R72" s="11"/>
      <c r="S72" s="11"/>
      <c r="T72" s="11"/>
      <c r="U72" s="11"/>
      <c r="V72" s="11"/>
      <c r="W72" s="11"/>
      <c r="X72" s="11"/>
      <c r="Y72" s="11"/>
      <c r="Z72" s="11"/>
      <c r="AA72" s="11"/>
      <c r="AB72" s="11"/>
      <c r="AC72" s="11"/>
      <c r="AD72" s="11"/>
      <c r="AE72" s="11"/>
      <c r="AF72" s="11"/>
      <c r="AG72" s="11"/>
      <c r="AH72" s="11"/>
      <c r="AI72" s="11"/>
      <c r="AJ72" s="11"/>
      <c r="AK72" s="11"/>
      <c r="AL72" s="11"/>
      <c r="AM72" s="11"/>
      <c r="AN72" s="11"/>
      <c r="AO72" s="11"/>
      <c r="AP72" s="11"/>
      <c r="AQ72" s="11"/>
      <c r="AR72" s="5"/>
      <c r="AS72" s="12"/>
      <c r="AT72" s="12"/>
      <c r="AU72" s="12"/>
      <c r="AV72" s="12"/>
      <c r="AW72" s="12"/>
      <c r="AX72" s="12"/>
      <c r="AY72" s="12"/>
      <c r="AZ72" s="12"/>
      <c r="BA72" s="12"/>
      <c r="BB72" s="12"/>
      <c r="BC72" s="12"/>
      <c r="BD72" s="12"/>
      <c r="BE72" s="12"/>
      <c r="BF72" s="12"/>
      <c r="BG72" s="12"/>
      <c r="BH72" s="12"/>
      <c r="BI72" s="12"/>
      <c r="BJ72" s="12"/>
      <c r="BK72" s="12"/>
      <c r="BL72" s="12"/>
      <c r="BM72" s="12"/>
      <c r="BN72" s="12"/>
      <c r="BO72" s="12"/>
      <c r="BP72" s="12"/>
      <c r="BQ72" s="12"/>
      <c r="BR72" s="12"/>
      <c r="BS72" s="12"/>
      <c r="BT72" s="12"/>
      <c r="BU72" s="12"/>
      <c r="BV72" s="12"/>
      <c r="BW72" s="12"/>
      <c r="BX72" s="12"/>
      <c r="BY72" s="12"/>
      <c r="BZ72" s="12"/>
      <c r="CA72" s="12"/>
      <c r="CB72" s="12"/>
      <c r="CC72" s="12"/>
      <c r="CD72" s="12"/>
      <c r="CE72" s="12"/>
      <c r="CF72" s="12"/>
      <c r="CG72" s="12"/>
      <c r="CH72" s="12"/>
      <c r="CI72" s="12"/>
      <c r="CJ72" s="12"/>
      <c r="CK72" s="12"/>
      <c r="CL72" s="12"/>
      <c r="CM72" s="12"/>
      <c r="CN72" s="12"/>
      <c r="CO72" s="12"/>
      <c r="CP72" s="12"/>
      <c r="CQ72" s="12"/>
      <c r="CR72" s="12"/>
      <c r="CS72" s="12"/>
      <c r="CT72" s="12"/>
      <c r="CU72" s="12"/>
      <c r="CV72" s="12"/>
      <c r="CW72" s="12"/>
      <c r="CX72" s="12"/>
      <c r="CY72" s="12"/>
      <c r="CZ72" s="12"/>
      <c r="DA72" s="12"/>
      <c r="DB72" s="12"/>
      <c r="DC72" s="12"/>
      <c r="DD72" s="12"/>
      <c r="DE72" s="12"/>
      <c r="DF72" s="12"/>
      <c r="DG72" s="12"/>
      <c r="DH72" s="12"/>
      <c r="DI72" s="12"/>
      <c r="DJ72" s="12"/>
      <c r="DK72" s="12"/>
      <c r="DL72" s="12"/>
      <c r="DM72" s="12"/>
      <c r="DN72" s="12"/>
      <c r="DO72" s="12"/>
      <c r="DP72" s="12"/>
      <c r="DQ72" s="12"/>
      <c r="DR72" s="12"/>
      <c r="DS72" s="12"/>
      <c r="DT72" s="12"/>
      <c r="DU72" s="12"/>
      <c r="DV72" s="12"/>
      <c r="DW72" s="12"/>
      <c r="DX72" s="12"/>
      <c r="DY72" s="12"/>
      <c r="DZ72" s="12"/>
      <c r="EA72" s="12"/>
      <c r="EB72" s="12"/>
      <c r="EC72" s="12"/>
      <c r="ED72" s="12"/>
      <c r="EE72" s="12"/>
      <c r="EF72" s="12"/>
      <c r="EG72" s="12"/>
      <c r="EH72" s="12"/>
      <c r="EI72" s="12"/>
      <c r="EJ72" s="12"/>
      <c r="EK72" s="12"/>
      <c r="EL72" s="12"/>
      <c r="EM72" s="12"/>
      <c r="EN72" s="12"/>
      <c r="EO72" s="12"/>
      <c r="EP72" s="12"/>
      <c r="EQ72" s="12"/>
      <c r="ER72" s="12"/>
      <c r="ES72" s="12"/>
      <c r="ET72" s="12"/>
      <c r="EU72" s="12"/>
      <c r="EV72" s="12"/>
      <c r="EW72" s="12"/>
      <c r="EX72" s="12"/>
      <c r="EY72" s="12"/>
      <c r="EZ72" s="12"/>
      <c r="FA72" s="12"/>
      <c r="FB72" s="12"/>
      <c r="FC72" s="12"/>
      <c r="FD72" s="12"/>
      <c r="FE72" s="12"/>
      <c r="FF72" s="12"/>
      <c r="FG72" s="12"/>
      <c r="FH72" s="12"/>
      <c r="FI72" s="12"/>
      <c r="FJ72" s="12"/>
      <c r="FK72" s="12"/>
      <c r="FL72" s="12"/>
      <c r="FM72" s="12"/>
      <c r="FN72" s="12"/>
      <c r="FO72" s="12"/>
      <c r="FP72" s="12"/>
      <c r="FQ72" s="12"/>
      <c r="FR72" s="12"/>
      <c r="FS72" s="12"/>
      <c r="FT72" s="12"/>
      <c r="FU72" s="12"/>
      <c r="FV72" s="12"/>
      <c r="FW72" s="12"/>
      <c r="FX72" s="12"/>
      <c r="FY72" s="12"/>
      <c r="FZ72" s="12"/>
      <c r="GA72" s="12"/>
      <c r="GB72" s="12"/>
      <c r="GC72" s="12"/>
      <c r="GD72" s="12"/>
      <c r="GE72" s="12"/>
      <c r="GF72" s="12"/>
      <c r="GG72" s="12"/>
      <c r="GH72" s="12"/>
      <c r="GI72" s="12"/>
      <c r="GJ72" s="12"/>
      <c r="GK72" s="12"/>
      <c r="GL72" s="12"/>
      <c r="GM72" s="12"/>
      <c r="GN72" s="12"/>
      <c r="GO72" s="12"/>
      <c r="GP72" s="12"/>
      <c r="GQ72" s="12"/>
      <c r="GR72" s="12"/>
      <c r="GS72" s="12"/>
      <c r="GT72" s="12"/>
      <c r="GU72" s="12"/>
      <c r="GV72" s="12"/>
      <c r="GW72" s="12"/>
      <c r="GX72" s="12"/>
      <c r="GY72" s="12"/>
      <c r="GZ72" s="12"/>
      <c r="HA72" s="12"/>
      <c r="HB72" s="12"/>
      <c r="HC72" s="12"/>
      <c r="HD72" s="12"/>
      <c r="HE72" s="12"/>
      <c r="HF72" s="12"/>
      <c r="HG72" s="12"/>
      <c r="HH72" s="12"/>
      <c r="HI72" s="12"/>
      <c r="HJ72" s="12"/>
      <c r="HK72" s="12"/>
      <c r="HL72" s="12"/>
      <c r="HM72" s="12"/>
      <c r="HN72" s="12"/>
      <c r="HO72" s="12"/>
      <c r="HP72" s="12"/>
      <c r="HQ72" s="12"/>
      <c r="HR72" s="12"/>
      <c r="HS72" s="12"/>
      <c r="HT72" s="12"/>
      <c r="HU72" s="12"/>
      <c r="HV72" s="12"/>
      <c r="HW72" s="12"/>
      <c r="HX72" s="12"/>
      <c r="HY72" s="12"/>
      <c r="HZ72" s="12"/>
      <c r="IA72" s="12"/>
      <c r="IB72" s="12"/>
      <c r="IC72" s="12"/>
      <c r="ID72" s="12"/>
      <c r="IE72" s="12"/>
      <c r="IF72" s="12"/>
      <c r="IG72" s="12"/>
      <c r="IH72" s="12"/>
      <c r="II72" s="12"/>
      <c r="IJ72" s="12"/>
      <c r="IK72" s="12"/>
      <c r="IL72" s="12"/>
      <c r="IM72" s="12"/>
      <c r="IN72" s="12"/>
      <c r="IO72" s="12"/>
      <c r="IP72" s="12"/>
      <c r="IQ72" s="12"/>
      <c r="IR72" s="12"/>
      <c r="IS72" s="12"/>
      <c r="IT72" s="12"/>
      <c r="IU72" s="12"/>
      <c r="IV72" s="12"/>
      <c r="IW72" s="12"/>
    </row>
    <row r="73" customFormat="false" ht="11.25" hidden="false" customHeight="false" outlineLevel="0" collapsed="false">
      <c r="A73" s="25" t="n">
        <f aca="false">DATE(YEAR(A72),MONTH(A72)+1,1)</f>
        <v>47939</v>
      </c>
      <c r="B73" s="21" t="n">
        <v>1.948</v>
      </c>
      <c r="C73" s="21" t="n">
        <v>1.968</v>
      </c>
      <c r="D73" s="25" t="n">
        <f aca="false">DATE(YEAR(D72),MONTH(D72)+1,1)</f>
        <v>47939</v>
      </c>
      <c r="E73" s="21" t="n">
        <v>18.548</v>
      </c>
      <c r="F73" s="21" t="n">
        <v>18.794</v>
      </c>
      <c r="G73" s="6"/>
      <c r="H73" s="22" t="n">
        <f aca="false">A73</f>
        <v>47939</v>
      </c>
      <c r="I73" s="23" t="n">
        <f aca="false">IF($J$1="bid",B73,C73)</f>
        <v>1.968</v>
      </c>
      <c r="J73" s="24" t="n">
        <f aca="false">D73</f>
        <v>47939</v>
      </c>
      <c r="K73" s="23" t="n">
        <f aca="false">IF($J$1="bid",E73,F73)</f>
        <v>18.794</v>
      </c>
      <c r="L73" s="11"/>
      <c r="M73" s="11"/>
      <c r="N73" s="11"/>
      <c r="O73" s="11"/>
      <c r="P73" s="11"/>
      <c r="Q73" s="11"/>
      <c r="R73" s="11"/>
      <c r="S73" s="11"/>
      <c r="T73" s="11"/>
      <c r="U73" s="11"/>
      <c r="V73" s="11"/>
      <c r="W73" s="11"/>
      <c r="X73" s="11"/>
      <c r="Y73" s="11"/>
      <c r="Z73" s="11"/>
      <c r="AA73" s="11"/>
      <c r="AB73" s="11"/>
      <c r="AC73" s="11"/>
      <c r="AD73" s="11"/>
      <c r="AE73" s="11"/>
      <c r="AF73" s="11"/>
      <c r="AG73" s="11"/>
      <c r="AH73" s="11"/>
      <c r="AI73" s="11"/>
      <c r="AJ73" s="11"/>
      <c r="AK73" s="11"/>
      <c r="AL73" s="11"/>
      <c r="AM73" s="11"/>
      <c r="AN73" s="11"/>
      <c r="AO73" s="11"/>
      <c r="AP73" s="11"/>
      <c r="AQ73" s="11"/>
      <c r="AR73" s="5"/>
      <c r="AS73" s="12"/>
      <c r="AT73" s="12"/>
      <c r="AU73" s="12"/>
      <c r="AV73" s="12"/>
      <c r="AW73" s="12"/>
      <c r="AX73" s="12"/>
      <c r="AY73" s="12"/>
      <c r="AZ73" s="12"/>
      <c r="BA73" s="12"/>
      <c r="BB73" s="12"/>
      <c r="BC73" s="12"/>
      <c r="BD73" s="12"/>
      <c r="BE73" s="12"/>
      <c r="BF73" s="12"/>
      <c r="BG73" s="12"/>
      <c r="BH73" s="12"/>
      <c r="BI73" s="12"/>
      <c r="BJ73" s="12"/>
      <c r="BK73" s="12"/>
      <c r="BL73" s="12"/>
      <c r="BM73" s="12"/>
      <c r="BN73" s="12"/>
      <c r="BO73" s="12"/>
      <c r="BP73" s="12"/>
      <c r="BQ73" s="12"/>
      <c r="BR73" s="12"/>
      <c r="BS73" s="12"/>
      <c r="BT73" s="12"/>
      <c r="BU73" s="12"/>
      <c r="BV73" s="12"/>
      <c r="BW73" s="12"/>
      <c r="BX73" s="12"/>
      <c r="BY73" s="12"/>
      <c r="BZ73" s="12"/>
      <c r="CA73" s="12"/>
      <c r="CB73" s="12"/>
      <c r="CC73" s="12"/>
      <c r="CD73" s="12"/>
      <c r="CE73" s="12"/>
      <c r="CF73" s="12"/>
      <c r="CG73" s="12"/>
      <c r="CH73" s="12"/>
      <c r="CI73" s="12"/>
      <c r="CJ73" s="12"/>
      <c r="CK73" s="12"/>
      <c r="CL73" s="12"/>
      <c r="CM73" s="12"/>
      <c r="CN73" s="12"/>
      <c r="CO73" s="12"/>
      <c r="CP73" s="12"/>
      <c r="CQ73" s="12"/>
      <c r="CR73" s="12"/>
      <c r="CS73" s="12"/>
      <c r="CT73" s="12"/>
      <c r="CU73" s="12"/>
      <c r="CV73" s="12"/>
      <c r="CW73" s="12"/>
      <c r="CX73" s="12"/>
      <c r="CY73" s="12"/>
      <c r="CZ73" s="12"/>
      <c r="DA73" s="12"/>
      <c r="DB73" s="12"/>
      <c r="DC73" s="12"/>
      <c r="DD73" s="12"/>
      <c r="DE73" s="12"/>
      <c r="DF73" s="12"/>
      <c r="DG73" s="12"/>
      <c r="DH73" s="12"/>
      <c r="DI73" s="12"/>
      <c r="DJ73" s="12"/>
      <c r="DK73" s="12"/>
      <c r="DL73" s="12"/>
      <c r="DM73" s="12"/>
      <c r="DN73" s="12"/>
      <c r="DO73" s="12"/>
      <c r="DP73" s="12"/>
      <c r="DQ73" s="12"/>
      <c r="DR73" s="12"/>
      <c r="DS73" s="12"/>
      <c r="DT73" s="12"/>
      <c r="DU73" s="12"/>
      <c r="DV73" s="12"/>
      <c r="DW73" s="12"/>
      <c r="DX73" s="12"/>
      <c r="DY73" s="12"/>
      <c r="DZ73" s="12"/>
      <c r="EA73" s="12"/>
      <c r="EB73" s="12"/>
      <c r="EC73" s="12"/>
      <c r="ED73" s="12"/>
      <c r="EE73" s="12"/>
      <c r="EF73" s="12"/>
      <c r="EG73" s="12"/>
      <c r="EH73" s="12"/>
      <c r="EI73" s="12"/>
      <c r="EJ73" s="12"/>
      <c r="EK73" s="12"/>
      <c r="EL73" s="12"/>
      <c r="EM73" s="12"/>
      <c r="EN73" s="12"/>
      <c r="EO73" s="12"/>
      <c r="EP73" s="12"/>
      <c r="EQ73" s="12"/>
      <c r="ER73" s="12"/>
      <c r="ES73" s="12"/>
      <c r="ET73" s="12"/>
      <c r="EU73" s="12"/>
      <c r="EV73" s="12"/>
      <c r="EW73" s="12"/>
      <c r="EX73" s="12"/>
      <c r="EY73" s="12"/>
      <c r="EZ73" s="12"/>
      <c r="FA73" s="12"/>
      <c r="FB73" s="12"/>
      <c r="FC73" s="12"/>
      <c r="FD73" s="12"/>
      <c r="FE73" s="12"/>
      <c r="FF73" s="12"/>
      <c r="FG73" s="12"/>
      <c r="FH73" s="12"/>
      <c r="FI73" s="12"/>
      <c r="FJ73" s="12"/>
      <c r="FK73" s="12"/>
      <c r="FL73" s="12"/>
      <c r="FM73" s="12"/>
      <c r="FN73" s="12"/>
      <c r="FO73" s="12"/>
      <c r="FP73" s="12"/>
      <c r="FQ73" s="12"/>
      <c r="FR73" s="12"/>
      <c r="FS73" s="12"/>
      <c r="FT73" s="12"/>
      <c r="FU73" s="12"/>
      <c r="FV73" s="12"/>
      <c r="FW73" s="12"/>
      <c r="FX73" s="12"/>
      <c r="FY73" s="12"/>
      <c r="FZ73" s="12"/>
      <c r="GA73" s="12"/>
      <c r="GB73" s="12"/>
      <c r="GC73" s="12"/>
      <c r="GD73" s="12"/>
      <c r="GE73" s="12"/>
      <c r="GF73" s="12"/>
      <c r="GG73" s="12"/>
      <c r="GH73" s="12"/>
      <c r="GI73" s="12"/>
      <c r="GJ73" s="12"/>
      <c r="GK73" s="12"/>
      <c r="GL73" s="12"/>
      <c r="GM73" s="12"/>
      <c r="GN73" s="12"/>
      <c r="GO73" s="12"/>
      <c r="GP73" s="12"/>
      <c r="GQ73" s="12"/>
      <c r="GR73" s="12"/>
      <c r="GS73" s="12"/>
      <c r="GT73" s="12"/>
      <c r="GU73" s="12"/>
      <c r="GV73" s="12"/>
      <c r="GW73" s="12"/>
      <c r="GX73" s="12"/>
      <c r="GY73" s="12"/>
      <c r="GZ73" s="12"/>
      <c r="HA73" s="12"/>
      <c r="HB73" s="12"/>
      <c r="HC73" s="12"/>
      <c r="HD73" s="12"/>
      <c r="HE73" s="12"/>
      <c r="HF73" s="12"/>
      <c r="HG73" s="12"/>
      <c r="HH73" s="12"/>
      <c r="HI73" s="12"/>
      <c r="HJ73" s="12"/>
      <c r="HK73" s="12"/>
      <c r="HL73" s="12"/>
      <c r="HM73" s="12"/>
      <c r="HN73" s="12"/>
      <c r="HO73" s="12"/>
      <c r="HP73" s="12"/>
      <c r="HQ73" s="12"/>
      <c r="HR73" s="12"/>
      <c r="HS73" s="12"/>
      <c r="HT73" s="12"/>
      <c r="HU73" s="12"/>
      <c r="HV73" s="12"/>
      <c r="HW73" s="12"/>
      <c r="HX73" s="12"/>
      <c r="HY73" s="12"/>
      <c r="HZ73" s="12"/>
      <c r="IA73" s="12"/>
      <c r="IB73" s="12"/>
      <c r="IC73" s="12"/>
      <c r="ID73" s="12"/>
      <c r="IE73" s="12"/>
      <c r="IF73" s="12"/>
      <c r="IG73" s="12"/>
      <c r="IH73" s="12"/>
      <c r="II73" s="12"/>
      <c r="IJ73" s="12"/>
      <c r="IK73" s="12"/>
      <c r="IL73" s="12"/>
      <c r="IM73" s="12"/>
      <c r="IN73" s="12"/>
      <c r="IO73" s="12"/>
      <c r="IP73" s="12"/>
      <c r="IQ73" s="12"/>
      <c r="IR73" s="12"/>
      <c r="IS73" s="12"/>
      <c r="IT73" s="12"/>
      <c r="IU73" s="12"/>
      <c r="IV73" s="12"/>
      <c r="IW73" s="12"/>
    </row>
    <row r="74" customFormat="false" ht="11.25" hidden="false" customHeight="false" outlineLevel="0" collapsed="false">
      <c r="A74" s="25" t="n">
        <f aca="false">DATE(YEAR(A73),MONTH(A73)+1,1)</f>
        <v>47969</v>
      </c>
      <c r="B74" s="21" t="n">
        <v>1.94</v>
      </c>
      <c r="C74" s="21" t="n">
        <v>1.96</v>
      </c>
      <c r="D74" s="25" t="n">
        <f aca="false">DATE(YEAR(D73),MONTH(D73)+1,1)</f>
        <v>47969</v>
      </c>
      <c r="E74" s="21" t="n">
        <v>18.554</v>
      </c>
      <c r="F74" s="21" t="n">
        <v>18.808</v>
      </c>
      <c r="G74" s="6"/>
      <c r="H74" s="22" t="n">
        <f aca="false">A74</f>
        <v>47969</v>
      </c>
      <c r="I74" s="23" t="n">
        <f aca="false">IF($J$1="bid",B74,C74)</f>
        <v>1.96</v>
      </c>
      <c r="J74" s="24" t="n">
        <f aca="false">D74</f>
        <v>47969</v>
      </c>
      <c r="K74" s="23" t="n">
        <f aca="false">IF($J$1="bid",E74,F74)</f>
        <v>18.808</v>
      </c>
      <c r="L74" s="11"/>
      <c r="M74" s="11"/>
      <c r="N74" s="11"/>
      <c r="O74" s="11"/>
      <c r="P74" s="11"/>
      <c r="Q74" s="11"/>
      <c r="R74" s="11"/>
      <c r="S74" s="11"/>
      <c r="T74" s="11"/>
      <c r="U74" s="11"/>
      <c r="V74" s="11"/>
      <c r="W74" s="11"/>
      <c r="X74" s="11"/>
      <c r="Y74" s="11"/>
      <c r="Z74" s="11"/>
      <c r="AA74" s="11"/>
      <c r="AB74" s="11"/>
      <c r="AC74" s="11"/>
      <c r="AD74" s="11"/>
      <c r="AE74" s="11"/>
      <c r="AF74" s="11"/>
      <c r="AG74" s="11"/>
      <c r="AH74" s="11"/>
      <c r="AI74" s="11"/>
      <c r="AJ74" s="11"/>
      <c r="AK74" s="11"/>
      <c r="AL74" s="11"/>
      <c r="AM74" s="11"/>
      <c r="AN74" s="11"/>
      <c r="AO74" s="11"/>
      <c r="AP74" s="11"/>
      <c r="AQ74" s="11"/>
      <c r="AR74" s="5"/>
      <c r="AS74" s="12"/>
      <c r="AT74" s="12"/>
      <c r="AU74" s="12"/>
      <c r="AV74" s="12"/>
      <c r="AW74" s="12"/>
      <c r="AX74" s="12"/>
      <c r="AY74" s="12"/>
      <c r="AZ74" s="12"/>
      <c r="BA74" s="12"/>
      <c r="BB74" s="12"/>
      <c r="BC74" s="12"/>
      <c r="BD74" s="12"/>
      <c r="BE74" s="12"/>
      <c r="BF74" s="12"/>
      <c r="BG74" s="12"/>
      <c r="BH74" s="12"/>
      <c r="BI74" s="12"/>
      <c r="BJ74" s="12"/>
      <c r="BK74" s="12"/>
      <c r="BL74" s="12"/>
      <c r="BM74" s="12"/>
      <c r="BN74" s="12"/>
      <c r="BO74" s="12"/>
      <c r="BP74" s="12"/>
      <c r="BQ74" s="12"/>
      <c r="BR74" s="12"/>
      <c r="BS74" s="12"/>
      <c r="BT74" s="12"/>
      <c r="BU74" s="12"/>
      <c r="BV74" s="12"/>
      <c r="BW74" s="12"/>
      <c r="BX74" s="12"/>
      <c r="BY74" s="12"/>
      <c r="BZ74" s="12"/>
      <c r="CA74" s="12"/>
      <c r="CB74" s="12"/>
      <c r="CC74" s="12"/>
      <c r="CD74" s="12"/>
      <c r="CE74" s="12"/>
      <c r="CF74" s="12"/>
      <c r="CG74" s="12"/>
      <c r="CH74" s="12"/>
      <c r="CI74" s="12"/>
      <c r="CJ74" s="12"/>
      <c r="CK74" s="12"/>
      <c r="CL74" s="12"/>
      <c r="CM74" s="12"/>
      <c r="CN74" s="12"/>
      <c r="CO74" s="12"/>
      <c r="CP74" s="12"/>
      <c r="CQ74" s="12"/>
      <c r="CR74" s="12"/>
      <c r="CS74" s="12"/>
      <c r="CT74" s="12"/>
      <c r="CU74" s="12"/>
      <c r="CV74" s="12"/>
      <c r="CW74" s="12"/>
      <c r="CX74" s="12"/>
      <c r="CY74" s="12"/>
      <c r="CZ74" s="12"/>
      <c r="DA74" s="12"/>
      <c r="DB74" s="12"/>
      <c r="DC74" s="12"/>
      <c r="DD74" s="12"/>
      <c r="DE74" s="12"/>
      <c r="DF74" s="12"/>
      <c r="DG74" s="12"/>
      <c r="DH74" s="12"/>
      <c r="DI74" s="12"/>
      <c r="DJ74" s="12"/>
      <c r="DK74" s="12"/>
      <c r="DL74" s="12"/>
      <c r="DM74" s="12"/>
      <c r="DN74" s="12"/>
      <c r="DO74" s="12"/>
      <c r="DP74" s="12"/>
      <c r="DQ74" s="12"/>
      <c r="DR74" s="12"/>
      <c r="DS74" s="12"/>
      <c r="DT74" s="12"/>
      <c r="DU74" s="12"/>
      <c r="DV74" s="12"/>
      <c r="DW74" s="12"/>
      <c r="DX74" s="12"/>
      <c r="DY74" s="12"/>
      <c r="DZ74" s="12"/>
      <c r="EA74" s="12"/>
      <c r="EB74" s="12"/>
      <c r="EC74" s="12"/>
      <c r="ED74" s="12"/>
      <c r="EE74" s="12"/>
      <c r="EF74" s="12"/>
      <c r="EG74" s="12"/>
      <c r="EH74" s="12"/>
      <c r="EI74" s="12"/>
      <c r="EJ74" s="12"/>
      <c r="EK74" s="12"/>
      <c r="EL74" s="12"/>
      <c r="EM74" s="12"/>
      <c r="EN74" s="12"/>
      <c r="EO74" s="12"/>
      <c r="EP74" s="12"/>
      <c r="EQ74" s="12"/>
      <c r="ER74" s="12"/>
      <c r="ES74" s="12"/>
      <c r="ET74" s="12"/>
      <c r="EU74" s="12"/>
      <c r="EV74" s="12"/>
      <c r="EW74" s="12"/>
      <c r="EX74" s="12"/>
      <c r="EY74" s="12"/>
      <c r="EZ74" s="12"/>
      <c r="FA74" s="12"/>
      <c r="FB74" s="12"/>
      <c r="FC74" s="12"/>
      <c r="FD74" s="12"/>
      <c r="FE74" s="12"/>
      <c r="FF74" s="12"/>
      <c r="FG74" s="12"/>
      <c r="FH74" s="12"/>
      <c r="FI74" s="12"/>
      <c r="FJ74" s="12"/>
      <c r="FK74" s="12"/>
      <c r="FL74" s="12"/>
      <c r="FM74" s="12"/>
      <c r="FN74" s="12"/>
      <c r="FO74" s="12"/>
      <c r="FP74" s="12"/>
      <c r="FQ74" s="12"/>
      <c r="FR74" s="12"/>
      <c r="FS74" s="12"/>
      <c r="FT74" s="12"/>
      <c r="FU74" s="12"/>
      <c r="FV74" s="12"/>
      <c r="FW74" s="12"/>
      <c r="FX74" s="12"/>
      <c r="FY74" s="12"/>
      <c r="FZ74" s="12"/>
      <c r="GA74" s="12"/>
      <c r="GB74" s="12"/>
      <c r="GC74" s="12"/>
      <c r="GD74" s="12"/>
      <c r="GE74" s="12"/>
      <c r="GF74" s="12"/>
      <c r="GG74" s="12"/>
      <c r="GH74" s="12"/>
      <c r="GI74" s="12"/>
      <c r="GJ74" s="12"/>
      <c r="GK74" s="12"/>
      <c r="GL74" s="12"/>
      <c r="GM74" s="12"/>
      <c r="GN74" s="12"/>
      <c r="GO74" s="12"/>
      <c r="GP74" s="12"/>
      <c r="GQ74" s="12"/>
      <c r="GR74" s="12"/>
      <c r="GS74" s="12"/>
      <c r="GT74" s="12"/>
      <c r="GU74" s="12"/>
      <c r="GV74" s="12"/>
      <c r="GW74" s="12"/>
      <c r="GX74" s="12"/>
      <c r="GY74" s="12"/>
      <c r="GZ74" s="12"/>
      <c r="HA74" s="12"/>
      <c r="HB74" s="12"/>
      <c r="HC74" s="12"/>
      <c r="HD74" s="12"/>
      <c r="HE74" s="12"/>
      <c r="HF74" s="12"/>
      <c r="HG74" s="12"/>
      <c r="HH74" s="12"/>
      <c r="HI74" s="12"/>
      <c r="HJ74" s="12"/>
      <c r="HK74" s="12"/>
      <c r="HL74" s="12"/>
      <c r="HM74" s="12"/>
      <c r="HN74" s="12"/>
      <c r="HO74" s="12"/>
      <c r="HP74" s="12"/>
      <c r="HQ74" s="12"/>
      <c r="HR74" s="12"/>
      <c r="HS74" s="12"/>
      <c r="HT74" s="12"/>
      <c r="HU74" s="12"/>
      <c r="HV74" s="12"/>
      <c r="HW74" s="12"/>
      <c r="HX74" s="12"/>
      <c r="HY74" s="12"/>
      <c r="HZ74" s="12"/>
      <c r="IA74" s="12"/>
      <c r="IB74" s="12"/>
      <c r="IC74" s="12"/>
      <c r="ID74" s="12"/>
      <c r="IE74" s="12"/>
      <c r="IF74" s="12"/>
      <c r="IG74" s="12"/>
      <c r="IH74" s="12"/>
      <c r="II74" s="12"/>
      <c r="IJ74" s="12"/>
      <c r="IK74" s="12"/>
      <c r="IL74" s="12"/>
      <c r="IM74" s="12"/>
      <c r="IN74" s="12"/>
      <c r="IO74" s="12"/>
      <c r="IP74" s="12"/>
      <c r="IQ74" s="12"/>
      <c r="IR74" s="12"/>
      <c r="IS74" s="12"/>
      <c r="IT74" s="12"/>
      <c r="IU74" s="12"/>
      <c r="IV74" s="12"/>
      <c r="IW74" s="12"/>
    </row>
    <row r="75" customFormat="false" ht="11.25" hidden="false" customHeight="false" outlineLevel="0" collapsed="false">
      <c r="A75" s="25" t="n">
        <f aca="false">DATE(YEAR(A74),MONTH(A74)+1,1)</f>
        <v>48000</v>
      </c>
      <c r="B75" s="21" t="n">
        <v>1.94</v>
      </c>
      <c r="C75" s="21" t="n">
        <v>1.96</v>
      </c>
      <c r="D75" s="25" t="n">
        <f aca="false">DATE(YEAR(D74),MONTH(D74)+1,1)</f>
        <v>48000</v>
      </c>
      <c r="E75" s="21" t="n">
        <v>18.56</v>
      </c>
      <c r="F75" s="21" t="n">
        <v>18.823</v>
      </c>
      <c r="G75" s="6"/>
      <c r="H75" s="22" t="n">
        <f aca="false">A75</f>
        <v>48000</v>
      </c>
      <c r="I75" s="23" t="n">
        <f aca="false">IF($J$1="bid",B75,C75)</f>
        <v>1.96</v>
      </c>
      <c r="J75" s="24" t="n">
        <f aca="false">D75</f>
        <v>48000</v>
      </c>
      <c r="K75" s="23" t="n">
        <f aca="false">IF($J$1="bid",E75,F75)</f>
        <v>18.823</v>
      </c>
      <c r="L75" s="11"/>
      <c r="M75" s="11"/>
      <c r="N75" s="11"/>
      <c r="O75" s="11"/>
      <c r="P75" s="11"/>
      <c r="Q75" s="11"/>
      <c r="R75" s="11"/>
      <c r="S75" s="11"/>
      <c r="T75" s="11"/>
      <c r="U75" s="11"/>
      <c r="V75" s="11"/>
      <c r="W75" s="11"/>
      <c r="X75" s="11"/>
      <c r="Y75" s="11"/>
      <c r="Z75" s="11"/>
      <c r="AA75" s="11"/>
      <c r="AB75" s="11"/>
      <c r="AC75" s="11"/>
      <c r="AD75" s="11"/>
      <c r="AE75" s="11"/>
      <c r="AF75" s="11"/>
      <c r="AG75" s="11"/>
      <c r="AH75" s="11"/>
      <c r="AI75" s="11"/>
      <c r="AJ75" s="11"/>
      <c r="AK75" s="11"/>
      <c r="AL75" s="11"/>
      <c r="AM75" s="11"/>
      <c r="AN75" s="11"/>
      <c r="AO75" s="11"/>
      <c r="AP75" s="11"/>
      <c r="AQ75" s="11"/>
      <c r="AR75" s="5"/>
      <c r="AS75" s="12"/>
      <c r="AT75" s="12"/>
      <c r="AU75" s="12"/>
      <c r="AV75" s="12"/>
      <c r="AW75" s="12"/>
      <c r="AX75" s="12"/>
      <c r="AY75" s="12"/>
      <c r="AZ75" s="12"/>
      <c r="BA75" s="12"/>
      <c r="BB75" s="12"/>
      <c r="BC75" s="12"/>
      <c r="BD75" s="12"/>
      <c r="BE75" s="12"/>
      <c r="BF75" s="12"/>
      <c r="BG75" s="12"/>
      <c r="BH75" s="12"/>
      <c r="BI75" s="12"/>
      <c r="BJ75" s="12"/>
      <c r="BK75" s="12"/>
      <c r="BL75" s="12"/>
      <c r="BM75" s="12"/>
      <c r="BN75" s="12"/>
      <c r="BO75" s="12"/>
      <c r="BP75" s="12"/>
      <c r="BQ75" s="12"/>
      <c r="BR75" s="12"/>
      <c r="BS75" s="12"/>
      <c r="BT75" s="12"/>
      <c r="BU75" s="12"/>
      <c r="BV75" s="12"/>
      <c r="BW75" s="12"/>
      <c r="BX75" s="12"/>
      <c r="BY75" s="12"/>
      <c r="BZ75" s="12"/>
      <c r="CA75" s="12"/>
      <c r="CB75" s="12"/>
      <c r="CC75" s="12"/>
      <c r="CD75" s="12"/>
      <c r="CE75" s="12"/>
      <c r="CF75" s="12"/>
      <c r="CG75" s="12"/>
      <c r="CH75" s="12"/>
      <c r="CI75" s="12"/>
      <c r="CJ75" s="12"/>
      <c r="CK75" s="12"/>
      <c r="CL75" s="12"/>
      <c r="CM75" s="12"/>
      <c r="CN75" s="12"/>
      <c r="CO75" s="12"/>
      <c r="CP75" s="12"/>
      <c r="CQ75" s="12"/>
      <c r="CR75" s="12"/>
      <c r="CS75" s="12"/>
      <c r="CT75" s="12"/>
      <c r="CU75" s="12"/>
      <c r="CV75" s="12"/>
      <c r="CW75" s="12"/>
      <c r="CX75" s="12"/>
      <c r="CY75" s="12"/>
      <c r="CZ75" s="12"/>
      <c r="DA75" s="12"/>
      <c r="DB75" s="12"/>
      <c r="DC75" s="12"/>
      <c r="DD75" s="12"/>
      <c r="DE75" s="12"/>
      <c r="DF75" s="12"/>
      <c r="DG75" s="12"/>
      <c r="DH75" s="12"/>
      <c r="DI75" s="12"/>
      <c r="DJ75" s="12"/>
      <c r="DK75" s="12"/>
      <c r="DL75" s="12"/>
      <c r="DM75" s="12"/>
      <c r="DN75" s="12"/>
      <c r="DO75" s="12"/>
      <c r="DP75" s="12"/>
      <c r="DQ75" s="12"/>
      <c r="DR75" s="12"/>
      <c r="DS75" s="12"/>
      <c r="DT75" s="12"/>
      <c r="DU75" s="12"/>
      <c r="DV75" s="12"/>
      <c r="DW75" s="12"/>
      <c r="DX75" s="12"/>
      <c r="DY75" s="12"/>
      <c r="DZ75" s="12"/>
      <c r="EA75" s="12"/>
      <c r="EB75" s="12"/>
      <c r="EC75" s="12"/>
      <c r="ED75" s="12"/>
      <c r="EE75" s="12"/>
      <c r="EF75" s="12"/>
      <c r="EG75" s="12"/>
      <c r="EH75" s="12"/>
      <c r="EI75" s="12"/>
      <c r="EJ75" s="12"/>
      <c r="EK75" s="12"/>
      <c r="EL75" s="12"/>
      <c r="EM75" s="12"/>
      <c r="EN75" s="12"/>
      <c r="EO75" s="12"/>
      <c r="EP75" s="12"/>
      <c r="EQ75" s="12"/>
      <c r="ER75" s="12"/>
      <c r="ES75" s="12"/>
      <c r="ET75" s="12"/>
      <c r="EU75" s="12"/>
      <c r="EV75" s="12"/>
      <c r="EW75" s="12"/>
      <c r="EX75" s="12"/>
      <c r="EY75" s="12"/>
      <c r="EZ75" s="12"/>
      <c r="FA75" s="12"/>
      <c r="FB75" s="12"/>
      <c r="FC75" s="12"/>
      <c r="FD75" s="12"/>
      <c r="FE75" s="12"/>
      <c r="FF75" s="12"/>
      <c r="FG75" s="12"/>
      <c r="FH75" s="12"/>
      <c r="FI75" s="12"/>
      <c r="FJ75" s="12"/>
      <c r="FK75" s="12"/>
      <c r="FL75" s="12"/>
      <c r="FM75" s="12"/>
      <c r="FN75" s="12"/>
      <c r="FO75" s="12"/>
      <c r="FP75" s="12"/>
      <c r="FQ75" s="12"/>
      <c r="FR75" s="12"/>
      <c r="FS75" s="12"/>
      <c r="FT75" s="12"/>
      <c r="FU75" s="12"/>
      <c r="FV75" s="12"/>
      <c r="FW75" s="12"/>
      <c r="FX75" s="12"/>
      <c r="FY75" s="12"/>
      <c r="FZ75" s="12"/>
      <c r="GA75" s="12"/>
      <c r="GB75" s="12"/>
      <c r="GC75" s="12"/>
      <c r="GD75" s="12"/>
      <c r="GE75" s="12"/>
      <c r="GF75" s="12"/>
      <c r="GG75" s="12"/>
      <c r="GH75" s="12"/>
      <c r="GI75" s="12"/>
      <c r="GJ75" s="12"/>
      <c r="GK75" s="12"/>
      <c r="GL75" s="12"/>
      <c r="GM75" s="12"/>
      <c r="GN75" s="12"/>
      <c r="GO75" s="12"/>
      <c r="GP75" s="12"/>
      <c r="GQ75" s="12"/>
      <c r="GR75" s="12"/>
      <c r="GS75" s="12"/>
      <c r="GT75" s="12"/>
      <c r="GU75" s="12"/>
      <c r="GV75" s="12"/>
      <c r="GW75" s="12"/>
      <c r="GX75" s="12"/>
      <c r="GY75" s="12"/>
      <c r="GZ75" s="12"/>
      <c r="HA75" s="12"/>
      <c r="HB75" s="12"/>
      <c r="HC75" s="12"/>
      <c r="HD75" s="12"/>
      <c r="HE75" s="12"/>
      <c r="HF75" s="12"/>
      <c r="HG75" s="12"/>
      <c r="HH75" s="12"/>
      <c r="HI75" s="12"/>
      <c r="HJ75" s="12"/>
      <c r="HK75" s="12"/>
      <c r="HL75" s="12"/>
      <c r="HM75" s="12"/>
      <c r="HN75" s="12"/>
      <c r="HO75" s="12"/>
      <c r="HP75" s="12"/>
      <c r="HQ75" s="12"/>
      <c r="HR75" s="12"/>
      <c r="HS75" s="12"/>
      <c r="HT75" s="12"/>
      <c r="HU75" s="12"/>
      <c r="HV75" s="12"/>
      <c r="HW75" s="12"/>
      <c r="HX75" s="12"/>
      <c r="HY75" s="12"/>
      <c r="HZ75" s="12"/>
      <c r="IA75" s="12"/>
      <c r="IB75" s="12"/>
      <c r="IC75" s="12"/>
      <c r="ID75" s="12"/>
      <c r="IE75" s="12"/>
      <c r="IF75" s="12"/>
      <c r="IG75" s="12"/>
      <c r="IH75" s="12"/>
      <c r="II75" s="12"/>
      <c r="IJ75" s="12"/>
      <c r="IK75" s="12"/>
      <c r="IL75" s="12"/>
      <c r="IM75" s="12"/>
      <c r="IN75" s="12"/>
      <c r="IO75" s="12"/>
      <c r="IP75" s="12"/>
      <c r="IQ75" s="12"/>
      <c r="IR75" s="12"/>
      <c r="IS75" s="12"/>
      <c r="IT75" s="12"/>
      <c r="IU75" s="12"/>
      <c r="IV75" s="12"/>
      <c r="IW75" s="12"/>
    </row>
    <row r="76" customFormat="false" ht="11.25" hidden="false" customHeight="false" outlineLevel="0" collapsed="false">
      <c r="A76" s="25" t="n">
        <f aca="false">DATE(YEAR(A75),MONTH(A75)+1,1)</f>
        <v>48030</v>
      </c>
      <c r="B76" s="21" t="n">
        <v>1.94</v>
      </c>
      <c r="C76" s="21" t="n">
        <v>1.96</v>
      </c>
      <c r="D76" s="25" t="n">
        <f aca="false">DATE(YEAR(D75),MONTH(D75)+1,1)</f>
        <v>48030</v>
      </c>
      <c r="E76" s="21" t="n">
        <v>18.565</v>
      </c>
      <c r="F76" s="21" t="n">
        <v>18.836</v>
      </c>
      <c r="G76" s="6"/>
      <c r="H76" s="22" t="n">
        <f aca="false">A76</f>
        <v>48030</v>
      </c>
      <c r="I76" s="23" t="n">
        <f aca="false">IF($J$1="bid",B76,C76)</f>
        <v>1.96</v>
      </c>
      <c r="J76" s="24" t="n">
        <f aca="false">D76</f>
        <v>48030</v>
      </c>
      <c r="K76" s="23" t="n">
        <f aca="false">IF($J$1="bid",E76,F76)</f>
        <v>18.836</v>
      </c>
      <c r="L76" s="11"/>
      <c r="M76" s="11"/>
      <c r="N76" s="11"/>
      <c r="O76" s="11"/>
      <c r="P76" s="11"/>
      <c r="Q76" s="11"/>
      <c r="R76" s="11"/>
      <c r="S76" s="11"/>
      <c r="T76" s="11"/>
      <c r="U76" s="11"/>
      <c r="V76" s="11"/>
      <c r="W76" s="11"/>
      <c r="X76" s="11"/>
      <c r="Y76" s="11"/>
      <c r="Z76" s="11"/>
      <c r="AA76" s="11"/>
      <c r="AB76" s="11"/>
      <c r="AC76" s="11"/>
      <c r="AD76" s="11"/>
      <c r="AE76" s="11"/>
      <c r="AF76" s="11"/>
      <c r="AG76" s="11"/>
      <c r="AH76" s="11"/>
      <c r="AI76" s="11"/>
      <c r="AJ76" s="11"/>
      <c r="AK76" s="11"/>
      <c r="AL76" s="11"/>
      <c r="AM76" s="11"/>
      <c r="AN76" s="11"/>
      <c r="AO76" s="11"/>
      <c r="AP76" s="11"/>
      <c r="AQ76" s="11"/>
      <c r="AR76" s="5"/>
      <c r="AS76" s="12"/>
      <c r="AT76" s="12"/>
      <c r="AU76" s="12"/>
      <c r="AV76" s="12"/>
      <c r="AW76" s="12"/>
      <c r="AX76" s="12"/>
      <c r="AY76" s="12"/>
      <c r="AZ76" s="12"/>
      <c r="BA76" s="12"/>
      <c r="BB76" s="12"/>
      <c r="BC76" s="12"/>
      <c r="BD76" s="12"/>
      <c r="BE76" s="12"/>
      <c r="BF76" s="12"/>
      <c r="BG76" s="12"/>
      <c r="BH76" s="12"/>
      <c r="BI76" s="12"/>
      <c r="BJ76" s="12"/>
      <c r="BK76" s="12"/>
      <c r="BL76" s="12"/>
      <c r="BM76" s="12"/>
      <c r="BN76" s="12"/>
      <c r="BO76" s="12"/>
      <c r="BP76" s="12"/>
      <c r="BQ76" s="12"/>
      <c r="BR76" s="12"/>
      <c r="BS76" s="12"/>
      <c r="BT76" s="12"/>
      <c r="BU76" s="12"/>
      <c r="BV76" s="12"/>
      <c r="BW76" s="12"/>
      <c r="BX76" s="12"/>
      <c r="BY76" s="12"/>
      <c r="BZ76" s="12"/>
      <c r="CA76" s="12"/>
      <c r="CB76" s="12"/>
      <c r="CC76" s="12"/>
      <c r="CD76" s="12"/>
      <c r="CE76" s="12"/>
      <c r="CF76" s="12"/>
      <c r="CG76" s="12"/>
      <c r="CH76" s="12"/>
      <c r="CI76" s="12"/>
      <c r="CJ76" s="12"/>
      <c r="CK76" s="12"/>
      <c r="CL76" s="12"/>
      <c r="CM76" s="12"/>
      <c r="CN76" s="12"/>
      <c r="CO76" s="12"/>
      <c r="CP76" s="12"/>
      <c r="CQ76" s="12"/>
      <c r="CR76" s="12"/>
      <c r="CS76" s="12"/>
      <c r="CT76" s="12"/>
      <c r="CU76" s="12"/>
      <c r="CV76" s="12"/>
      <c r="CW76" s="12"/>
      <c r="CX76" s="12"/>
      <c r="CY76" s="12"/>
      <c r="CZ76" s="12"/>
      <c r="DA76" s="12"/>
      <c r="DB76" s="12"/>
      <c r="DC76" s="12"/>
      <c r="DD76" s="12"/>
      <c r="DE76" s="12"/>
      <c r="DF76" s="12"/>
      <c r="DG76" s="12"/>
      <c r="DH76" s="12"/>
      <c r="DI76" s="12"/>
      <c r="DJ76" s="12"/>
      <c r="DK76" s="12"/>
      <c r="DL76" s="12"/>
      <c r="DM76" s="12"/>
      <c r="DN76" s="12"/>
      <c r="DO76" s="12"/>
      <c r="DP76" s="12"/>
      <c r="DQ76" s="12"/>
      <c r="DR76" s="12"/>
      <c r="DS76" s="12"/>
      <c r="DT76" s="12"/>
      <c r="DU76" s="12"/>
      <c r="DV76" s="12"/>
      <c r="DW76" s="12"/>
      <c r="DX76" s="12"/>
      <c r="DY76" s="12"/>
      <c r="DZ76" s="12"/>
      <c r="EA76" s="12"/>
      <c r="EB76" s="12"/>
      <c r="EC76" s="12"/>
      <c r="ED76" s="12"/>
      <c r="EE76" s="12"/>
      <c r="EF76" s="12"/>
      <c r="EG76" s="12"/>
      <c r="EH76" s="12"/>
      <c r="EI76" s="12"/>
      <c r="EJ76" s="12"/>
      <c r="EK76" s="12"/>
      <c r="EL76" s="12"/>
      <c r="EM76" s="12"/>
      <c r="EN76" s="12"/>
      <c r="EO76" s="12"/>
      <c r="EP76" s="12"/>
      <c r="EQ76" s="12"/>
      <c r="ER76" s="12"/>
      <c r="ES76" s="12"/>
      <c r="ET76" s="12"/>
      <c r="EU76" s="12"/>
      <c r="EV76" s="12"/>
      <c r="EW76" s="12"/>
      <c r="EX76" s="12"/>
      <c r="EY76" s="12"/>
      <c r="EZ76" s="12"/>
      <c r="FA76" s="12"/>
      <c r="FB76" s="12"/>
      <c r="FC76" s="12"/>
      <c r="FD76" s="12"/>
      <c r="FE76" s="12"/>
      <c r="FF76" s="12"/>
      <c r="FG76" s="12"/>
      <c r="FH76" s="12"/>
      <c r="FI76" s="12"/>
      <c r="FJ76" s="12"/>
      <c r="FK76" s="12"/>
      <c r="FL76" s="12"/>
      <c r="FM76" s="12"/>
      <c r="FN76" s="12"/>
      <c r="FO76" s="12"/>
      <c r="FP76" s="12"/>
      <c r="FQ76" s="12"/>
      <c r="FR76" s="12"/>
      <c r="FS76" s="12"/>
      <c r="FT76" s="12"/>
      <c r="FU76" s="12"/>
      <c r="FV76" s="12"/>
      <c r="FW76" s="12"/>
      <c r="FX76" s="12"/>
      <c r="FY76" s="12"/>
      <c r="FZ76" s="12"/>
      <c r="GA76" s="12"/>
      <c r="GB76" s="12"/>
      <c r="GC76" s="12"/>
      <c r="GD76" s="12"/>
      <c r="GE76" s="12"/>
      <c r="GF76" s="12"/>
      <c r="GG76" s="12"/>
      <c r="GH76" s="12"/>
      <c r="GI76" s="12"/>
      <c r="GJ76" s="12"/>
      <c r="GK76" s="12"/>
      <c r="GL76" s="12"/>
      <c r="GM76" s="12"/>
      <c r="GN76" s="12"/>
      <c r="GO76" s="12"/>
      <c r="GP76" s="12"/>
      <c r="GQ76" s="12"/>
      <c r="GR76" s="12"/>
      <c r="GS76" s="12"/>
      <c r="GT76" s="12"/>
      <c r="GU76" s="12"/>
      <c r="GV76" s="12"/>
      <c r="GW76" s="12"/>
      <c r="GX76" s="12"/>
      <c r="GY76" s="12"/>
      <c r="GZ76" s="12"/>
      <c r="HA76" s="12"/>
      <c r="HB76" s="12"/>
      <c r="HC76" s="12"/>
      <c r="HD76" s="12"/>
      <c r="HE76" s="12"/>
      <c r="HF76" s="12"/>
      <c r="HG76" s="12"/>
      <c r="HH76" s="12"/>
      <c r="HI76" s="12"/>
      <c r="HJ76" s="12"/>
      <c r="HK76" s="12"/>
      <c r="HL76" s="12"/>
      <c r="HM76" s="12"/>
      <c r="HN76" s="12"/>
      <c r="HO76" s="12"/>
      <c r="HP76" s="12"/>
      <c r="HQ76" s="12"/>
      <c r="HR76" s="12"/>
      <c r="HS76" s="12"/>
      <c r="HT76" s="12"/>
      <c r="HU76" s="12"/>
      <c r="HV76" s="12"/>
      <c r="HW76" s="12"/>
      <c r="HX76" s="12"/>
      <c r="HY76" s="12"/>
      <c r="HZ76" s="12"/>
      <c r="IA76" s="12"/>
      <c r="IB76" s="12"/>
      <c r="IC76" s="12"/>
      <c r="ID76" s="12"/>
      <c r="IE76" s="12"/>
      <c r="IF76" s="12"/>
      <c r="IG76" s="12"/>
      <c r="IH76" s="12"/>
      <c r="II76" s="12"/>
      <c r="IJ76" s="12"/>
      <c r="IK76" s="12"/>
      <c r="IL76" s="12"/>
      <c r="IM76" s="12"/>
      <c r="IN76" s="12"/>
      <c r="IO76" s="12"/>
      <c r="IP76" s="12"/>
      <c r="IQ76" s="12"/>
      <c r="IR76" s="12"/>
      <c r="IS76" s="12"/>
      <c r="IT76" s="12"/>
      <c r="IU76" s="12"/>
      <c r="IV76" s="12"/>
      <c r="IW76" s="12"/>
    </row>
    <row r="77" customFormat="false" ht="11.25" hidden="false" customHeight="false" outlineLevel="0" collapsed="false">
      <c r="A77" s="25" t="n">
        <f aca="false">DATE(YEAR(A76),MONTH(A76)+1,1)</f>
        <v>48061</v>
      </c>
      <c r="B77" s="21" t="n">
        <v>1.94</v>
      </c>
      <c r="C77" s="21" t="n">
        <v>1.96</v>
      </c>
      <c r="D77" s="25" t="n">
        <f aca="false">DATE(YEAR(D76),MONTH(D76)+1,1)</f>
        <v>48061</v>
      </c>
      <c r="E77" s="21" t="n">
        <v>18.571</v>
      </c>
      <c r="F77" s="21" t="n">
        <v>18.851</v>
      </c>
      <c r="G77" s="6"/>
      <c r="H77" s="22" t="n">
        <f aca="false">A77</f>
        <v>48061</v>
      </c>
      <c r="I77" s="23" t="n">
        <f aca="false">IF($J$1="bid",B77,C77)</f>
        <v>1.96</v>
      </c>
      <c r="J77" s="24" t="n">
        <f aca="false">D77</f>
        <v>48061</v>
      </c>
      <c r="K77" s="23" t="n">
        <f aca="false">IF($J$1="bid",E77,F77)</f>
        <v>18.851</v>
      </c>
      <c r="L77" s="11"/>
      <c r="M77" s="11"/>
      <c r="N77" s="11"/>
      <c r="O77" s="11"/>
      <c r="P77" s="11"/>
      <c r="Q77" s="11"/>
      <c r="R77" s="11"/>
      <c r="S77" s="11"/>
      <c r="T77" s="11"/>
      <c r="U77" s="11"/>
      <c r="V77" s="11"/>
      <c r="W77" s="11"/>
      <c r="X77" s="11"/>
      <c r="Y77" s="11"/>
      <c r="Z77" s="11"/>
      <c r="AA77" s="11"/>
      <c r="AB77" s="11"/>
      <c r="AC77" s="11"/>
      <c r="AD77" s="11"/>
      <c r="AE77" s="11"/>
      <c r="AF77" s="11"/>
      <c r="AG77" s="11"/>
      <c r="AH77" s="11"/>
      <c r="AI77" s="11"/>
      <c r="AJ77" s="11"/>
      <c r="AK77" s="11"/>
      <c r="AL77" s="11"/>
      <c r="AM77" s="11"/>
      <c r="AN77" s="11"/>
      <c r="AO77" s="11"/>
      <c r="AP77" s="11"/>
      <c r="AQ77" s="11"/>
      <c r="AR77" s="5"/>
      <c r="AS77" s="12"/>
      <c r="AT77" s="12"/>
      <c r="AU77" s="12"/>
      <c r="AV77" s="12"/>
      <c r="AW77" s="12"/>
      <c r="AX77" s="12"/>
      <c r="AY77" s="12"/>
      <c r="AZ77" s="12"/>
      <c r="BA77" s="12"/>
      <c r="BB77" s="12"/>
      <c r="BC77" s="12"/>
      <c r="BD77" s="12"/>
      <c r="BE77" s="12"/>
      <c r="BF77" s="12"/>
      <c r="BG77" s="12"/>
      <c r="BH77" s="12"/>
      <c r="BI77" s="12"/>
      <c r="BJ77" s="12"/>
      <c r="BK77" s="12"/>
      <c r="BL77" s="12"/>
      <c r="BM77" s="12"/>
      <c r="BN77" s="12"/>
      <c r="BO77" s="12"/>
      <c r="BP77" s="12"/>
      <c r="BQ77" s="12"/>
      <c r="BR77" s="12"/>
      <c r="BS77" s="12"/>
      <c r="BT77" s="12"/>
      <c r="BU77" s="12"/>
      <c r="BV77" s="12"/>
      <c r="BW77" s="12"/>
      <c r="BX77" s="12"/>
      <c r="BY77" s="12"/>
      <c r="BZ77" s="12"/>
      <c r="CA77" s="12"/>
      <c r="CB77" s="12"/>
      <c r="CC77" s="12"/>
      <c r="CD77" s="12"/>
      <c r="CE77" s="12"/>
      <c r="CF77" s="12"/>
      <c r="CG77" s="12"/>
      <c r="CH77" s="12"/>
      <c r="CI77" s="12"/>
      <c r="CJ77" s="12"/>
      <c r="CK77" s="12"/>
      <c r="CL77" s="12"/>
      <c r="CM77" s="12"/>
      <c r="CN77" s="12"/>
      <c r="CO77" s="12"/>
      <c r="CP77" s="12"/>
      <c r="CQ77" s="12"/>
      <c r="CR77" s="12"/>
      <c r="CS77" s="12"/>
      <c r="CT77" s="12"/>
      <c r="CU77" s="12"/>
      <c r="CV77" s="12"/>
      <c r="CW77" s="12"/>
      <c r="CX77" s="12"/>
      <c r="CY77" s="12"/>
      <c r="CZ77" s="12"/>
      <c r="DA77" s="12"/>
      <c r="DB77" s="12"/>
      <c r="DC77" s="12"/>
      <c r="DD77" s="12"/>
      <c r="DE77" s="12"/>
      <c r="DF77" s="12"/>
      <c r="DG77" s="12"/>
      <c r="DH77" s="12"/>
      <c r="DI77" s="12"/>
      <c r="DJ77" s="12"/>
      <c r="DK77" s="12"/>
      <c r="DL77" s="12"/>
      <c r="DM77" s="12"/>
      <c r="DN77" s="12"/>
      <c r="DO77" s="12"/>
      <c r="DP77" s="12"/>
      <c r="DQ77" s="12"/>
      <c r="DR77" s="12"/>
      <c r="DS77" s="12"/>
      <c r="DT77" s="12"/>
      <c r="DU77" s="12"/>
      <c r="DV77" s="12"/>
      <c r="DW77" s="12"/>
      <c r="DX77" s="12"/>
      <c r="DY77" s="12"/>
      <c r="DZ77" s="12"/>
      <c r="EA77" s="12"/>
      <c r="EB77" s="12"/>
      <c r="EC77" s="12"/>
      <c r="ED77" s="12"/>
      <c r="EE77" s="12"/>
      <c r="EF77" s="12"/>
      <c r="EG77" s="12"/>
      <c r="EH77" s="12"/>
      <c r="EI77" s="12"/>
      <c r="EJ77" s="12"/>
      <c r="EK77" s="12"/>
      <c r="EL77" s="12"/>
      <c r="EM77" s="12"/>
      <c r="EN77" s="12"/>
      <c r="EO77" s="12"/>
      <c r="EP77" s="12"/>
      <c r="EQ77" s="12"/>
      <c r="ER77" s="12"/>
      <c r="ES77" s="12"/>
      <c r="ET77" s="12"/>
      <c r="EU77" s="12"/>
      <c r="EV77" s="12"/>
      <c r="EW77" s="12"/>
      <c r="EX77" s="12"/>
      <c r="EY77" s="12"/>
      <c r="EZ77" s="12"/>
      <c r="FA77" s="12"/>
      <c r="FB77" s="12"/>
      <c r="FC77" s="12"/>
      <c r="FD77" s="12"/>
      <c r="FE77" s="12"/>
      <c r="FF77" s="12"/>
      <c r="FG77" s="12"/>
      <c r="FH77" s="12"/>
      <c r="FI77" s="12"/>
      <c r="FJ77" s="12"/>
      <c r="FK77" s="12"/>
      <c r="FL77" s="12"/>
      <c r="FM77" s="12"/>
      <c r="FN77" s="12"/>
      <c r="FO77" s="12"/>
      <c r="FP77" s="12"/>
      <c r="FQ77" s="12"/>
      <c r="FR77" s="12"/>
      <c r="FS77" s="12"/>
      <c r="FT77" s="12"/>
      <c r="FU77" s="12"/>
      <c r="FV77" s="12"/>
      <c r="FW77" s="12"/>
      <c r="FX77" s="12"/>
      <c r="FY77" s="12"/>
      <c r="FZ77" s="12"/>
      <c r="GA77" s="12"/>
      <c r="GB77" s="12"/>
      <c r="GC77" s="12"/>
      <c r="GD77" s="12"/>
      <c r="GE77" s="12"/>
      <c r="GF77" s="12"/>
      <c r="GG77" s="12"/>
      <c r="GH77" s="12"/>
      <c r="GI77" s="12"/>
      <c r="GJ77" s="12"/>
      <c r="GK77" s="12"/>
      <c r="GL77" s="12"/>
      <c r="GM77" s="12"/>
      <c r="GN77" s="12"/>
      <c r="GO77" s="12"/>
      <c r="GP77" s="12"/>
      <c r="GQ77" s="12"/>
      <c r="GR77" s="12"/>
      <c r="GS77" s="12"/>
      <c r="GT77" s="12"/>
      <c r="GU77" s="12"/>
      <c r="GV77" s="12"/>
      <c r="GW77" s="12"/>
      <c r="GX77" s="12"/>
      <c r="GY77" s="12"/>
      <c r="GZ77" s="12"/>
      <c r="HA77" s="12"/>
      <c r="HB77" s="12"/>
      <c r="HC77" s="12"/>
      <c r="HD77" s="12"/>
      <c r="HE77" s="12"/>
      <c r="HF77" s="12"/>
      <c r="HG77" s="12"/>
      <c r="HH77" s="12"/>
      <c r="HI77" s="12"/>
      <c r="HJ77" s="12"/>
      <c r="HK77" s="12"/>
      <c r="HL77" s="12"/>
      <c r="HM77" s="12"/>
      <c r="HN77" s="12"/>
      <c r="HO77" s="12"/>
      <c r="HP77" s="12"/>
      <c r="HQ77" s="12"/>
      <c r="HR77" s="12"/>
      <c r="HS77" s="12"/>
      <c r="HT77" s="12"/>
      <c r="HU77" s="12"/>
      <c r="HV77" s="12"/>
      <c r="HW77" s="12"/>
      <c r="HX77" s="12"/>
      <c r="HY77" s="12"/>
      <c r="HZ77" s="12"/>
      <c r="IA77" s="12"/>
      <c r="IB77" s="12"/>
      <c r="IC77" s="12"/>
      <c r="ID77" s="12"/>
      <c r="IE77" s="12"/>
      <c r="IF77" s="12"/>
      <c r="IG77" s="12"/>
      <c r="IH77" s="12"/>
      <c r="II77" s="12"/>
      <c r="IJ77" s="12"/>
      <c r="IK77" s="12"/>
      <c r="IL77" s="12"/>
      <c r="IM77" s="12"/>
      <c r="IN77" s="12"/>
      <c r="IO77" s="12"/>
      <c r="IP77" s="12"/>
      <c r="IQ77" s="12"/>
      <c r="IR77" s="12"/>
      <c r="IS77" s="12"/>
      <c r="IT77" s="12"/>
      <c r="IU77" s="12"/>
      <c r="IV77" s="12"/>
      <c r="IW77" s="12"/>
    </row>
    <row r="78" customFormat="false" ht="11.25" hidden="false" customHeight="false" outlineLevel="0" collapsed="false">
      <c r="A78" s="25" t="n">
        <f aca="false">DATE(YEAR(A77),MONTH(A77)+1,1)</f>
        <v>48092</v>
      </c>
      <c r="B78" s="21" t="n">
        <v>2.014</v>
      </c>
      <c r="C78" s="21" t="n">
        <v>2.034</v>
      </c>
      <c r="D78" s="25" t="n">
        <f aca="false">DATE(YEAR(D77),MONTH(D77)+1,1)</f>
        <v>48092</v>
      </c>
      <c r="E78" s="21" t="n">
        <v>18.578</v>
      </c>
      <c r="F78" s="21" t="n">
        <v>18.866</v>
      </c>
      <c r="G78" s="6"/>
      <c r="H78" s="22" t="n">
        <f aca="false">A78</f>
        <v>48092</v>
      </c>
      <c r="I78" s="23" t="n">
        <f aca="false">IF($J$1="bid",B78,C78)</f>
        <v>2.034</v>
      </c>
      <c r="J78" s="24" t="n">
        <f aca="false">D78</f>
        <v>48092</v>
      </c>
      <c r="K78" s="23" t="n">
        <f aca="false">IF($J$1="bid",E78,F78)</f>
        <v>18.866</v>
      </c>
      <c r="L78" s="11"/>
      <c r="M78" s="11"/>
      <c r="N78" s="11"/>
      <c r="O78" s="11"/>
      <c r="P78" s="11"/>
      <c r="Q78" s="11"/>
      <c r="R78" s="11"/>
      <c r="S78" s="11"/>
      <c r="T78" s="11"/>
      <c r="U78" s="11"/>
      <c r="V78" s="11"/>
      <c r="W78" s="11"/>
      <c r="X78" s="11"/>
      <c r="Y78" s="11"/>
      <c r="Z78" s="11"/>
      <c r="AA78" s="11"/>
      <c r="AB78" s="11"/>
      <c r="AC78" s="11"/>
      <c r="AD78" s="11"/>
      <c r="AE78" s="11"/>
      <c r="AF78" s="11"/>
      <c r="AG78" s="11"/>
      <c r="AH78" s="11"/>
      <c r="AI78" s="11"/>
      <c r="AJ78" s="11"/>
      <c r="AK78" s="11"/>
      <c r="AL78" s="11"/>
      <c r="AM78" s="11"/>
      <c r="AN78" s="11"/>
      <c r="AO78" s="11"/>
      <c r="AP78" s="11"/>
      <c r="AQ78" s="11"/>
      <c r="AR78" s="5"/>
      <c r="AS78" s="12"/>
      <c r="AT78" s="12"/>
      <c r="AU78" s="12"/>
      <c r="AV78" s="12"/>
      <c r="AW78" s="12"/>
      <c r="AX78" s="12"/>
      <c r="AY78" s="12"/>
      <c r="AZ78" s="12"/>
      <c r="BA78" s="12"/>
      <c r="BB78" s="12"/>
      <c r="BC78" s="12"/>
      <c r="BD78" s="12"/>
      <c r="BE78" s="12"/>
      <c r="BF78" s="12"/>
      <c r="BG78" s="12"/>
      <c r="BH78" s="12"/>
      <c r="BI78" s="12"/>
      <c r="BJ78" s="12"/>
      <c r="BK78" s="12"/>
      <c r="BL78" s="12"/>
      <c r="BM78" s="12"/>
      <c r="BN78" s="12"/>
      <c r="BO78" s="12"/>
      <c r="BP78" s="12"/>
      <c r="BQ78" s="12"/>
      <c r="BR78" s="12"/>
      <c r="BS78" s="12"/>
      <c r="BT78" s="12"/>
      <c r="BU78" s="12"/>
      <c r="BV78" s="12"/>
      <c r="BW78" s="12"/>
      <c r="BX78" s="12"/>
      <c r="BY78" s="12"/>
      <c r="BZ78" s="12"/>
      <c r="CA78" s="12"/>
      <c r="CB78" s="12"/>
      <c r="CC78" s="12"/>
      <c r="CD78" s="12"/>
      <c r="CE78" s="12"/>
      <c r="CF78" s="12"/>
      <c r="CG78" s="12"/>
      <c r="CH78" s="12"/>
      <c r="CI78" s="12"/>
      <c r="CJ78" s="12"/>
      <c r="CK78" s="12"/>
      <c r="CL78" s="12"/>
      <c r="CM78" s="12"/>
      <c r="CN78" s="12"/>
      <c r="CO78" s="12"/>
      <c r="CP78" s="12"/>
      <c r="CQ78" s="12"/>
      <c r="CR78" s="12"/>
      <c r="CS78" s="12"/>
      <c r="CT78" s="12"/>
      <c r="CU78" s="12"/>
      <c r="CV78" s="12"/>
      <c r="CW78" s="12"/>
      <c r="CX78" s="12"/>
      <c r="CY78" s="12"/>
      <c r="CZ78" s="12"/>
      <c r="DA78" s="12"/>
      <c r="DB78" s="12"/>
      <c r="DC78" s="12"/>
      <c r="DD78" s="12"/>
      <c r="DE78" s="12"/>
      <c r="DF78" s="12"/>
      <c r="DG78" s="12"/>
      <c r="DH78" s="12"/>
      <c r="DI78" s="12"/>
      <c r="DJ78" s="12"/>
      <c r="DK78" s="12"/>
      <c r="DL78" s="12"/>
      <c r="DM78" s="12"/>
      <c r="DN78" s="12"/>
      <c r="DO78" s="12"/>
      <c r="DP78" s="12"/>
      <c r="DQ78" s="12"/>
      <c r="DR78" s="12"/>
      <c r="DS78" s="12"/>
      <c r="DT78" s="12"/>
      <c r="DU78" s="12"/>
      <c r="DV78" s="12"/>
      <c r="DW78" s="12"/>
      <c r="DX78" s="12"/>
      <c r="DY78" s="12"/>
      <c r="DZ78" s="12"/>
      <c r="EA78" s="12"/>
      <c r="EB78" s="12"/>
      <c r="EC78" s="12"/>
      <c r="ED78" s="12"/>
      <c r="EE78" s="12"/>
      <c r="EF78" s="12"/>
      <c r="EG78" s="12"/>
      <c r="EH78" s="12"/>
      <c r="EI78" s="12"/>
      <c r="EJ78" s="12"/>
      <c r="EK78" s="12"/>
      <c r="EL78" s="12"/>
      <c r="EM78" s="12"/>
      <c r="EN78" s="12"/>
      <c r="EO78" s="12"/>
      <c r="EP78" s="12"/>
      <c r="EQ78" s="12"/>
      <c r="ER78" s="12"/>
      <c r="ES78" s="12"/>
      <c r="ET78" s="12"/>
      <c r="EU78" s="12"/>
      <c r="EV78" s="12"/>
      <c r="EW78" s="12"/>
      <c r="EX78" s="12"/>
      <c r="EY78" s="12"/>
      <c r="EZ78" s="12"/>
      <c r="FA78" s="12"/>
      <c r="FB78" s="12"/>
      <c r="FC78" s="12"/>
      <c r="FD78" s="12"/>
      <c r="FE78" s="12"/>
      <c r="FF78" s="12"/>
      <c r="FG78" s="12"/>
      <c r="FH78" s="12"/>
      <c r="FI78" s="12"/>
      <c r="FJ78" s="12"/>
      <c r="FK78" s="12"/>
      <c r="FL78" s="12"/>
      <c r="FM78" s="12"/>
      <c r="FN78" s="12"/>
      <c r="FO78" s="12"/>
      <c r="FP78" s="12"/>
      <c r="FQ78" s="12"/>
      <c r="FR78" s="12"/>
      <c r="FS78" s="12"/>
      <c r="FT78" s="12"/>
      <c r="FU78" s="12"/>
      <c r="FV78" s="12"/>
      <c r="FW78" s="12"/>
      <c r="FX78" s="12"/>
      <c r="FY78" s="12"/>
      <c r="FZ78" s="12"/>
      <c r="GA78" s="12"/>
      <c r="GB78" s="12"/>
      <c r="GC78" s="12"/>
      <c r="GD78" s="12"/>
      <c r="GE78" s="12"/>
      <c r="GF78" s="12"/>
      <c r="GG78" s="12"/>
      <c r="GH78" s="12"/>
      <c r="GI78" s="12"/>
      <c r="GJ78" s="12"/>
      <c r="GK78" s="12"/>
      <c r="GL78" s="12"/>
      <c r="GM78" s="12"/>
      <c r="GN78" s="12"/>
      <c r="GO78" s="12"/>
      <c r="GP78" s="12"/>
      <c r="GQ78" s="12"/>
      <c r="GR78" s="12"/>
      <c r="GS78" s="12"/>
      <c r="GT78" s="12"/>
      <c r="GU78" s="12"/>
      <c r="GV78" s="12"/>
      <c r="GW78" s="12"/>
      <c r="GX78" s="12"/>
      <c r="GY78" s="12"/>
      <c r="GZ78" s="12"/>
      <c r="HA78" s="12"/>
      <c r="HB78" s="12"/>
      <c r="HC78" s="12"/>
      <c r="HD78" s="12"/>
      <c r="HE78" s="12"/>
      <c r="HF78" s="12"/>
      <c r="HG78" s="12"/>
      <c r="HH78" s="12"/>
      <c r="HI78" s="12"/>
      <c r="HJ78" s="12"/>
      <c r="HK78" s="12"/>
      <c r="HL78" s="12"/>
      <c r="HM78" s="12"/>
      <c r="HN78" s="12"/>
      <c r="HO78" s="12"/>
      <c r="HP78" s="12"/>
      <c r="HQ78" s="12"/>
      <c r="HR78" s="12"/>
      <c r="HS78" s="12"/>
      <c r="HT78" s="12"/>
      <c r="HU78" s="12"/>
      <c r="HV78" s="12"/>
      <c r="HW78" s="12"/>
      <c r="HX78" s="12"/>
      <c r="HY78" s="12"/>
      <c r="HZ78" s="12"/>
      <c r="IA78" s="12"/>
      <c r="IB78" s="12"/>
      <c r="IC78" s="12"/>
      <c r="ID78" s="12"/>
      <c r="IE78" s="12"/>
      <c r="IF78" s="12"/>
      <c r="IG78" s="12"/>
      <c r="IH78" s="12"/>
      <c r="II78" s="12"/>
      <c r="IJ78" s="12"/>
      <c r="IK78" s="12"/>
      <c r="IL78" s="12"/>
      <c r="IM78" s="12"/>
      <c r="IN78" s="12"/>
      <c r="IO78" s="12"/>
      <c r="IP78" s="12"/>
      <c r="IQ78" s="12"/>
      <c r="IR78" s="12"/>
      <c r="IS78" s="12"/>
      <c r="IT78" s="12"/>
      <c r="IU78" s="12"/>
      <c r="IV78" s="12"/>
      <c r="IW78" s="12"/>
    </row>
    <row r="79" customFormat="false" ht="11.25" hidden="false" customHeight="false" outlineLevel="0" collapsed="false">
      <c r="A79" s="30" t="n">
        <f aca="false">DATE(YEAR(A78),MONTH(A78)+1,1)</f>
        <v>48122</v>
      </c>
      <c r="B79" s="21" t="n">
        <v>2.132</v>
      </c>
      <c r="C79" s="21" t="n">
        <v>2.152</v>
      </c>
      <c r="D79" s="30" t="n">
        <f aca="false">DATE(YEAR(D78),MONTH(D78)+1,1)</f>
        <v>48122</v>
      </c>
      <c r="E79" s="21" t="n">
        <v>18.585</v>
      </c>
      <c r="F79" s="21" t="n">
        <v>18.882</v>
      </c>
      <c r="G79" s="6"/>
      <c r="H79" s="22" t="n">
        <f aca="false">A79</f>
        <v>48122</v>
      </c>
      <c r="I79" s="23" t="n">
        <f aca="false">IF($J$1="bid",B79,C79)</f>
        <v>2.152</v>
      </c>
      <c r="J79" s="24" t="n">
        <f aca="false">D79</f>
        <v>48122</v>
      </c>
      <c r="K79" s="23" t="n">
        <f aca="false">IF($J$1="bid",E79,F79)</f>
        <v>18.882</v>
      </c>
      <c r="L79" s="11"/>
      <c r="M79" s="11"/>
      <c r="N79" s="11"/>
      <c r="O79" s="11"/>
      <c r="P79" s="11"/>
      <c r="Q79" s="11"/>
      <c r="R79" s="11"/>
      <c r="S79" s="11"/>
      <c r="T79" s="11"/>
      <c r="U79" s="11"/>
      <c r="V79" s="11"/>
      <c r="W79" s="11"/>
      <c r="X79" s="11"/>
      <c r="Y79" s="11"/>
      <c r="Z79" s="11"/>
      <c r="AA79" s="11"/>
      <c r="AB79" s="11"/>
      <c r="AC79" s="11"/>
      <c r="AD79" s="11"/>
      <c r="AE79" s="11"/>
      <c r="AF79" s="11"/>
      <c r="AG79" s="11"/>
      <c r="AH79" s="11"/>
      <c r="AI79" s="11"/>
      <c r="AJ79" s="11"/>
      <c r="AK79" s="11"/>
      <c r="AL79" s="11"/>
      <c r="AM79" s="11"/>
      <c r="AN79" s="11"/>
      <c r="AO79" s="11"/>
      <c r="AP79" s="11"/>
      <c r="AQ79" s="11"/>
      <c r="AR79" s="5"/>
      <c r="AS79" s="12"/>
      <c r="AT79" s="12"/>
      <c r="AU79" s="12"/>
      <c r="AV79" s="12"/>
      <c r="AW79" s="12"/>
      <c r="AX79" s="12"/>
      <c r="AY79" s="12"/>
      <c r="AZ79" s="12"/>
      <c r="BA79" s="12"/>
      <c r="BB79" s="12"/>
      <c r="BC79" s="12"/>
      <c r="BD79" s="12"/>
      <c r="BE79" s="12"/>
      <c r="BF79" s="12"/>
      <c r="BG79" s="12"/>
      <c r="BH79" s="12"/>
      <c r="BI79" s="12"/>
      <c r="BJ79" s="12"/>
      <c r="BK79" s="12"/>
      <c r="BL79" s="12"/>
      <c r="BM79" s="12"/>
      <c r="BN79" s="12"/>
      <c r="BO79" s="12"/>
      <c r="BP79" s="12"/>
      <c r="BQ79" s="12"/>
      <c r="BR79" s="12"/>
      <c r="BS79" s="12"/>
      <c r="BT79" s="12"/>
      <c r="BU79" s="12"/>
      <c r="BV79" s="12"/>
      <c r="BW79" s="12"/>
      <c r="BX79" s="12"/>
      <c r="BY79" s="12"/>
      <c r="BZ79" s="12"/>
      <c r="CA79" s="12"/>
      <c r="CB79" s="12"/>
      <c r="CC79" s="12"/>
      <c r="CD79" s="12"/>
      <c r="CE79" s="12"/>
      <c r="CF79" s="12"/>
      <c r="CG79" s="12"/>
      <c r="CH79" s="12"/>
      <c r="CI79" s="12"/>
      <c r="CJ79" s="12"/>
      <c r="CK79" s="12"/>
      <c r="CL79" s="12"/>
      <c r="CM79" s="12"/>
      <c r="CN79" s="12"/>
      <c r="CO79" s="12"/>
      <c r="CP79" s="12"/>
      <c r="CQ79" s="12"/>
      <c r="CR79" s="12"/>
      <c r="CS79" s="12"/>
      <c r="CT79" s="12"/>
      <c r="CU79" s="12"/>
      <c r="CV79" s="12"/>
      <c r="CW79" s="12"/>
      <c r="CX79" s="12"/>
      <c r="CY79" s="12"/>
      <c r="CZ79" s="12"/>
      <c r="DA79" s="12"/>
      <c r="DB79" s="12"/>
      <c r="DC79" s="12"/>
      <c r="DD79" s="12"/>
      <c r="DE79" s="12"/>
      <c r="DF79" s="12"/>
      <c r="DG79" s="12"/>
      <c r="DH79" s="12"/>
      <c r="DI79" s="12"/>
      <c r="DJ79" s="12"/>
      <c r="DK79" s="12"/>
      <c r="DL79" s="12"/>
      <c r="DM79" s="12"/>
      <c r="DN79" s="12"/>
      <c r="DO79" s="12"/>
      <c r="DP79" s="12"/>
      <c r="DQ79" s="12"/>
      <c r="DR79" s="12"/>
      <c r="DS79" s="12"/>
      <c r="DT79" s="12"/>
      <c r="DU79" s="12"/>
      <c r="DV79" s="12"/>
      <c r="DW79" s="12"/>
      <c r="DX79" s="12"/>
      <c r="DY79" s="12"/>
      <c r="DZ79" s="12"/>
      <c r="EA79" s="12"/>
      <c r="EB79" s="12"/>
      <c r="EC79" s="12"/>
      <c r="ED79" s="12"/>
      <c r="EE79" s="12"/>
      <c r="EF79" s="12"/>
      <c r="EG79" s="12"/>
      <c r="EH79" s="12"/>
      <c r="EI79" s="12"/>
      <c r="EJ79" s="12"/>
      <c r="EK79" s="12"/>
      <c r="EL79" s="12"/>
      <c r="EM79" s="12"/>
      <c r="EN79" s="12"/>
      <c r="EO79" s="12"/>
      <c r="EP79" s="12"/>
      <c r="EQ79" s="12"/>
      <c r="ER79" s="12"/>
      <c r="ES79" s="12"/>
      <c r="ET79" s="12"/>
      <c r="EU79" s="12"/>
      <c r="EV79" s="12"/>
      <c r="EW79" s="12"/>
      <c r="EX79" s="12"/>
      <c r="EY79" s="12"/>
      <c r="EZ79" s="12"/>
      <c r="FA79" s="12"/>
      <c r="FB79" s="12"/>
      <c r="FC79" s="12"/>
      <c r="FD79" s="12"/>
      <c r="FE79" s="12"/>
      <c r="FF79" s="12"/>
      <c r="FG79" s="12"/>
      <c r="FH79" s="12"/>
      <c r="FI79" s="12"/>
      <c r="FJ79" s="12"/>
      <c r="FK79" s="12"/>
      <c r="FL79" s="12"/>
      <c r="FM79" s="12"/>
      <c r="FN79" s="12"/>
      <c r="FO79" s="12"/>
      <c r="FP79" s="12"/>
      <c r="FQ79" s="12"/>
      <c r="FR79" s="12"/>
      <c r="FS79" s="12"/>
      <c r="FT79" s="12"/>
      <c r="FU79" s="12"/>
      <c r="FV79" s="12"/>
      <c r="FW79" s="12"/>
      <c r="FX79" s="12"/>
      <c r="FY79" s="12"/>
      <c r="FZ79" s="12"/>
      <c r="GA79" s="12"/>
      <c r="GB79" s="12"/>
      <c r="GC79" s="12"/>
      <c r="GD79" s="12"/>
      <c r="GE79" s="12"/>
      <c r="GF79" s="12"/>
      <c r="GG79" s="12"/>
      <c r="GH79" s="12"/>
      <c r="GI79" s="12"/>
      <c r="GJ79" s="12"/>
      <c r="GK79" s="12"/>
      <c r="GL79" s="12"/>
      <c r="GM79" s="12"/>
      <c r="GN79" s="12"/>
      <c r="GO79" s="12"/>
      <c r="GP79" s="12"/>
      <c r="GQ79" s="12"/>
      <c r="GR79" s="12"/>
      <c r="GS79" s="12"/>
      <c r="GT79" s="12"/>
      <c r="GU79" s="12"/>
      <c r="GV79" s="12"/>
      <c r="GW79" s="12"/>
      <c r="GX79" s="12"/>
      <c r="GY79" s="12"/>
      <c r="GZ79" s="12"/>
      <c r="HA79" s="12"/>
      <c r="HB79" s="12"/>
      <c r="HC79" s="12"/>
      <c r="HD79" s="12"/>
      <c r="HE79" s="12"/>
      <c r="HF79" s="12"/>
      <c r="HG79" s="12"/>
      <c r="HH79" s="12"/>
      <c r="HI79" s="12"/>
      <c r="HJ79" s="12"/>
      <c r="HK79" s="12"/>
      <c r="HL79" s="12"/>
      <c r="HM79" s="12"/>
      <c r="HN79" s="12"/>
      <c r="HO79" s="12"/>
      <c r="HP79" s="12"/>
      <c r="HQ79" s="12"/>
      <c r="HR79" s="12"/>
      <c r="HS79" s="12"/>
      <c r="HT79" s="12"/>
      <c r="HU79" s="12"/>
      <c r="HV79" s="12"/>
      <c r="HW79" s="12"/>
      <c r="HX79" s="12"/>
      <c r="HY79" s="12"/>
      <c r="HZ79" s="12"/>
      <c r="IA79" s="12"/>
      <c r="IB79" s="12"/>
      <c r="IC79" s="12"/>
      <c r="ID79" s="12"/>
      <c r="IE79" s="12"/>
      <c r="IF79" s="12"/>
      <c r="IG79" s="12"/>
      <c r="IH79" s="12"/>
      <c r="II79" s="12"/>
      <c r="IJ79" s="12"/>
      <c r="IK79" s="12"/>
      <c r="IL79" s="12"/>
      <c r="IM79" s="12"/>
      <c r="IN79" s="12"/>
      <c r="IO79" s="12"/>
      <c r="IP79" s="12"/>
      <c r="IQ79" s="12"/>
      <c r="IR79" s="12"/>
      <c r="IS79" s="12"/>
      <c r="IT79" s="12"/>
      <c r="IU79" s="12"/>
      <c r="IV79" s="12"/>
      <c r="IW79" s="12"/>
    </row>
    <row r="80" customFormat="false" ht="11.25" hidden="false" customHeight="false" outlineLevel="0" collapsed="false">
      <c r="A80" s="30" t="n">
        <f aca="false">DATE(YEAR(A79),MONTH(A79)+1,1)</f>
        <v>48153</v>
      </c>
      <c r="B80" s="21" t="n">
        <v>2.168</v>
      </c>
      <c r="C80" s="21" t="n">
        <v>2.193</v>
      </c>
      <c r="D80" s="30" t="n">
        <f aca="false">DATE(YEAR(D79),MONTH(D79)+1,1)</f>
        <v>48153</v>
      </c>
      <c r="E80" s="21" t="n">
        <v>18.593</v>
      </c>
      <c r="F80" s="21" t="n">
        <v>18.899</v>
      </c>
      <c r="G80" s="6"/>
      <c r="H80" s="22" t="n">
        <f aca="false">A80</f>
        <v>48153</v>
      </c>
      <c r="I80" s="23" t="n">
        <f aca="false">IF($J$1="bid",B80,C80)</f>
        <v>2.193</v>
      </c>
      <c r="J80" s="24" t="n">
        <f aca="false">D80</f>
        <v>48153</v>
      </c>
      <c r="K80" s="23" t="n">
        <f aca="false">IF($J$1="bid",E80,F80)</f>
        <v>18.899</v>
      </c>
      <c r="L80" s="11"/>
      <c r="M80" s="11"/>
      <c r="N80" s="11"/>
      <c r="O80" s="11"/>
      <c r="P80" s="11"/>
      <c r="Q80" s="11"/>
      <c r="R80" s="11"/>
      <c r="S80" s="11"/>
      <c r="T80" s="11"/>
      <c r="U80" s="11"/>
      <c r="V80" s="11"/>
      <c r="W80" s="11"/>
      <c r="X80" s="11"/>
      <c r="Y80" s="11"/>
      <c r="Z80" s="11"/>
      <c r="AA80" s="11"/>
      <c r="AB80" s="11"/>
      <c r="AC80" s="11"/>
      <c r="AD80" s="11"/>
      <c r="AE80" s="11"/>
      <c r="AF80" s="11"/>
      <c r="AG80" s="11"/>
      <c r="AH80" s="11"/>
      <c r="AI80" s="11"/>
      <c r="AJ80" s="11"/>
      <c r="AK80" s="11"/>
      <c r="AL80" s="11"/>
      <c r="AM80" s="11"/>
      <c r="AN80" s="11"/>
      <c r="AO80" s="11"/>
      <c r="AP80" s="11"/>
      <c r="AQ80" s="11"/>
      <c r="AR80" s="5"/>
      <c r="AS80" s="12"/>
      <c r="AT80" s="12"/>
      <c r="AU80" s="12"/>
      <c r="AV80" s="12"/>
      <c r="AW80" s="12"/>
      <c r="AX80" s="12"/>
      <c r="AY80" s="12"/>
      <c r="AZ80" s="12"/>
      <c r="BA80" s="12"/>
      <c r="BB80" s="12"/>
      <c r="BC80" s="12"/>
      <c r="BD80" s="12"/>
      <c r="BE80" s="12"/>
      <c r="BF80" s="12"/>
      <c r="BG80" s="12"/>
      <c r="BH80" s="12"/>
      <c r="BI80" s="12"/>
      <c r="BJ80" s="12"/>
      <c r="BK80" s="12"/>
      <c r="BL80" s="12"/>
      <c r="BM80" s="12"/>
      <c r="BN80" s="12"/>
      <c r="BO80" s="12"/>
      <c r="BP80" s="12"/>
      <c r="BQ80" s="12"/>
      <c r="BR80" s="12"/>
      <c r="BS80" s="12"/>
      <c r="BT80" s="12"/>
      <c r="BU80" s="12"/>
      <c r="BV80" s="12"/>
      <c r="BW80" s="12"/>
      <c r="BX80" s="12"/>
      <c r="BY80" s="12"/>
      <c r="BZ80" s="12"/>
      <c r="CA80" s="12"/>
      <c r="CB80" s="12"/>
      <c r="CC80" s="12"/>
      <c r="CD80" s="12"/>
      <c r="CE80" s="12"/>
      <c r="CF80" s="12"/>
      <c r="CG80" s="12"/>
      <c r="CH80" s="12"/>
      <c r="CI80" s="12"/>
      <c r="CJ80" s="12"/>
      <c r="CK80" s="12"/>
      <c r="CL80" s="12"/>
      <c r="CM80" s="12"/>
      <c r="CN80" s="12"/>
      <c r="CO80" s="12"/>
      <c r="CP80" s="12"/>
      <c r="CQ80" s="12"/>
      <c r="CR80" s="12"/>
      <c r="CS80" s="12"/>
      <c r="CT80" s="12"/>
      <c r="CU80" s="12"/>
      <c r="CV80" s="12"/>
      <c r="CW80" s="12"/>
      <c r="CX80" s="12"/>
      <c r="CY80" s="12"/>
      <c r="CZ80" s="12"/>
      <c r="DA80" s="12"/>
      <c r="DB80" s="12"/>
      <c r="DC80" s="12"/>
      <c r="DD80" s="12"/>
      <c r="DE80" s="12"/>
      <c r="DF80" s="12"/>
      <c r="DG80" s="12"/>
      <c r="DH80" s="12"/>
      <c r="DI80" s="12"/>
      <c r="DJ80" s="12"/>
      <c r="DK80" s="12"/>
      <c r="DL80" s="12"/>
      <c r="DM80" s="12"/>
      <c r="DN80" s="12"/>
      <c r="DO80" s="12"/>
      <c r="DP80" s="12"/>
      <c r="DQ80" s="12"/>
      <c r="DR80" s="12"/>
      <c r="DS80" s="12"/>
      <c r="DT80" s="12"/>
      <c r="DU80" s="12"/>
      <c r="DV80" s="12"/>
      <c r="DW80" s="12"/>
      <c r="DX80" s="12"/>
      <c r="DY80" s="12"/>
      <c r="DZ80" s="12"/>
      <c r="EA80" s="12"/>
      <c r="EB80" s="12"/>
      <c r="EC80" s="12"/>
      <c r="ED80" s="12"/>
      <c r="EE80" s="12"/>
      <c r="EF80" s="12"/>
      <c r="EG80" s="12"/>
      <c r="EH80" s="12"/>
      <c r="EI80" s="12"/>
      <c r="EJ80" s="12"/>
      <c r="EK80" s="12"/>
      <c r="EL80" s="12"/>
      <c r="EM80" s="12"/>
      <c r="EN80" s="12"/>
      <c r="EO80" s="12"/>
      <c r="EP80" s="12"/>
      <c r="EQ80" s="12"/>
      <c r="ER80" s="12"/>
      <c r="ES80" s="12"/>
      <c r="ET80" s="12"/>
      <c r="EU80" s="12"/>
      <c r="EV80" s="12"/>
      <c r="EW80" s="12"/>
      <c r="EX80" s="12"/>
      <c r="EY80" s="12"/>
      <c r="EZ80" s="12"/>
      <c r="FA80" s="12"/>
      <c r="FB80" s="12"/>
      <c r="FC80" s="12"/>
      <c r="FD80" s="12"/>
      <c r="FE80" s="12"/>
      <c r="FF80" s="12"/>
      <c r="FG80" s="12"/>
      <c r="FH80" s="12"/>
      <c r="FI80" s="12"/>
      <c r="FJ80" s="12"/>
      <c r="FK80" s="12"/>
      <c r="FL80" s="12"/>
      <c r="FM80" s="12"/>
      <c r="FN80" s="12"/>
      <c r="FO80" s="12"/>
      <c r="FP80" s="12"/>
      <c r="FQ80" s="12"/>
      <c r="FR80" s="12"/>
      <c r="FS80" s="12"/>
      <c r="FT80" s="12"/>
      <c r="FU80" s="12"/>
      <c r="FV80" s="12"/>
      <c r="FW80" s="12"/>
      <c r="FX80" s="12"/>
      <c r="FY80" s="12"/>
      <c r="FZ80" s="12"/>
      <c r="GA80" s="12"/>
      <c r="GB80" s="12"/>
      <c r="GC80" s="12"/>
      <c r="GD80" s="12"/>
      <c r="GE80" s="12"/>
      <c r="GF80" s="12"/>
      <c r="GG80" s="12"/>
      <c r="GH80" s="12"/>
      <c r="GI80" s="12"/>
      <c r="GJ80" s="12"/>
      <c r="GK80" s="12"/>
      <c r="GL80" s="12"/>
      <c r="GM80" s="12"/>
      <c r="GN80" s="12"/>
      <c r="GO80" s="12"/>
      <c r="GP80" s="12"/>
      <c r="GQ80" s="12"/>
      <c r="GR80" s="12"/>
      <c r="GS80" s="12"/>
      <c r="GT80" s="12"/>
      <c r="GU80" s="12"/>
      <c r="GV80" s="12"/>
      <c r="GW80" s="12"/>
      <c r="GX80" s="12"/>
      <c r="GY80" s="12"/>
      <c r="GZ80" s="12"/>
      <c r="HA80" s="12"/>
      <c r="HB80" s="12"/>
      <c r="HC80" s="12"/>
      <c r="HD80" s="12"/>
      <c r="HE80" s="12"/>
      <c r="HF80" s="12"/>
      <c r="HG80" s="12"/>
      <c r="HH80" s="12"/>
      <c r="HI80" s="12"/>
      <c r="HJ80" s="12"/>
      <c r="HK80" s="12"/>
      <c r="HL80" s="12"/>
      <c r="HM80" s="12"/>
      <c r="HN80" s="12"/>
      <c r="HO80" s="12"/>
      <c r="HP80" s="12"/>
      <c r="HQ80" s="12"/>
      <c r="HR80" s="12"/>
      <c r="HS80" s="12"/>
      <c r="HT80" s="12"/>
      <c r="HU80" s="12"/>
      <c r="HV80" s="12"/>
      <c r="HW80" s="12"/>
      <c r="HX80" s="12"/>
      <c r="HY80" s="12"/>
      <c r="HZ80" s="12"/>
      <c r="IA80" s="12"/>
      <c r="IB80" s="12"/>
      <c r="IC80" s="12"/>
      <c r="ID80" s="12"/>
      <c r="IE80" s="12"/>
      <c r="IF80" s="12"/>
      <c r="IG80" s="12"/>
      <c r="IH80" s="12"/>
      <c r="II80" s="12"/>
      <c r="IJ80" s="12"/>
      <c r="IK80" s="12"/>
      <c r="IL80" s="12"/>
      <c r="IM80" s="12"/>
      <c r="IN80" s="12"/>
      <c r="IO80" s="12"/>
      <c r="IP80" s="12"/>
      <c r="IQ80" s="12"/>
      <c r="IR80" s="12"/>
      <c r="IS80" s="12"/>
      <c r="IT80" s="12"/>
      <c r="IU80" s="12"/>
      <c r="IV80" s="12"/>
      <c r="IW80" s="12"/>
    </row>
    <row r="81" customFormat="false" ht="11.25" hidden="false" customHeight="false" outlineLevel="0" collapsed="false">
      <c r="A81" s="30" t="n">
        <f aca="false">DATE(YEAR(A80),MONTH(A80)+1,1)</f>
        <v>48183</v>
      </c>
      <c r="B81" s="21" t="n">
        <v>2.083</v>
      </c>
      <c r="C81" s="21" t="n">
        <v>2.108</v>
      </c>
      <c r="D81" s="30" t="n">
        <f aca="false">DATE(YEAR(D80),MONTH(D80)+1,1)</f>
        <v>48183</v>
      </c>
      <c r="E81" s="21" t="n">
        <v>18.6</v>
      </c>
      <c r="F81" s="21" t="n">
        <v>18.914</v>
      </c>
      <c r="G81" s="6"/>
      <c r="H81" s="22" t="n">
        <f aca="false">A81</f>
        <v>48183</v>
      </c>
      <c r="I81" s="23" t="n">
        <f aca="false">IF($J$1="bid",B81,C81)</f>
        <v>2.108</v>
      </c>
      <c r="J81" s="24" t="n">
        <f aca="false">D81</f>
        <v>48183</v>
      </c>
      <c r="K81" s="23" t="n">
        <f aca="false">IF($J$1="bid",E81,F81)</f>
        <v>18.914</v>
      </c>
      <c r="L81" s="11"/>
      <c r="M81" s="11"/>
      <c r="N81" s="11"/>
      <c r="O81" s="11"/>
      <c r="P81" s="11"/>
      <c r="Q81" s="11"/>
      <c r="R81" s="11"/>
      <c r="S81" s="11"/>
      <c r="T81" s="11"/>
      <c r="U81" s="11"/>
      <c r="V81" s="11"/>
      <c r="W81" s="11"/>
      <c r="X81" s="11"/>
      <c r="Y81" s="11"/>
      <c r="Z81" s="11"/>
      <c r="AA81" s="11"/>
      <c r="AB81" s="11"/>
      <c r="AC81" s="11"/>
      <c r="AD81" s="11"/>
      <c r="AE81" s="11"/>
      <c r="AF81" s="11"/>
      <c r="AG81" s="11"/>
      <c r="AH81" s="11"/>
      <c r="AI81" s="11"/>
      <c r="AJ81" s="11"/>
      <c r="AK81" s="11"/>
      <c r="AL81" s="11"/>
      <c r="AM81" s="11"/>
      <c r="AN81" s="11"/>
      <c r="AO81" s="11"/>
      <c r="AP81" s="11"/>
      <c r="AQ81" s="11"/>
      <c r="AR81" s="5"/>
      <c r="AS81" s="12"/>
      <c r="AT81" s="12"/>
      <c r="AU81" s="12"/>
      <c r="AV81" s="12"/>
      <c r="AW81" s="12"/>
      <c r="AX81" s="12"/>
      <c r="AY81" s="12"/>
      <c r="AZ81" s="12"/>
      <c r="BA81" s="12"/>
      <c r="BB81" s="12"/>
      <c r="BC81" s="12"/>
      <c r="BD81" s="12"/>
      <c r="BE81" s="12"/>
      <c r="BF81" s="12"/>
      <c r="BG81" s="12"/>
      <c r="BH81" s="12"/>
      <c r="BI81" s="12"/>
      <c r="BJ81" s="12"/>
      <c r="BK81" s="12"/>
      <c r="BL81" s="12"/>
      <c r="BM81" s="12"/>
      <c r="BN81" s="12"/>
      <c r="BO81" s="12"/>
      <c r="BP81" s="12"/>
      <c r="BQ81" s="12"/>
      <c r="BR81" s="12"/>
      <c r="BS81" s="12"/>
      <c r="BT81" s="12"/>
      <c r="BU81" s="12"/>
      <c r="BV81" s="12"/>
      <c r="BW81" s="12"/>
      <c r="BX81" s="12"/>
      <c r="BY81" s="12"/>
      <c r="BZ81" s="12"/>
      <c r="CA81" s="12"/>
      <c r="CB81" s="12"/>
      <c r="CC81" s="12"/>
      <c r="CD81" s="12"/>
      <c r="CE81" s="12"/>
      <c r="CF81" s="12"/>
      <c r="CG81" s="12"/>
      <c r="CH81" s="12"/>
      <c r="CI81" s="12"/>
      <c r="CJ81" s="12"/>
      <c r="CK81" s="12"/>
      <c r="CL81" s="12"/>
      <c r="CM81" s="12"/>
      <c r="CN81" s="12"/>
      <c r="CO81" s="12"/>
      <c r="CP81" s="12"/>
      <c r="CQ81" s="12"/>
      <c r="CR81" s="12"/>
      <c r="CS81" s="12"/>
      <c r="CT81" s="12"/>
      <c r="CU81" s="12"/>
      <c r="CV81" s="12"/>
      <c r="CW81" s="12"/>
      <c r="CX81" s="12"/>
      <c r="CY81" s="12"/>
      <c r="CZ81" s="12"/>
      <c r="DA81" s="12"/>
      <c r="DB81" s="12"/>
      <c r="DC81" s="12"/>
      <c r="DD81" s="12"/>
      <c r="DE81" s="12"/>
      <c r="DF81" s="12"/>
      <c r="DG81" s="12"/>
      <c r="DH81" s="12"/>
      <c r="DI81" s="12"/>
      <c r="DJ81" s="12"/>
      <c r="DK81" s="12"/>
      <c r="DL81" s="12"/>
      <c r="DM81" s="12"/>
      <c r="DN81" s="12"/>
      <c r="DO81" s="12"/>
      <c r="DP81" s="12"/>
      <c r="DQ81" s="12"/>
      <c r="DR81" s="12"/>
      <c r="DS81" s="12"/>
      <c r="DT81" s="12"/>
      <c r="DU81" s="12"/>
      <c r="DV81" s="12"/>
      <c r="DW81" s="12"/>
      <c r="DX81" s="12"/>
      <c r="DY81" s="12"/>
      <c r="DZ81" s="12"/>
      <c r="EA81" s="12"/>
      <c r="EB81" s="12"/>
      <c r="EC81" s="12"/>
      <c r="ED81" s="12"/>
      <c r="EE81" s="12"/>
      <c r="EF81" s="12"/>
      <c r="EG81" s="12"/>
      <c r="EH81" s="12"/>
      <c r="EI81" s="12"/>
      <c r="EJ81" s="12"/>
      <c r="EK81" s="12"/>
      <c r="EL81" s="12"/>
      <c r="EM81" s="12"/>
      <c r="EN81" s="12"/>
      <c r="EO81" s="12"/>
      <c r="EP81" s="12"/>
      <c r="EQ81" s="12"/>
      <c r="ER81" s="12"/>
      <c r="ES81" s="12"/>
      <c r="ET81" s="12"/>
      <c r="EU81" s="12"/>
      <c r="EV81" s="12"/>
      <c r="EW81" s="12"/>
      <c r="EX81" s="12"/>
      <c r="EY81" s="12"/>
      <c r="EZ81" s="12"/>
      <c r="FA81" s="12"/>
      <c r="FB81" s="12"/>
      <c r="FC81" s="12"/>
      <c r="FD81" s="12"/>
      <c r="FE81" s="12"/>
      <c r="FF81" s="12"/>
      <c r="FG81" s="12"/>
      <c r="FH81" s="12"/>
      <c r="FI81" s="12"/>
      <c r="FJ81" s="12"/>
      <c r="FK81" s="12"/>
      <c r="FL81" s="12"/>
      <c r="FM81" s="12"/>
      <c r="FN81" s="12"/>
      <c r="FO81" s="12"/>
      <c r="FP81" s="12"/>
      <c r="FQ81" s="12"/>
      <c r="FR81" s="12"/>
      <c r="FS81" s="12"/>
      <c r="FT81" s="12"/>
      <c r="FU81" s="12"/>
      <c r="FV81" s="12"/>
      <c r="FW81" s="12"/>
      <c r="FX81" s="12"/>
      <c r="FY81" s="12"/>
      <c r="FZ81" s="12"/>
      <c r="GA81" s="12"/>
      <c r="GB81" s="12"/>
      <c r="GC81" s="12"/>
      <c r="GD81" s="12"/>
      <c r="GE81" s="12"/>
      <c r="GF81" s="12"/>
      <c r="GG81" s="12"/>
      <c r="GH81" s="12"/>
      <c r="GI81" s="12"/>
      <c r="GJ81" s="12"/>
      <c r="GK81" s="12"/>
      <c r="GL81" s="12"/>
      <c r="GM81" s="12"/>
      <c r="GN81" s="12"/>
      <c r="GO81" s="12"/>
      <c r="GP81" s="12"/>
      <c r="GQ81" s="12"/>
      <c r="GR81" s="12"/>
      <c r="GS81" s="12"/>
      <c r="GT81" s="12"/>
      <c r="GU81" s="12"/>
      <c r="GV81" s="12"/>
      <c r="GW81" s="12"/>
      <c r="GX81" s="12"/>
      <c r="GY81" s="12"/>
      <c r="GZ81" s="12"/>
      <c r="HA81" s="12"/>
      <c r="HB81" s="12"/>
      <c r="HC81" s="12"/>
      <c r="HD81" s="12"/>
      <c r="HE81" s="12"/>
      <c r="HF81" s="12"/>
      <c r="HG81" s="12"/>
      <c r="HH81" s="12"/>
      <c r="HI81" s="12"/>
      <c r="HJ81" s="12"/>
      <c r="HK81" s="12"/>
      <c r="HL81" s="12"/>
      <c r="HM81" s="12"/>
      <c r="HN81" s="12"/>
      <c r="HO81" s="12"/>
      <c r="HP81" s="12"/>
      <c r="HQ81" s="12"/>
      <c r="HR81" s="12"/>
      <c r="HS81" s="12"/>
      <c r="HT81" s="12"/>
      <c r="HU81" s="12"/>
      <c r="HV81" s="12"/>
      <c r="HW81" s="12"/>
      <c r="HX81" s="12"/>
      <c r="HY81" s="12"/>
      <c r="HZ81" s="12"/>
      <c r="IA81" s="12"/>
      <c r="IB81" s="12"/>
      <c r="IC81" s="12"/>
      <c r="ID81" s="12"/>
      <c r="IE81" s="12"/>
      <c r="IF81" s="12"/>
      <c r="IG81" s="12"/>
      <c r="IH81" s="12"/>
      <c r="II81" s="12"/>
      <c r="IJ81" s="12"/>
      <c r="IK81" s="12"/>
      <c r="IL81" s="12"/>
      <c r="IM81" s="12"/>
      <c r="IN81" s="12"/>
      <c r="IO81" s="12"/>
      <c r="IP81" s="12"/>
      <c r="IQ81" s="12"/>
      <c r="IR81" s="12"/>
      <c r="IS81" s="12"/>
      <c r="IT81" s="12"/>
      <c r="IU81" s="12"/>
      <c r="IV81" s="12"/>
      <c r="IW81" s="12"/>
    </row>
    <row r="82" customFormat="false" ht="11.25" hidden="false" customHeight="false" outlineLevel="0" collapsed="false">
      <c r="A82" s="25" t="n">
        <f aca="false">DATE(YEAR(A81),MONTH(A81)+1,1)</f>
        <v>48214</v>
      </c>
      <c r="B82" s="21" t="n">
        <v>2.017</v>
      </c>
      <c r="C82" s="21" t="n">
        <v>2.042</v>
      </c>
      <c r="D82" s="25" t="n">
        <f aca="false">DATE(YEAR(D81),MONTH(D81)+1,1)</f>
        <v>48214</v>
      </c>
      <c r="E82" s="21" t="n">
        <v>18.607</v>
      </c>
      <c r="F82" s="21" t="n">
        <v>18.929</v>
      </c>
      <c r="G82" s="6"/>
      <c r="H82" s="22" t="n">
        <f aca="false">A82</f>
        <v>48214</v>
      </c>
      <c r="I82" s="23" t="n">
        <f aca="false">IF($J$1="bid",B82,C82)</f>
        <v>2.042</v>
      </c>
      <c r="J82" s="24" t="n">
        <f aca="false">D82</f>
        <v>48214</v>
      </c>
      <c r="K82" s="23" t="n">
        <f aca="false">IF($J$1="bid",E82,F82)</f>
        <v>18.929</v>
      </c>
      <c r="L82" s="11"/>
      <c r="M82" s="11"/>
      <c r="N82" s="11"/>
      <c r="O82" s="11"/>
      <c r="P82" s="11"/>
      <c r="Q82" s="11"/>
      <c r="R82" s="11"/>
      <c r="S82" s="11"/>
      <c r="T82" s="11"/>
      <c r="U82" s="11"/>
      <c r="V82" s="11"/>
      <c r="W82" s="11"/>
      <c r="X82" s="11"/>
      <c r="Y82" s="11"/>
      <c r="Z82" s="11"/>
      <c r="AA82" s="11"/>
      <c r="AB82" s="11"/>
      <c r="AC82" s="11"/>
      <c r="AD82" s="11"/>
      <c r="AE82" s="11"/>
      <c r="AF82" s="11"/>
      <c r="AG82" s="11"/>
      <c r="AH82" s="11"/>
      <c r="AI82" s="11"/>
      <c r="AJ82" s="11"/>
      <c r="AK82" s="11"/>
      <c r="AL82" s="11"/>
      <c r="AM82" s="11"/>
      <c r="AN82" s="11"/>
      <c r="AO82" s="11"/>
      <c r="AP82" s="11"/>
      <c r="AQ82" s="11"/>
      <c r="AR82" s="5"/>
      <c r="AS82" s="12"/>
      <c r="AT82" s="12"/>
      <c r="AU82" s="12"/>
      <c r="AV82" s="12"/>
      <c r="AW82" s="12"/>
      <c r="AX82" s="12"/>
      <c r="AY82" s="12"/>
      <c r="AZ82" s="12"/>
      <c r="BA82" s="12"/>
      <c r="BB82" s="12"/>
      <c r="BC82" s="12"/>
      <c r="BD82" s="12"/>
      <c r="BE82" s="12"/>
      <c r="BF82" s="12"/>
      <c r="BG82" s="12"/>
      <c r="BH82" s="12"/>
      <c r="BI82" s="12"/>
      <c r="BJ82" s="12"/>
      <c r="BK82" s="12"/>
      <c r="BL82" s="12"/>
      <c r="BM82" s="12"/>
      <c r="BN82" s="12"/>
      <c r="BO82" s="12"/>
      <c r="BP82" s="12"/>
      <c r="BQ82" s="12"/>
      <c r="BR82" s="12"/>
      <c r="BS82" s="12"/>
      <c r="BT82" s="12"/>
      <c r="BU82" s="12"/>
      <c r="BV82" s="12"/>
      <c r="BW82" s="12"/>
      <c r="BX82" s="12"/>
      <c r="BY82" s="12"/>
      <c r="BZ82" s="12"/>
      <c r="CA82" s="12"/>
      <c r="CB82" s="12"/>
      <c r="CC82" s="12"/>
      <c r="CD82" s="12"/>
      <c r="CE82" s="12"/>
      <c r="CF82" s="12"/>
      <c r="CG82" s="12"/>
      <c r="CH82" s="12"/>
      <c r="CI82" s="12"/>
      <c r="CJ82" s="12"/>
      <c r="CK82" s="12"/>
      <c r="CL82" s="12"/>
      <c r="CM82" s="12"/>
      <c r="CN82" s="12"/>
      <c r="CO82" s="12"/>
      <c r="CP82" s="12"/>
      <c r="CQ82" s="12"/>
      <c r="CR82" s="12"/>
      <c r="CS82" s="12"/>
      <c r="CT82" s="12"/>
      <c r="CU82" s="12"/>
      <c r="CV82" s="12"/>
      <c r="CW82" s="12"/>
      <c r="CX82" s="12"/>
      <c r="CY82" s="12"/>
      <c r="CZ82" s="12"/>
      <c r="DA82" s="12"/>
      <c r="DB82" s="12"/>
      <c r="DC82" s="12"/>
      <c r="DD82" s="12"/>
      <c r="DE82" s="12"/>
      <c r="DF82" s="12"/>
      <c r="DG82" s="12"/>
      <c r="DH82" s="12"/>
      <c r="DI82" s="12"/>
      <c r="DJ82" s="12"/>
      <c r="DK82" s="12"/>
      <c r="DL82" s="12"/>
      <c r="DM82" s="12"/>
      <c r="DN82" s="12"/>
      <c r="DO82" s="12"/>
      <c r="DP82" s="12"/>
      <c r="DQ82" s="12"/>
      <c r="DR82" s="12"/>
      <c r="DS82" s="12"/>
      <c r="DT82" s="12"/>
      <c r="DU82" s="12"/>
      <c r="DV82" s="12"/>
      <c r="DW82" s="12"/>
      <c r="DX82" s="12"/>
      <c r="DY82" s="12"/>
      <c r="DZ82" s="12"/>
      <c r="EA82" s="12"/>
      <c r="EB82" s="12"/>
      <c r="EC82" s="12"/>
      <c r="ED82" s="12"/>
      <c r="EE82" s="12"/>
      <c r="EF82" s="12"/>
      <c r="EG82" s="12"/>
      <c r="EH82" s="12"/>
      <c r="EI82" s="12"/>
      <c r="EJ82" s="12"/>
      <c r="EK82" s="12"/>
      <c r="EL82" s="12"/>
      <c r="EM82" s="12"/>
      <c r="EN82" s="12"/>
      <c r="EO82" s="12"/>
      <c r="EP82" s="12"/>
      <c r="EQ82" s="12"/>
      <c r="ER82" s="12"/>
      <c r="ES82" s="12"/>
      <c r="ET82" s="12"/>
      <c r="EU82" s="12"/>
      <c r="EV82" s="12"/>
      <c r="EW82" s="12"/>
      <c r="EX82" s="12"/>
      <c r="EY82" s="12"/>
      <c r="EZ82" s="12"/>
      <c r="FA82" s="12"/>
      <c r="FB82" s="12"/>
      <c r="FC82" s="12"/>
      <c r="FD82" s="12"/>
      <c r="FE82" s="12"/>
      <c r="FF82" s="12"/>
      <c r="FG82" s="12"/>
      <c r="FH82" s="12"/>
      <c r="FI82" s="12"/>
      <c r="FJ82" s="12"/>
      <c r="FK82" s="12"/>
      <c r="FL82" s="12"/>
      <c r="FM82" s="12"/>
      <c r="FN82" s="12"/>
      <c r="FO82" s="12"/>
      <c r="FP82" s="12"/>
      <c r="FQ82" s="12"/>
      <c r="FR82" s="12"/>
      <c r="FS82" s="12"/>
      <c r="FT82" s="12"/>
      <c r="FU82" s="12"/>
      <c r="FV82" s="12"/>
      <c r="FW82" s="12"/>
      <c r="FX82" s="12"/>
      <c r="FY82" s="12"/>
      <c r="FZ82" s="12"/>
      <c r="GA82" s="12"/>
      <c r="GB82" s="12"/>
      <c r="GC82" s="12"/>
      <c r="GD82" s="12"/>
      <c r="GE82" s="12"/>
      <c r="GF82" s="12"/>
      <c r="GG82" s="12"/>
      <c r="GH82" s="12"/>
      <c r="GI82" s="12"/>
      <c r="GJ82" s="12"/>
      <c r="GK82" s="12"/>
      <c r="GL82" s="12"/>
      <c r="GM82" s="12"/>
      <c r="GN82" s="12"/>
      <c r="GO82" s="12"/>
      <c r="GP82" s="12"/>
      <c r="GQ82" s="12"/>
      <c r="GR82" s="12"/>
      <c r="GS82" s="12"/>
      <c r="GT82" s="12"/>
      <c r="GU82" s="12"/>
      <c r="GV82" s="12"/>
      <c r="GW82" s="12"/>
      <c r="GX82" s="12"/>
      <c r="GY82" s="12"/>
      <c r="GZ82" s="12"/>
      <c r="HA82" s="12"/>
      <c r="HB82" s="12"/>
      <c r="HC82" s="12"/>
      <c r="HD82" s="12"/>
      <c r="HE82" s="12"/>
      <c r="HF82" s="12"/>
      <c r="HG82" s="12"/>
      <c r="HH82" s="12"/>
      <c r="HI82" s="12"/>
      <c r="HJ82" s="12"/>
      <c r="HK82" s="12"/>
      <c r="HL82" s="12"/>
      <c r="HM82" s="12"/>
      <c r="HN82" s="12"/>
      <c r="HO82" s="12"/>
      <c r="HP82" s="12"/>
      <c r="HQ82" s="12"/>
      <c r="HR82" s="12"/>
      <c r="HS82" s="12"/>
      <c r="HT82" s="12"/>
      <c r="HU82" s="12"/>
      <c r="HV82" s="12"/>
      <c r="HW82" s="12"/>
      <c r="HX82" s="12"/>
      <c r="HY82" s="12"/>
      <c r="HZ82" s="12"/>
      <c r="IA82" s="12"/>
      <c r="IB82" s="12"/>
      <c r="IC82" s="12"/>
      <c r="ID82" s="12"/>
      <c r="IE82" s="12"/>
      <c r="IF82" s="12"/>
      <c r="IG82" s="12"/>
      <c r="IH82" s="12"/>
      <c r="II82" s="12"/>
      <c r="IJ82" s="12"/>
      <c r="IK82" s="12"/>
      <c r="IL82" s="12"/>
      <c r="IM82" s="12"/>
      <c r="IN82" s="12"/>
      <c r="IO82" s="12"/>
      <c r="IP82" s="12"/>
      <c r="IQ82" s="12"/>
      <c r="IR82" s="12"/>
      <c r="IS82" s="12"/>
      <c r="IT82" s="12"/>
      <c r="IU82" s="12"/>
      <c r="IV82" s="12"/>
      <c r="IW82" s="12"/>
    </row>
    <row r="83" customFormat="false" ht="11.25" hidden="false" customHeight="false" outlineLevel="0" collapsed="false">
      <c r="A83" s="25" t="n">
        <f aca="false">DATE(YEAR(A82),MONTH(A82)+1,1)</f>
        <v>48245</v>
      </c>
      <c r="B83" s="21" t="n">
        <v>1.968</v>
      </c>
      <c r="C83" s="21" t="n">
        <v>1.993</v>
      </c>
      <c r="D83" s="25" t="n">
        <f aca="false">DATE(YEAR(D82),MONTH(D82)+1,1)</f>
        <v>48245</v>
      </c>
      <c r="E83" s="21" t="n">
        <v>18.615</v>
      </c>
      <c r="F83" s="21" t="n">
        <v>18.945</v>
      </c>
      <c r="G83" s="6"/>
      <c r="H83" s="22" t="n">
        <f aca="false">A83</f>
        <v>48245</v>
      </c>
      <c r="I83" s="23" t="n">
        <f aca="false">IF($J$1="bid",B83,C83)</f>
        <v>1.993</v>
      </c>
      <c r="J83" s="24" t="n">
        <f aca="false">D83</f>
        <v>48245</v>
      </c>
      <c r="K83" s="23" t="n">
        <f aca="false">IF($J$1="bid",E83,F83)</f>
        <v>18.945</v>
      </c>
      <c r="L83" s="11"/>
      <c r="M83" s="11"/>
      <c r="N83" s="11"/>
      <c r="O83" s="11"/>
      <c r="P83" s="11"/>
      <c r="Q83" s="11"/>
      <c r="R83" s="11"/>
      <c r="S83" s="11"/>
      <c r="T83" s="11"/>
      <c r="U83" s="11"/>
      <c r="V83" s="11"/>
      <c r="W83" s="11"/>
      <c r="X83" s="11"/>
      <c r="Y83" s="11"/>
      <c r="Z83" s="11"/>
      <c r="AA83" s="11"/>
      <c r="AB83" s="11"/>
      <c r="AC83" s="11"/>
      <c r="AD83" s="11"/>
      <c r="AE83" s="11"/>
      <c r="AF83" s="11"/>
      <c r="AG83" s="11"/>
      <c r="AH83" s="11"/>
      <c r="AI83" s="11"/>
      <c r="AJ83" s="11"/>
      <c r="AK83" s="11"/>
      <c r="AL83" s="11"/>
      <c r="AM83" s="11"/>
      <c r="AN83" s="11"/>
      <c r="AO83" s="11"/>
      <c r="AP83" s="11"/>
      <c r="AQ83" s="11"/>
      <c r="AR83" s="5"/>
      <c r="AS83" s="12"/>
      <c r="AT83" s="12"/>
      <c r="AU83" s="12"/>
      <c r="AV83" s="12"/>
      <c r="AW83" s="12"/>
      <c r="AX83" s="12"/>
      <c r="AY83" s="12"/>
      <c r="AZ83" s="12"/>
      <c r="BA83" s="12"/>
      <c r="BB83" s="12"/>
      <c r="BC83" s="12"/>
      <c r="BD83" s="12"/>
      <c r="BE83" s="12"/>
      <c r="BF83" s="12"/>
      <c r="BG83" s="12"/>
      <c r="BH83" s="12"/>
      <c r="BI83" s="12"/>
      <c r="BJ83" s="12"/>
      <c r="BK83" s="12"/>
      <c r="BL83" s="12"/>
      <c r="BM83" s="12"/>
      <c r="BN83" s="12"/>
      <c r="BO83" s="12"/>
      <c r="BP83" s="12"/>
      <c r="BQ83" s="12"/>
      <c r="BR83" s="12"/>
      <c r="BS83" s="12"/>
      <c r="BT83" s="12"/>
      <c r="BU83" s="12"/>
      <c r="BV83" s="12"/>
      <c r="BW83" s="12"/>
      <c r="BX83" s="12"/>
      <c r="BY83" s="12"/>
      <c r="BZ83" s="12"/>
      <c r="CA83" s="12"/>
      <c r="CB83" s="12"/>
      <c r="CC83" s="12"/>
      <c r="CD83" s="12"/>
      <c r="CE83" s="12"/>
      <c r="CF83" s="12"/>
      <c r="CG83" s="12"/>
      <c r="CH83" s="12"/>
      <c r="CI83" s="12"/>
      <c r="CJ83" s="12"/>
      <c r="CK83" s="12"/>
      <c r="CL83" s="12"/>
      <c r="CM83" s="12"/>
      <c r="CN83" s="12"/>
      <c r="CO83" s="12"/>
      <c r="CP83" s="12"/>
      <c r="CQ83" s="12"/>
      <c r="CR83" s="12"/>
      <c r="CS83" s="12"/>
      <c r="CT83" s="12"/>
      <c r="CU83" s="12"/>
      <c r="CV83" s="12"/>
      <c r="CW83" s="12"/>
      <c r="CX83" s="12"/>
      <c r="CY83" s="12"/>
      <c r="CZ83" s="12"/>
      <c r="DA83" s="12"/>
      <c r="DB83" s="12"/>
      <c r="DC83" s="12"/>
      <c r="DD83" s="12"/>
      <c r="DE83" s="12"/>
      <c r="DF83" s="12"/>
      <c r="DG83" s="12"/>
      <c r="DH83" s="12"/>
      <c r="DI83" s="12"/>
      <c r="DJ83" s="12"/>
      <c r="DK83" s="12"/>
      <c r="DL83" s="12"/>
      <c r="DM83" s="12"/>
      <c r="DN83" s="12"/>
      <c r="DO83" s="12"/>
      <c r="DP83" s="12"/>
      <c r="DQ83" s="12"/>
      <c r="DR83" s="12"/>
      <c r="DS83" s="12"/>
      <c r="DT83" s="12"/>
      <c r="DU83" s="12"/>
      <c r="DV83" s="12"/>
      <c r="DW83" s="12"/>
      <c r="DX83" s="12"/>
      <c r="DY83" s="12"/>
      <c r="DZ83" s="12"/>
      <c r="EA83" s="12"/>
      <c r="EB83" s="12"/>
      <c r="EC83" s="12"/>
      <c r="ED83" s="12"/>
      <c r="EE83" s="12"/>
      <c r="EF83" s="12"/>
      <c r="EG83" s="12"/>
      <c r="EH83" s="12"/>
      <c r="EI83" s="12"/>
      <c r="EJ83" s="12"/>
      <c r="EK83" s="12"/>
      <c r="EL83" s="12"/>
      <c r="EM83" s="12"/>
      <c r="EN83" s="12"/>
      <c r="EO83" s="12"/>
      <c r="EP83" s="12"/>
      <c r="EQ83" s="12"/>
      <c r="ER83" s="12"/>
      <c r="ES83" s="12"/>
      <c r="ET83" s="12"/>
      <c r="EU83" s="12"/>
      <c r="EV83" s="12"/>
      <c r="EW83" s="12"/>
      <c r="EX83" s="12"/>
      <c r="EY83" s="12"/>
      <c r="EZ83" s="12"/>
      <c r="FA83" s="12"/>
      <c r="FB83" s="12"/>
      <c r="FC83" s="12"/>
      <c r="FD83" s="12"/>
      <c r="FE83" s="12"/>
      <c r="FF83" s="12"/>
      <c r="FG83" s="12"/>
      <c r="FH83" s="12"/>
      <c r="FI83" s="12"/>
      <c r="FJ83" s="12"/>
      <c r="FK83" s="12"/>
      <c r="FL83" s="12"/>
      <c r="FM83" s="12"/>
      <c r="FN83" s="12"/>
      <c r="FO83" s="12"/>
      <c r="FP83" s="12"/>
      <c r="FQ83" s="12"/>
      <c r="FR83" s="12"/>
      <c r="FS83" s="12"/>
      <c r="FT83" s="12"/>
      <c r="FU83" s="12"/>
      <c r="FV83" s="12"/>
      <c r="FW83" s="12"/>
      <c r="FX83" s="12"/>
      <c r="FY83" s="12"/>
      <c r="FZ83" s="12"/>
      <c r="GA83" s="12"/>
      <c r="GB83" s="12"/>
      <c r="GC83" s="12"/>
      <c r="GD83" s="12"/>
      <c r="GE83" s="12"/>
      <c r="GF83" s="12"/>
      <c r="GG83" s="12"/>
      <c r="GH83" s="12"/>
      <c r="GI83" s="12"/>
      <c r="GJ83" s="12"/>
      <c r="GK83" s="12"/>
      <c r="GL83" s="12"/>
      <c r="GM83" s="12"/>
      <c r="GN83" s="12"/>
      <c r="GO83" s="12"/>
      <c r="GP83" s="12"/>
      <c r="GQ83" s="12"/>
      <c r="GR83" s="12"/>
      <c r="GS83" s="12"/>
      <c r="GT83" s="12"/>
      <c r="GU83" s="12"/>
      <c r="GV83" s="12"/>
      <c r="GW83" s="12"/>
      <c r="GX83" s="12"/>
      <c r="GY83" s="12"/>
      <c r="GZ83" s="12"/>
      <c r="HA83" s="12"/>
      <c r="HB83" s="12"/>
      <c r="HC83" s="12"/>
      <c r="HD83" s="12"/>
      <c r="HE83" s="12"/>
      <c r="HF83" s="12"/>
      <c r="HG83" s="12"/>
      <c r="HH83" s="12"/>
      <c r="HI83" s="12"/>
      <c r="HJ83" s="12"/>
      <c r="HK83" s="12"/>
      <c r="HL83" s="12"/>
      <c r="HM83" s="12"/>
      <c r="HN83" s="12"/>
      <c r="HO83" s="12"/>
      <c r="HP83" s="12"/>
      <c r="HQ83" s="12"/>
      <c r="HR83" s="12"/>
      <c r="HS83" s="12"/>
      <c r="HT83" s="12"/>
      <c r="HU83" s="12"/>
      <c r="HV83" s="12"/>
      <c r="HW83" s="12"/>
      <c r="HX83" s="12"/>
      <c r="HY83" s="12"/>
      <c r="HZ83" s="12"/>
      <c r="IA83" s="12"/>
      <c r="IB83" s="12"/>
      <c r="IC83" s="12"/>
      <c r="ID83" s="12"/>
      <c r="IE83" s="12"/>
      <c r="IF83" s="12"/>
      <c r="IG83" s="12"/>
      <c r="IH83" s="12"/>
      <c r="II83" s="12"/>
      <c r="IJ83" s="12"/>
      <c r="IK83" s="12"/>
      <c r="IL83" s="12"/>
      <c r="IM83" s="12"/>
      <c r="IN83" s="12"/>
      <c r="IO83" s="12"/>
      <c r="IP83" s="12"/>
      <c r="IQ83" s="12"/>
      <c r="IR83" s="12"/>
      <c r="IS83" s="12"/>
      <c r="IT83" s="12"/>
      <c r="IU83" s="12"/>
      <c r="IV83" s="12"/>
      <c r="IW83" s="12"/>
    </row>
    <row r="84" customFormat="false" ht="11.25" hidden="false" customHeight="false" outlineLevel="0" collapsed="false">
      <c r="A84" s="25" t="n">
        <f aca="false">DATE(YEAR(A83),MONTH(A83)+1,1)</f>
        <v>48274</v>
      </c>
      <c r="B84" s="21" t="n">
        <v>1.955</v>
      </c>
      <c r="C84" s="21" t="n">
        <v>1.98</v>
      </c>
      <c r="D84" s="25" t="n">
        <f aca="false">DATE(YEAR(D83),MONTH(D83)+1,1)</f>
        <v>48274</v>
      </c>
      <c r="E84" s="21" t="n">
        <v>18.623</v>
      </c>
      <c r="F84" s="21" t="n">
        <v>18.961</v>
      </c>
      <c r="G84" s="6"/>
      <c r="H84" s="22" t="n">
        <f aca="false">A84</f>
        <v>48274</v>
      </c>
      <c r="I84" s="23" t="n">
        <f aca="false">IF($J$1="bid",B84,C84)</f>
        <v>1.98</v>
      </c>
      <c r="J84" s="24" t="n">
        <f aca="false">D84</f>
        <v>48274</v>
      </c>
      <c r="K84" s="23" t="n">
        <f aca="false">IF($J$1="bid",E84,F84)</f>
        <v>18.961</v>
      </c>
      <c r="L84" s="11"/>
      <c r="M84" s="11"/>
      <c r="N84" s="11"/>
      <c r="O84" s="11"/>
      <c r="P84" s="11"/>
      <c r="Q84" s="11"/>
      <c r="R84" s="11"/>
      <c r="S84" s="11"/>
      <c r="T84" s="11"/>
      <c r="U84" s="11"/>
      <c r="V84" s="11"/>
      <c r="W84" s="11"/>
      <c r="X84" s="11"/>
      <c r="Y84" s="11"/>
      <c r="Z84" s="11"/>
      <c r="AA84" s="11"/>
      <c r="AB84" s="11"/>
      <c r="AC84" s="11"/>
      <c r="AD84" s="11"/>
      <c r="AE84" s="11"/>
      <c r="AF84" s="11"/>
      <c r="AG84" s="11"/>
      <c r="AH84" s="11"/>
      <c r="AI84" s="11"/>
      <c r="AJ84" s="11"/>
      <c r="AK84" s="11"/>
      <c r="AL84" s="11"/>
      <c r="AM84" s="11"/>
      <c r="AN84" s="11"/>
      <c r="AO84" s="11"/>
      <c r="AP84" s="11"/>
      <c r="AQ84" s="11"/>
      <c r="AR84" s="5"/>
      <c r="AS84" s="12"/>
      <c r="AT84" s="12"/>
      <c r="AU84" s="12"/>
      <c r="AV84" s="12"/>
      <c r="AW84" s="12"/>
      <c r="AX84" s="12"/>
      <c r="AY84" s="12"/>
      <c r="AZ84" s="12"/>
      <c r="BA84" s="12"/>
      <c r="BB84" s="12"/>
      <c r="BC84" s="12"/>
      <c r="BD84" s="12"/>
      <c r="BE84" s="12"/>
      <c r="BF84" s="12"/>
      <c r="BG84" s="12"/>
      <c r="BH84" s="12"/>
      <c r="BI84" s="12"/>
      <c r="BJ84" s="12"/>
      <c r="BK84" s="12"/>
      <c r="BL84" s="12"/>
      <c r="BM84" s="12"/>
      <c r="BN84" s="12"/>
      <c r="BO84" s="12"/>
      <c r="BP84" s="12"/>
      <c r="BQ84" s="12"/>
      <c r="BR84" s="12"/>
      <c r="BS84" s="12"/>
      <c r="BT84" s="12"/>
      <c r="BU84" s="12"/>
      <c r="BV84" s="12"/>
      <c r="BW84" s="12"/>
      <c r="BX84" s="12"/>
      <c r="BY84" s="12"/>
      <c r="BZ84" s="12"/>
      <c r="CA84" s="12"/>
      <c r="CB84" s="12"/>
      <c r="CC84" s="12"/>
      <c r="CD84" s="12"/>
      <c r="CE84" s="12"/>
      <c r="CF84" s="12"/>
      <c r="CG84" s="12"/>
      <c r="CH84" s="12"/>
      <c r="CI84" s="12"/>
      <c r="CJ84" s="12"/>
      <c r="CK84" s="12"/>
      <c r="CL84" s="12"/>
      <c r="CM84" s="12"/>
      <c r="CN84" s="12"/>
      <c r="CO84" s="12"/>
      <c r="CP84" s="12"/>
      <c r="CQ84" s="12"/>
      <c r="CR84" s="12"/>
      <c r="CS84" s="12"/>
      <c r="CT84" s="12"/>
      <c r="CU84" s="12"/>
      <c r="CV84" s="12"/>
      <c r="CW84" s="12"/>
      <c r="CX84" s="12"/>
      <c r="CY84" s="12"/>
      <c r="CZ84" s="12"/>
      <c r="DA84" s="12"/>
      <c r="DB84" s="12"/>
      <c r="DC84" s="12"/>
      <c r="DD84" s="12"/>
      <c r="DE84" s="12"/>
      <c r="DF84" s="12"/>
      <c r="DG84" s="12"/>
      <c r="DH84" s="12"/>
      <c r="DI84" s="12"/>
      <c r="DJ84" s="12"/>
      <c r="DK84" s="12"/>
      <c r="DL84" s="12"/>
      <c r="DM84" s="12"/>
      <c r="DN84" s="12"/>
      <c r="DO84" s="12"/>
      <c r="DP84" s="12"/>
      <c r="DQ84" s="12"/>
      <c r="DR84" s="12"/>
      <c r="DS84" s="12"/>
      <c r="DT84" s="12"/>
      <c r="DU84" s="12"/>
      <c r="DV84" s="12"/>
      <c r="DW84" s="12"/>
      <c r="DX84" s="12"/>
      <c r="DY84" s="12"/>
      <c r="DZ84" s="12"/>
      <c r="EA84" s="12"/>
      <c r="EB84" s="12"/>
      <c r="EC84" s="12"/>
      <c r="ED84" s="12"/>
      <c r="EE84" s="12"/>
      <c r="EF84" s="12"/>
      <c r="EG84" s="12"/>
      <c r="EH84" s="12"/>
      <c r="EI84" s="12"/>
      <c r="EJ84" s="12"/>
      <c r="EK84" s="12"/>
      <c r="EL84" s="12"/>
      <c r="EM84" s="12"/>
      <c r="EN84" s="12"/>
      <c r="EO84" s="12"/>
      <c r="EP84" s="12"/>
      <c r="EQ84" s="12"/>
      <c r="ER84" s="12"/>
      <c r="ES84" s="12"/>
      <c r="ET84" s="12"/>
      <c r="EU84" s="12"/>
      <c r="EV84" s="12"/>
      <c r="EW84" s="12"/>
      <c r="EX84" s="12"/>
      <c r="EY84" s="12"/>
      <c r="EZ84" s="12"/>
      <c r="FA84" s="12"/>
      <c r="FB84" s="12"/>
      <c r="FC84" s="12"/>
      <c r="FD84" s="12"/>
      <c r="FE84" s="12"/>
      <c r="FF84" s="12"/>
      <c r="FG84" s="12"/>
      <c r="FH84" s="12"/>
      <c r="FI84" s="12"/>
      <c r="FJ84" s="12"/>
      <c r="FK84" s="12"/>
      <c r="FL84" s="12"/>
      <c r="FM84" s="12"/>
      <c r="FN84" s="12"/>
      <c r="FO84" s="12"/>
      <c r="FP84" s="12"/>
      <c r="FQ84" s="12"/>
      <c r="FR84" s="12"/>
      <c r="FS84" s="12"/>
      <c r="FT84" s="12"/>
      <c r="FU84" s="12"/>
      <c r="FV84" s="12"/>
      <c r="FW84" s="12"/>
      <c r="FX84" s="12"/>
      <c r="FY84" s="12"/>
      <c r="FZ84" s="12"/>
      <c r="GA84" s="12"/>
      <c r="GB84" s="12"/>
      <c r="GC84" s="12"/>
      <c r="GD84" s="12"/>
      <c r="GE84" s="12"/>
      <c r="GF84" s="12"/>
      <c r="GG84" s="12"/>
      <c r="GH84" s="12"/>
      <c r="GI84" s="12"/>
      <c r="GJ84" s="12"/>
      <c r="GK84" s="12"/>
      <c r="GL84" s="12"/>
      <c r="GM84" s="12"/>
      <c r="GN84" s="12"/>
      <c r="GO84" s="12"/>
      <c r="GP84" s="12"/>
      <c r="GQ84" s="12"/>
      <c r="GR84" s="12"/>
      <c r="GS84" s="12"/>
      <c r="GT84" s="12"/>
      <c r="GU84" s="12"/>
      <c r="GV84" s="12"/>
      <c r="GW84" s="12"/>
      <c r="GX84" s="12"/>
      <c r="GY84" s="12"/>
      <c r="GZ84" s="12"/>
      <c r="HA84" s="12"/>
      <c r="HB84" s="12"/>
      <c r="HC84" s="12"/>
      <c r="HD84" s="12"/>
      <c r="HE84" s="12"/>
      <c r="HF84" s="12"/>
      <c r="HG84" s="12"/>
      <c r="HH84" s="12"/>
      <c r="HI84" s="12"/>
      <c r="HJ84" s="12"/>
      <c r="HK84" s="12"/>
      <c r="HL84" s="12"/>
      <c r="HM84" s="12"/>
      <c r="HN84" s="12"/>
      <c r="HO84" s="12"/>
      <c r="HP84" s="12"/>
      <c r="HQ84" s="12"/>
      <c r="HR84" s="12"/>
      <c r="HS84" s="12"/>
      <c r="HT84" s="12"/>
      <c r="HU84" s="12"/>
      <c r="HV84" s="12"/>
      <c r="HW84" s="12"/>
      <c r="HX84" s="12"/>
      <c r="HY84" s="12"/>
      <c r="HZ84" s="12"/>
      <c r="IA84" s="12"/>
      <c r="IB84" s="12"/>
      <c r="IC84" s="12"/>
      <c r="ID84" s="12"/>
      <c r="IE84" s="12"/>
      <c r="IF84" s="12"/>
      <c r="IG84" s="12"/>
      <c r="IH84" s="12"/>
      <c r="II84" s="12"/>
      <c r="IJ84" s="12"/>
      <c r="IK84" s="12"/>
      <c r="IL84" s="12"/>
      <c r="IM84" s="12"/>
      <c r="IN84" s="12"/>
      <c r="IO84" s="12"/>
      <c r="IP84" s="12"/>
      <c r="IQ84" s="12"/>
      <c r="IR84" s="12"/>
      <c r="IS84" s="12"/>
      <c r="IT84" s="12"/>
      <c r="IU84" s="12"/>
      <c r="IV84" s="12"/>
      <c r="IW84" s="12"/>
    </row>
    <row r="85" customFormat="false" ht="11.25" hidden="false" customHeight="false" outlineLevel="0" collapsed="false">
      <c r="A85" s="25" t="n">
        <f aca="false">DATE(YEAR(A84),MONTH(A84)+1,1)</f>
        <v>48305</v>
      </c>
      <c r="B85" s="21" t="n">
        <v>1.963</v>
      </c>
      <c r="C85" s="21" t="n">
        <v>1.988</v>
      </c>
      <c r="D85" s="25" t="n">
        <f aca="false">DATE(YEAR(D84),MONTH(D84)+1,1)</f>
        <v>48305</v>
      </c>
      <c r="E85" s="21" t="n">
        <v>18.63</v>
      </c>
      <c r="F85" s="21" t="n">
        <v>18.975</v>
      </c>
      <c r="G85" s="6"/>
      <c r="H85" s="22" t="n">
        <f aca="false">A85</f>
        <v>48305</v>
      </c>
      <c r="I85" s="23" t="n">
        <f aca="false">IF($J$1="bid",B85,C85)</f>
        <v>1.988</v>
      </c>
      <c r="J85" s="24" t="n">
        <f aca="false">D85</f>
        <v>48305</v>
      </c>
      <c r="K85" s="23" t="n">
        <f aca="false">IF($J$1="bid",E85,F85)</f>
        <v>18.975</v>
      </c>
      <c r="L85" s="11"/>
      <c r="M85" s="11"/>
      <c r="N85" s="11"/>
      <c r="O85" s="11"/>
      <c r="P85" s="11"/>
      <c r="Q85" s="11"/>
      <c r="R85" s="11"/>
      <c r="S85" s="11"/>
      <c r="T85" s="11"/>
      <c r="U85" s="11"/>
      <c r="V85" s="11"/>
      <c r="W85" s="11"/>
      <c r="X85" s="11"/>
      <c r="Y85" s="11"/>
      <c r="Z85" s="11"/>
      <c r="AA85" s="11"/>
      <c r="AB85" s="11"/>
      <c r="AC85" s="11"/>
      <c r="AD85" s="11"/>
      <c r="AE85" s="11"/>
      <c r="AF85" s="11"/>
      <c r="AG85" s="11"/>
      <c r="AH85" s="11"/>
      <c r="AI85" s="11"/>
      <c r="AJ85" s="11"/>
      <c r="AK85" s="11"/>
      <c r="AL85" s="11"/>
      <c r="AM85" s="11"/>
      <c r="AN85" s="11"/>
      <c r="AO85" s="11"/>
      <c r="AP85" s="11"/>
      <c r="AQ85" s="11"/>
      <c r="AR85" s="5"/>
      <c r="AS85" s="12"/>
      <c r="AT85" s="12"/>
      <c r="AU85" s="12"/>
      <c r="AV85" s="12"/>
      <c r="AW85" s="12"/>
      <c r="AX85" s="12"/>
      <c r="AY85" s="12"/>
      <c r="AZ85" s="12"/>
      <c r="BA85" s="12"/>
      <c r="BB85" s="12"/>
      <c r="BC85" s="12"/>
      <c r="BD85" s="12"/>
      <c r="BE85" s="12"/>
      <c r="BF85" s="12"/>
      <c r="BG85" s="12"/>
      <c r="BH85" s="12"/>
      <c r="BI85" s="12"/>
      <c r="BJ85" s="12"/>
      <c r="BK85" s="12"/>
      <c r="BL85" s="12"/>
      <c r="BM85" s="12"/>
      <c r="BN85" s="12"/>
      <c r="BO85" s="12"/>
      <c r="BP85" s="12"/>
      <c r="BQ85" s="12"/>
      <c r="BR85" s="12"/>
      <c r="BS85" s="12"/>
      <c r="BT85" s="12"/>
      <c r="BU85" s="12"/>
      <c r="BV85" s="12"/>
      <c r="BW85" s="12"/>
      <c r="BX85" s="12"/>
      <c r="BY85" s="12"/>
      <c r="BZ85" s="12"/>
      <c r="CA85" s="12"/>
      <c r="CB85" s="12"/>
      <c r="CC85" s="12"/>
      <c r="CD85" s="12"/>
      <c r="CE85" s="12"/>
      <c r="CF85" s="12"/>
      <c r="CG85" s="12"/>
      <c r="CH85" s="12"/>
      <c r="CI85" s="12"/>
      <c r="CJ85" s="12"/>
      <c r="CK85" s="12"/>
      <c r="CL85" s="12"/>
      <c r="CM85" s="12"/>
      <c r="CN85" s="12"/>
      <c r="CO85" s="12"/>
      <c r="CP85" s="12"/>
      <c r="CQ85" s="12"/>
      <c r="CR85" s="12"/>
      <c r="CS85" s="12"/>
      <c r="CT85" s="12"/>
      <c r="CU85" s="12"/>
      <c r="CV85" s="12"/>
      <c r="CW85" s="12"/>
      <c r="CX85" s="12"/>
      <c r="CY85" s="12"/>
      <c r="CZ85" s="12"/>
      <c r="DA85" s="12"/>
      <c r="DB85" s="12"/>
      <c r="DC85" s="12"/>
      <c r="DD85" s="12"/>
      <c r="DE85" s="12"/>
      <c r="DF85" s="12"/>
      <c r="DG85" s="12"/>
      <c r="DH85" s="12"/>
      <c r="DI85" s="12"/>
      <c r="DJ85" s="12"/>
      <c r="DK85" s="12"/>
      <c r="DL85" s="12"/>
      <c r="DM85" s="12"/>
      <c r="DN85" s="12"/>
      <c r="DO85" s="12"/>
      <c r="DP85" s="12"/>
      <c r="DQ85" s="12"/>
      <c r="DR85" s="12"/>
      <c r="DS85" s="12"/>
      <c r="DT85" s="12"/>
      <c r="DU85" s="12"/>
      <c r="DV85" s="12"/>
      <c r="DW85" s="12"/>
      <c r="DX85" s="12"/>
      <c r="DY85" s="12"/>
      <c r="DZ85" s="12"/>
      <c r="EA85" s="12"/>
      <c r="EB85" s="12"/>
      <c r="EC85" s="12"/>
      <c r="ED85" s="12"/>
      <c r="EE85" s="12"/>
      <c r="EF85" s="12"/>
      <c r="EG85" s="12"/>
      <c r="EH85" s="12"/>
      <c r="EI85" s="12"/>
      <c r="EJ85" s="12"/>
      <c r="EK85" s="12"/>
      <c r="EL85" s="12"/>
      <c r="EM85" s="12"/>
      <c r="EN85" s="12"/>
      <c r="EO85" s="12"/>
      <c r="EP85" s="12"/>
      <c r="EQ85" s="12"/>
      <c r="ER85" s="12"/>
      <c r="ES85" s="12"/>
      <c r="ET85" s="12"/>
      <c r="EU85" s="12"/>
      <c r="EV85" s="12"/>
      <c r="EW85" s="12"/>
      <c r="EX85" s="12"/>
      <c r="EY85" s="12"/>
      <c r="EZ85" s="12"/>
      <c r="FA85" s="12"/>
      <c r="FB85" s="12"/>
      <c r="FC85" s="12"/>
      <c r="FD85" s="12"/>
      <c r="FE85" s="12"/>
      <c r="FF85" s="12"/>
      <c r="FG85" s="12"/>
      <c r="FH85" s="12"/>
      <c r="FI85" s="12"/>
      <c r="FJ85" s="12"/>
      <c r="FK85" s="12"/>
      <c r="FL85" s="12"/>
      <c r="FM85" s="12"/>
      <c r="FN85" s="12"/>
      <c r="FO85" s="12"/>
      <c r="FP85" s="12"/>
      <c r="FQ85" s="12"/>
      <c r="FR85" s="12"/>
      <c r="FS85" s="12"/>
      <c r="FT85" s="12"/>
      <c r="FU85" s="12"/>
      <c r="FV85" s="12"/>
      <c r="FW85" s="12"/>
      <c r="FX85" s="12"/>
      <c r="FY85" s="12"/>
      <c r="FZ85" s="12"/>
      <c r="GA85" s="12"/>
      <c r="GB85" s="12"/>
      <c r="GC85" s="12"/>
      <c r="GD85" s="12"/>
      <c r="GE85" s="12"/>
      <c r="GF85" s="12"/>
      <c r="GG85" s="12"/>
      <c r="GH85" s="12"/>
      <c r="GI85" s="12"/>
      <c r="GJ85" s="12"/>
      <c r="GK85" s="12"/>
      <c r="GL85" s="12"/>
      <c r="GM85" s="12"/>
      <c r="GN85" s="12"/>
      <c r="GO85" s="12"/>
      <c r="GP85" s="12"/>
      <c r="GQ85" s="12"/>
      <c r="GR85" s="12"/>
      <c r="GS85" s="12"/>
      <c r="GT85" s="12"/>
      <c r="GU85" s="12"/>
      <c r="GV85" s="12"/>
      <c r="GW85" s="12"/>
      <c r="GX85" s="12"/>
      <c r="GY85" s="12"/>
      <c r="GZ85" s="12"/>
      <c r="HA85" s="12"/>
      <c r="HB85" s="12"/>
      <c r="HC85" s="12"/>
      <c r="HD85" s="12"/>
      <c r="HE85" s="12"/>
      <c r="HF85" s="12"/>
      <c r="HG85" s="12"/>
      <c r="HH85" s="12"/>
      <c r="HI85" s="12"/>
      <c r="HJ85" s="12"/>
      <c r="HK85" s="12"/>
      <c r="HL85" s="12"/>
      <c r="HM85" s="12"/>
      <c r="HN85" s="12"/>
      <c r="HO85" s="12"/>
      <c r="HP85" s="12"/>
      <c r="HQ85" s="12"/>
      <c r="HR85" s="12"/>
      <c r="HS85" s="12"/>
      <c r="HT85" s="12"/>
      <c r="HU85" s="12"/>
      <c r="HV85" s="12"/>
      <c r="HW85" s="12"/>
      <c r="HX85" s="12"/>
      <c r="HY85" s="12"/>
      <c r="HZ85" s="12"/>
      <c r="IA85" s="12"/>
      <c r="IB85" s="12"/>
      <c r="IC85" s="12"/>
      <c r="ID85" s="12"/>
      <c r="IE85" s="12"/>
      <c r="IF85" s="12"/>
      <c r="IG85" s="12"/>
      <c r="IH85" s="12"/>
      <c r="II85" s="12"/>
      <c r="IJ85" s="12"/>
      <c r="IK85" s="12"/>
      <c r="IL85" s="12"/>
      <c r="IM85" s="12"/>
      <c r="IN85" s="12"/>
      <c r="IO85" s="12"/>
      <c r="IP85" s="12"/>
      <c r="IQ85" s="12"/>
      <c r="IR85" s="12"/>
      <c r="IS85" s="12"/>
      <c r="IT85" s="12"/>
      <c r="IU85" s="12"/>
      <c r="IV85" s="12"/>
      <c r="IW85" s="12"/>
    </row>
    <row r="86" customFormat="false" ht="11.25" hidden="false" customHeight="false" outlineLevel="0" collapsed="false">
      <c r="A86" s="25" t="n">
        <f aca="false">DATE(YEAR(A85),MONTH(A85)+1,1)</f>
        <v>48335</v>
      </c>
      <c r="B86" s="21" t="n">
        <v>1.955</v>
      </c>
      <c r="C86" s="21" t="n">
        <v>1.98</v>
      </c>
      <c r="D86" s="25" t="n">
        <f aca="false">DATE(YEAR(D85),MONTH(D85)+1,1)</f>
        <v>48335</v>
      </c>
      <c r="E86" s="21" t="n">
        <v>18.638</v>
      </c>
      <c r="F86" s="21" t="n">
        <v>18.993</v>
      </c>
      <c r="G86" s="6"/>
      <c r="H86" s="22" t="n">
        <f aca="false">A86</f>
        <v>48335</v>
      </c>
      <c r="I86" s="23" t="n">
        <f aca="false">IF($J$1="bid",B86,C86)</f>
        <v>1.98</v>
      </c>
      <c r="J86" s="24" t="n">
        <f aca="false">D86</f>
        <v>48335</v>
      </c>
      <c r="K86" s="23" t="n">
        <f aca="false">IF($J$1="bid",E86,F86)</f>
        <v>18.993</v>
      </c>
      <c r="L86" s="11"/>
      <c r="M86" s="11"/>
      <c r="N86" s="11"/>
      <c r="O86" s="11"/>
      <c r="P86" s="11"/>
      <c r="Q86" s="11"/>
      <c r="R86" s="11"/>
      <c r="S86" s="11"/>
      <c r="T86" s="11"/>
      <c r="U86" s="11"/>
      <c r="V86" s="11"/>
      <c r="W86" s="11"/>
      <c r="X86" s="11"/>
      <c r="Y86" s="11"/>
      <c r="Z86" s="11"/>
      <c r="AA86" s="11"/>
      <c r="AB86" s="11"/>
      <c r="AC86" s="11"/>
      <c r="AD86" s="11"/>
      <c r="AE86" s="11"/>
      <c r="AF86" s="11"/>
      <c r="AG86" s="11"/>
      <c r="AH86" s="11"/>
      <c r="AI86" s="11"/>
      <c r="AJ86" s="11"/>
      <c r="AK86" s="11"/>
      <c r="AL86" s="11"/>
      <c r="AM86" s="11"/>
      <c r="AN86" s="11"/>
      <c r="AO86" s="11"/>
      <c r="AP86" s="11"/>
      <c r="AQ86" s="11"/>
      <c r="AR86" s="5"/>
      <c r="AS86" s="12"/>
      <c r="AT86" s="12"/>
      <c r="AU86" s="12"/>
      <c r="AV86" s="12"/>
      <c r="AW86" s="12"/>
      <c r="AX86" s="12"/>
      <c r="AY86" s="12"/>
      <c r="AZ86" s="12"/>
      <c r="BA86" s="12"/>
      <c r="BB86" s="12"/>
      <c r="BC86" s="12"/>
      <c r="BD86" s="12"/>
      <c r="BE86" s="12"/>
      <c r="BF86" s="12"/>
      <c r="BG86" s="12"/>
      <c r="BH86" s="12"/>
      <c r="BI86" s="12"/>
      <c r="BJ86" s="12"/>
      <c r="BK86" s="12"/>
      <c r="BL86" s="12"/>
      <c r="BM86" s="12"/>
      <c r="BN86" s="12"/>
      <c r="BO86" s="12"/>
      <c r="BP86" s="12"/>
      <c r="BQ86" s="12"/>
      <c r="BR86" s="12"/>
      <c r="BS86" s="12"/>
      <c r="BT86" s="12"/>
      <c r="BU86" s="12"/>
      <c r="BV86" s="12"/>
      <c r="BW86" s="12"/>
      <c r="BX86" s="12"/>
      <c r="BY86" s="12"/>
      <c r="BZ86" s="12"/>
      <c r="CA86" s="12"/>
      <c r="CB86" s="12"/>
      <c r="CC86" s="12"/>
      <c r="CD86" s="12"/>
      <c r="CE86" s="12"/>
      <c r="CF86" s="12"/>
      <c r="CG86" s="12"/>
      <c r="CH86" s="12"/>
      <c r="CI86" s="12"/>
      <c r="CJ86" s="12"/>
      <c r="CK86" s="12"/>
      <c r="CL86" s="12"/>
      <c r="CM86" s="12"/>
      <c r="CN86" s="12"/>
      <c r="CO86" s="12"/>
      <c r="CP86" s="12"/>
      <c r="CQ86" s="12"/>
      <c r="CR86" s="12"/>
      <c r="CS86" s="12"/>
      <c r="CT86" s="12"/>
      <c r="CU86" s="12"/>
      <c r="CV86" s="12"/>
      <c r="CW86" s="12"/>
      <c r="CX86" s="12"/>
      <c r="CY86" s="12"/>
      <c r="CZ86" s="12"/>
      <c r="DA86" s="12"/>
      <c r="DB86" s="12"/>
      <c r="DC86" s="12"/>
      <c r="DD86" s="12"/>
      <c r="DE86" s="12"/>
      <c r="DF86" s="12"/>
      <c r="DG86" s="12"/>
      <c r="DH86" s="12"/>
      <c r="DI86" s="12"/>
      <c r="DJ86" s="12"/>
      <c r="DK86" s="12"/>
      <c r="DL86" s="12"/>
      <c r="DM86" s="12"/>
      <c r="DN86" s="12"/>
      <c r="DO86" s="12"/>
      <c r="DP86" s="12"/>
      <c r="DQ86" s="12"/>
      <c r="DR86" s="12"/>
      <c r="DS86" s="12"/>
      <c r="DT86" s="12"/>
      <c r="DU86" s="12"/>
      <c r="DV86" s="12"/>
      <c r="DW86" s="12"/>
      <c r="DX86" s="12"/>
      <c r="DY86" s="12"/>
      <c r="DZ86" s="12"/>
      <c r="EA86" s="12"/>
      <c r="EB86" s="12"/>
      <c r="EC86" s="12"/>
      <c r="ED86" s="12"/>
      <c r="EE86" s="12"/>
      <c r="EF86" s="12"/>
      <c r="EG86" s="12"/>
      <c r="EH86" s="12"/>
      <c r="EI86" s="12"/>
      <c r="EJ86" s="12"/>
      <c r="EK86" s="12"/>
      <c r="EL86" s="12"/>
      <c r="EM86" s="12"/>
      <c r="EN86" s="12"/>
      <c r="EO86" s="12"/>
      <c r="EP86" s="12"/>
      <c r="EQ86" s="12"/>
      <c r="ER86" s="12"/>
      <c r="ES86" s="12"/>
      <c r="ET86" s="12"/>
      <c r="EU86" s="12"/>
      <c r="EV86" s="12"/>
      <c r="EW86" s="12"/>
      <c r="EX86" s="12"/>
      <c r="EY86" s="12"/>
      <c r="EZ86" s="12"/>
      <c r="FA86" s="12"/>
      <c r="FB86" s="12"/>
      <c r="FC86" s="12"/>
      <c r="FD86" s="12"/>
      <c r="FE86" s="12"/>
      <c r="FF86" s="12"/>
      <c r="FG86" s="12"/>
      <c r="FH86" s="12"/>
      <c r="FI86" s="12"/>
      <c r="FJ86" s="12"/>
      <c r="FK86" s="12"/>
      <c r="FL86" s="12"/>
      <c r="FM86" s="12"/>
      <c r="FN86" s="12"/>
      <c r="FO86" s="12"/>
      <c r="FP86" s="12"/>
      <c r="FQ86" s="12"/>
      <c r="FR86" s="12"/>
      <c r="FS86" s="12"/>
      <c r="FT86" s="12"/>
      <c r="FU86" s="12"/>
      <c r="FV86" s="12"/>
      <c r="FW86" s="12"/>
      <c r="FX86" s="12"/>
      <c r="FY86" s="12"/>
      <c r="FZ86" s="12"/>
      <c r="GA86" s="12"/>
      <c r="GB86" s="12"/>
      <c r="GC86" s="12"/>
      <c r="GD86" s="12"/>
      <c r="GE86" s="12"/>
      <c r="GF86" s="12"/>
      <c r="GG86" s="12"/>
      <c r="GH86" s="12"/>
      <c r="GI86" s="12"/>
      <c r="GJ86" s="12"/>
      <c r="GK86" s="12"/>
      <c r="GL86" s="12"/>
      <c r="GM86" s="12"/>
      <c r="GN86" s="12"/>
      <c r="GO86" s="12"/>
      <c r="GP86" s="12"/>
      <c r="GQ86" s="12"/>
      <c r="GR86" s="12"/>
      <c r="GS86" s="12"/>
      <c r="GT86" s="12"/>
      <c r="GU86" s="12"/>
      <c r="GV86" s="12"/>
      <c r="GW86" s="12"/>
      <c r="GX86" s="12"/>
      <c r="GY86" s="12"/>
      <c r="GZ86" s="12"/>
      <c r="HA86" s="12"/>
      <c r="HB86" s="12"/>
      <c r="HC86" s="12"/>
      <c r="HD86" s="12"/>
      <c r="HE86" s="12"/>
      <c r="HF86" s="12"/>
      <c r="HG86" s="12"/>
      <c r="HH86" s="12"/>
      <c r="HI86" s="12"/>
      <c r="HJ86" s="12"/>
      <c r="HK86" s="12"/>
      <c r="HL86" s="12"/>
      <c r="HM86" s="12"/>
      <c r="HN86" s="12"/>
      <c r="HO86" s="12"/>
      <c r="HP86" s="12"/>
      <c r="HQ86" s="12"/>
      <c r="HR86" s="12"/>
      <c r="HS86" s="12"/>
      <c r="HT86" s="12"/>
      <c r="HU86" s="12"/>
      <c r="HV86" s="12"/>
      <c r="HW86" s="12"/>
      <c r="HX86" s="12"/>
      <c r="HY86" s="12"/>
      <c r="HZ86" s="12"/>
      <c r="IA86" s="12"/>
      <c r="IB86" s="12"/>
      <c r="IC86" s="12"/>
      <c r="ID86" s="12"/>
      <c r="IE86" s="12"/>
      <c r="IF86" s="12"/>
      <c r="IG86" s="12"/>
      <c r="IH86" s="12"/>
      <c r="II86" s="12"/>
      <c r="IJ86" s="12"/>
      <c r="IK86" s="12"/>
      <c r="IL86" s="12"/>
      <c r="IM86" s="12"/>
      <c r="IN86" s="12"/>
      <c r="IO86" s="12"/>
      <c r="IP86" s="12"/>
      <c r="IQ86" s="12"/>
      <c r="IR86" s="12"/>
      <c r="IS86" s="12"/>
      <c r="IT86" s="12"/>
      <c r="IU86" s="12"/>
      <c r="IV86" s="12"/>
      <c r="IW86" s="12"/>
    </row>
    <row r="87" customFormat="false" ht="11.25" hidden="false" customHeight="false" outlineLevel="0" collapsed="false">
      <c r="A87" s="25" t="n">
        <f aca="false">DATE(YEAR(A86),MONTH(A86)+1,1)</f>
        <v>48366</v>
      </c>
      <c r="B87" s="21" t="n">
        <v>1.955</v>
      </c>
      <c r="C87" s="21" t="n">
        <v>1.98</v>
      </c>
      <c r="D87" s="25" t="n">
        <f aca="false">DATE(YEAR(D86),MONTH(D86)+1,1)</f>
        <v>48366</v>
      </c>
      <c r="E87" s="21" t="n">
        <v>18.645</v>
      </c>
      <c r="F87" s="21" t="n">
        <v>19.009</v>
      </c>
      <c r="G87" s="6"/>
      <c r="H87" s="22" t="n">
        <f aca="false">A87</f>
        <v>48366</v>
      </c>
      <c r="I87" s="23" t="n">
        <f aca="false">IF($J$1="bid",B87,C87)</f>
        <v>1.98</v>
      </c>
      <c r="J87" s="24" t="n">
        <f aca="false">D87</f>
        <v>48366</v>
      </c>
      <c r="K87" s="23" t="n">
        <f aca="false">IF($J$1="bid",E87,F87)</f>
        <v>19.009</v>
      </c>
      <c r="L87" s="11"/>
      <c r="M87" s="11"/>
      <c r="N87" s="11"/>
      <c r="O87" s="11"/>
      <c r="P87" s="11"/>
      <c r="Q87" s="11"/>
      <c r="R87" s="11"/>
      <c r="S87" s="11"/>
      <c r="T87" s="11"/>
      <c r="U87" s="11"/>
      <c r="V87" s="11"/>
      <c r="W87" s="11"/>
      <c r="X87" s="11"/>
      <c r="Y87" s="11"/>
      <c r="Z87" s="11"/>
      <c r="AA87" s="11"/>
      <c r="AB87" s="11"/>
      <c r="AC87" s="11"/>
      <c r="AD87" s="11"/>
      <c r="AE87" s="11"/>
      <c r="AF87" s="11"/>
      <c r="AG87" s="11"/>
      <c r="AH87" s="11"/>
      <c r="AI87" s="11"/>
      <c r="AJ87" s="11"/>
      <c r="AK87" s="11"/>
      <c r="AL87" s="11"/>
      <c r="AM87" s="11"/>
      <c r="AN87" s="11"/>
      <c r="AO87" s="11"/>
      <c r="AP87" s="11"/>
      <c r="AQ87" s="11"/>
      <c r="AR87" s="5"/>
      <c r="AS87" s="12"/>
      <c r="AT87" s="12"/>
      <c r="AU87" s="12"/>
      <c r="AV87" s="12"/>
      <c r="AW87" s="12"/>
      <c r="AX87" s="12"/>
      <c r="AY87" s="12"/>
      <c r="AZ87" s="12"/>
      <c r="BA87" s="12"/>
      <c r="BB87" s="12"/>
      <c r="BC87" s="12"/>
      <c r="BD87" s="12"/>
      <c r="BE87" s="12"/>
      <c r="BF87" s="12"/>
      <c r="BG87" s="12"/>
      <c r="BH87" s="12"/>
      <c r="BI87" s="12"/>
      <c r="BJ87" s="12"/>
      <c r="BK87" s="12"/>
      <c r="BL87" s="12"/>
      <c r="BM87" s="12"/>
      <c r="BN87" s="12"/>
      <c r="BO87" s="12"/>
      <c r="BP87" s="12"/>
      <c r="BQ87" s="12"/>
      <c r="BR87" s="12"/>
      <c r="BS87" s="12"/>
      <c r="BT87" s="12"/>
      <c r="BU87" s="12"/>
      <c r="BV87" s="12"/>
      <c r="BW87" s="12"/>
      <c r="BX87" s="12"/>
      <c r="BY87" s="12"/>
      <c r="BZ87" s="12"/>
      <c r="CA87" s="12"/>
      <c r="CB87" s="12"/>
      <c r="CC87" s="12"/>
      <c r="CD87" s="12"/>
      <c r="CE87" s="12"/>
      <c r="CF87" s="12"/>
      <c r="CG87" s="12"/>
      <c r="CH87" s="12"/>
      <c r="CI87" s="12"/>
      <c r="CJ87" s="12"/>
      <c r="CK87" s="12"/>
      <c r="CL87" s="12"/>
      <c r="CM87" s="12"/>
      <c r="CN87" s="12"/>
      <c r="CO87" s="12"/>
      <c r="CP87" s="12"/>
      <c r="CQ87" s="12"/>
      <c r="CR87" s="12"/>
      <c r="CS87" s="12"/>
      <c r="CT87" s="12"/>
      <c r="CU87" s="12"/>
      <c r="CV87" s="12"/>
      <c r="CW87" s="12"/>
      <c r="CX87" s="12"/>
      <c r="CY87" s="12"/>
      <c r="CZ87" s="12"/>
      <c r="DA87" s="12"/>
      <c r="DB87" s="12"/>
      <c r="DC87" s="12"/>
      <c r="DD87" s="12"/>
      <c r="DE87" s="12"/>
      <c r="DF87" s="12"/>
      <c r="DG87" s="12"/>
      <c r="DH87" s="12"/>
      <c r="DI87" s="12"/>
      <c r="DJ87" s="12"/>
      <c r="DK87" s="12"/>
      <c r="DL87" s="12"/>
      <c r="DM87" s="12"/>
      <c r="DN87" s="12"/>
      <c r="DO87" s="12"/>
      <c r="DP87" s="12"/>
      <c r="DQ87" s="12"/>
      <c r="DR87" s="12"/>
      <c r="DS87" s="12"/>
      <c r="DT87" s="12"/>
      <c r="DU87" s="12"/>
      <c r="DV87" s="12"/>
      <c r="DW87" s="12"/>
      <c r="DX87" s="12"/>
      <c r="DY87" s="12"/>
      <c r="DZ87" s="12"/>
      <c r="EA87" s="12"/>
      <c r="EB87" s="12"/>
      <c r="EC87" s="12"/>
      <c r="ED87" s="12"/>
      <c r="EE87" s="12"/>
      <c r="EF87" s="12"/>
      <c r="EG87" s="12"/>
      <c r="EH87" s="12"/>
      <c r="EI87" s="12"/>
      <c r="EJ87" s="12"/>
      <c r="EK87" s="12"/>
      <c r="EL87" s="12"/>
      <c r="EM87" s="12"/>
      <c r="EN87" s="12"/>
      <c r="EO87" s="12"/>
      <c r="EP87" s="12"/>
      <c r="EQ87" s="12"/>
      <c r="ER87" s="12"/>
      <c r="ES87" s="12"/>
      <c r="ET87" s="12"/>
      <c r="EU87" s="12"/>
      <c r="EV87" s="12"/>
      <c r="EW87" s="12"/>
      <c r="EX87" s="12"/>
      <c r="EY87" s="12"/>
      <c r="EZ87" s="12"/>
      <c r="FA87" s="12"/>
      <c r="FB87" s="12"/>
      <c r="FC87" s="12"/>
      <c r="FD87" s="12"/>
      <c r="FE87" s="12"/>
      <c r="FF87" s="12"/>
      <c r="FG87" s="12"/>
      <c r="FH87" s="12"/>
      <c r="FI87" s="12"/>
      <c r="FJ87" s="12"/>
      <c r="FK87" s="12"/>
      <c r="FL87" s="12"/>
      <c r="FM87" s="12"/>
      <c r="FN87" s="12"/>
      <c r="FO87" s="12"/>
      <c r="FP87" s="12"/>
      <c r="FQ87" s="12"/>
      <c r="FR87" s="12"/>
      <c r="FS87" s="12"/>
      <c r="FT87" s="12"/>
      <c r="FU87" s="12"/>
      <c r="FV87" s="12"/>
      <c r="FW87" s="12"/>
      <c r="FX87" s="12"/>
      <c r="FY87" s="12"/>
      <c r="FZ87" s="12"/>
      <c r="GA87" s="12"/>
      <c r="GB87" s="12"/>
      <c r="GC87" s="12"/>
      <c r="GD87" s="12"/>
      <c r="GE87" s="12"/>
      <c r="GF87" s="12"/>
      <c r="GG87" s="12"/>
      <c r="GH87" s="12"/>
      <c r="GI87" s="12"/>
      <c r="GJ87" s="12"/>
      <c r="GK87" s="12"/>
      <c r="GL87" s="12"/>
      <c r="GM87" s="12"/>
      <c r="GN87" s="12"/>
      <c r="GO87" s="12"/>
      <c r="GP87" s="12"/>
      <c r="GQ87" s="12"/>
      <c r="GR87" s="12"/>
      <c r="GS87" s="12"/>
      <c r="GT87" s="12"/>
      <c r="GU87" s="12"/>
      <c r="GV87" s="12"/>
      <c r="GW87" s="12"/>
      <c r="GX87" s="12"/>
      <c r="GY87" s="12"/>
      <c r="GZ87" s="12"/>
      <c r="HA87" s="12"/>
      <c r="HB87" s="12"/>
      <c r="HC87" s="12"/>
      <c r="HD87" s="12"/>
      <c r="HE87" s="12"/>
      <c r="HF87" s="12"/>
      <c r="HG87" s="12"/>
      <c r="HH87" s="12"/>
      <c r="HI87" s="12"/>
      <c r="HJ87" s="12"/>
      <c r="HK87" s="12"/>
      <c r="HL87" s="12"/>
      <c r="HM87" s="12"/>
      <c r="HN87" s="12"/>
      <c r="HO87" s="12"/>
      <c r="HP87" s="12"/>
      <c r="HQ87" s="12"/>
      <c r="HR87" s="12"/>
      <c r="HS87" s="12"/>
      <c r="HT87" s="12"/>
      <c r="HU87" s="12"/>
      <c r="HV87" s="12"/>
      <c r="HW87" s="12"/>
      <c r="HX87" s="12"/>
      <c r="HY87" s="12"/>
      <c r="HZ87" s="12"/>
      <c r="IA87" s="12"/>
      <c r="IB87" s="12"/>
      <c r="IC87" s="12"/>
      <c r="ID87" s="12"/>
      <c r="IE87" s="12"/>
      <c r="IF87" s="12"/>
      <c r="IG87" s="12"/>
      <c r="IH87" s="12"/>
      <c r="II87" s="12"/>
      <c r="IJ87" s="12"/>
      <c r="IK87" s="12"/>
      <c r="IL87" s="12"/>
      <c r="IM87" s="12"/>
      <c r="IN87" s="12"/>
      <c r="IO87" s="12"/>
      <c r="IP87" s="12"/>
      <c r="IQ87" s="12"/>
      <c r="IR87" s="12"/>
      <c r="IS87" s="12"/>
      <c r="IT87" s="12"/>
      <c r="IU87" s="12"/>
      <c r="IV87" s="12"/>
      <c r="IW87" s="12"/>
    </row>
    <row r="88" customFormat="false" ht="11.25" hidden="false" customHeight="false" outlineLevel="0" collapsed="false">
      <c r="A88" s="25" t="n">
        <f aca="false">DATE(YEAR(A87),MONTH(A87)+1,1)</f>
        <v>48396</v>
      </c>
      <c r="B88" s="21" t="n">
        <v>1.955</v>
      </c>
      <c r="C88" s="21" t="n">
        <v>1.98</v>
      </c>
      <c r="D88" s="25" t="n">
        <f aca="false">DATE(YEAR(D87),MONTH(D87)+1,1)</f>
        <v>48396</v>
      </c>
      <c r="E88" s="21" t="n">
        <v>18.652</v>
      </c>
      <c r="F88" s="21" t="n">
        <v>19.023</v>
      </c>
      <c r="G88" s="6"/>
      <c r="H88" s="22" t="n">
        <f aca="false">A88</f>
        <v>48396</v>
      </c>
      <c r="I88" s="23" t="n">
        <f aca="false">IF($J$1="bid",B88,C88)</f>
        <v>1.98</v>
      </c>
      <c r="J88" s="24" t="n">
        <f aca="false">D88</f>
        <v>48396</v>
      </c>
      <c r="K88" s="23" t="n">
        <f aca="false">IF($J$1="bid",E88,F88)</f>
        <v>19.023</v>
      </c>
      <c r="L88" s="11"/>
      <c r="M88" s="11"/>
      <c r="N88" s="11"/>
      <c r="O88" s="11"/>
      <c r="P88" s="11"/>
      <c r="Q88" s="11"/>
      <c r="R88" s="11"/>
      <c r="S88" s="11"/>
      <c r="T88" s="11"/>
      <c r="U88" s="11"/>
      <c r="V88" s="11"/>
      <c r="W88" s="11"/>
      <c r="X88" s="11"/>
      <c r="Y88" s="11"/>
      <c r="Z88" s="11"/>
      <c r="AA88" s="11"/>
      <c r="AB88" s="11"/>
      <c r="AC88" s="11"/>
      <c r="AD88" s="11"/>
      <c r="AE88" s="11"/>
      <c r="AF88" s="11"/>
      <c r="AG88" s="11"/>
      <c r="AH88" s="11"/>
      <c r="AI88" s="11"/>
      <c r="AJ88" s="11"/>
      <c r="AK88" s="11"/>
      <c r="AL88" s="11"/>
      <c r="AM88" s="11"/>
      <c r="AN88" s="11"/>
      <c r="AO88" s="11"/>
      <c r="AP88" s="11"/>
      <c r="AQ88" s="11"/>
      <c r="AR88" s="5"/>
      <c r="AS88" s="12"/>
      <c r="AT88" s="12"/>
      <c r="AU88" s="12"/>
      <c r="AV88" s="12"/>
      <c r="AW88" s="12"/>
      <c r="AX88" s="12"/>
      <c r="AY88" s="12"/>
      <c r="AZ88" s="12"/>
      <c r="BA88" s="12"/>
      <c r="BB88" s="12"/>
      <c r="BC88" s="12"/>
      <c r="BD88" s="12"/>
      <c r="BE88" s="12"/>
      <c r="BF88" s="12"/>
      <c r="BG88" s="12"/>
      <c r="BH88" s="12"/>
      <c r="BI88" s="12"/>
      <c r="BJ88" s="12"/>
      <c r="BK88" s="12"/>
      <c r="BL88" s="12"/>
      <c r="BM88" s="12"/>
      <c r="BN88" s="12"/>
      <c r="BO88" s="12"/>
      <c r="BP88" s="12"/>
      <c r="BQ88" s="12"/>
      <c r="BR88" s="12"/>
      <c r="BS88" s="12"/>
      <c r="BT88" s="12"/>
      <c r="BU88" s="12"/>
      <c r="BV88" s="12"/>
      <c r="BW88" s="12"/>
      <c r="BX88" s="12"/>
      <c r="BY88" s="12"/>
      <c r="BZ88" s="12"/>
      <c r="CA88" s="12"/>
      <c r="CB88" s="12"/>
      <c r="CC88" s="12"/>
      <c r="CD88" s="12"/>
      <c r="CE88" s="12"/>
      <c r="CF88" s="12"/>
      <c r="CG88" s="12"/>
      <c r="CH88" s="12"/>
      <c r="CI88" s="12"/>
      <c r="CJ88" s="12"/>
      <c r="CK88" s="12"/>
      <c r="CL88" s="12"/>
      <c r="CM88" s="12"/>
      <c r="CN88" s="12"/>
      <c r="CO88" s="12"/>
      <c r="CP88" s="12"/>
      <c r="CQ88" s="12"/>
      <c r="CR88" s="12"/>
      <c r="CS88" s="12"/>
      <c r="CT88" s="12"/>
      <c r="CU88" s="12"/>
      <c r="CV88" s="12"/>
      <c r="CW88" s="12"/>
      <c r="CX88" s="12"/>
      <c r="CY88" s="12"/>
      <c r="CZ88" s="12"/>
      <c r="DA88" s="12"/>
      <c r="DB88" s="12"/>
      <c r="DC88" s="12"/>
      <c r="DD88" s="12"/>
      <c r="DE88" s="12"/>
      <c r="DF88" s="12"/>
      <c r="DG88" s="12"/>
      <c r="DH88" s="12"/>
      <c r="DI88" s="12"/>
      <c r="DJ88" s="12"/>
      <c r="DK88" s="12"/>
      <c r="DL88" s="12"/>
      <c r="DM88" s="12"/>
      <c r="DN88" s="12"/>
      <c r="DO88" s="12"/>
      <c r="DP88" s="12"/>
      <c r="DQ88" s="12"/>
      <c r="DR88" s="12"/>
      <c r="DS88" s="12"/>
      <c r="DT88" s="12"/>
      <c r="DU88" s="12"/>
      <c r="DV88" s="12"/>
      <c r="DW88" s="12"/>
      <c r="DX88" s="12"/>
      <c r="DY88" s="12"/>
      <c r="DZ88" s="12"/>
      <c r="EA88" s="12"/>
      <c r="EB88" s="12"/>
      <c r="EC88" s="12"/>
      <c r="ED88" s="12"/>
      <c r="EE88" s="12"/>
      <c r="EF88" s="12"/>
      <c r="EG88" s="12"/>
      <c r="EH88" s="12"/>
      <c r="EI88" s="12"/>
      <c r="EJ88" s="12"/>
      <c r="EK88" s="12"/>
      <c r="EL88" s="12"/>
      <c r="EM88" s="12"/>
      <c r="EN88" s="12"/>
      <c r="EO88" s="12"/>
      <c r="EP88" s="12"/>
      <c r="EQ88" s="12"/>
      <c r="ER88" s="12"/>
      <c r="ES88" s="12"/>
      <c r="ET88" s="12"/>
      <c r="EU88" s="12"/>
      <c r="EV88" s="12"/>
      <c r="EW88" s="12"/>
      <c r="EX88" s="12"/>
      <c r="EY88" s="12"/>
      <c r="EZ88" s="12"/>
      <c r="FA88" s="12"/>
      <c r="FB88" s="12"/>
      <c r="FC88" s="12"/>
      <c r="FD88" s="12"/>
      <c r="FE88" s="12"/>
      <c r="FF88" s="12"/>
      <c r="FG88" s="12"/>
      <c r="FH88" s="12"/>
      <c r="FI88" s="12"/>
      <c r="FJ88" s="12"/>
      <c r="FK88" s="12"/>
      <c r="FL88" s="12"/>
      <c r="FM88" s="12"/>
      <c r="FN88" s="12"/>
      <c r="FO88" s="12"/>
      <c r="FP88" s="12"/>
      <c r="FQ88" s="12"/>
      <c r="FR88" s="12"/>
      <c r="FS88" s="12"/>
      <c r="FT88" s="12"/>
      <c r="FU88" s="12"/>
      <c r="FV88" s="12"/>
      <c r="FW88" s="12"/>
      <c r="FX88" s="12"/>
      <c r="FY88" s="12"/>
      <c r="FZ88" s="12"/>
      <c r="GA88" s="12"/>
      <c r="GB88" s="12"/>
      <c r="GC88" s="12"/>
      <c r="GD88" s="12"/>
      <c r="GE88" s="12"/>
      <c r="GF88" s="12"/>
      <c r="GG88" s="12"/>
      <c r="GH88" s="12"/>
      <c r="GI88" s="12"/>
      <c r="GJ88" s="12"/>
      <c r="GK88" s="12"/>
      <c r="GL88" s="12"/>
      <c r="GM88" s="12"/>
      <c r="GN88" s="12"/>
      <c r="GO88" s="12"/>
      <c r="GP88" s="12"/>
      <c r="GQ88" s="12"/>
      <c r="GR88" s="12"/>
      <c r="GS88" s="12"/>
      <c r="GT88" s="12"/>
      <c r="GU88" s="12"/>
      <c r="GV88" s="12"/>
      <c r="GW88" s="12"/>
      <c r="GX88" s="12"/>
      <c r="GY88" s="12"/>
      <c r="GZ88" s="12"/>
      <c r="HA88" s="12"/>
      <c r="HB88" s="12"/>
      <c r="HC88" s="12"/>
      <c r="HD88" s="12"/>
      <c r="HE88" s="12"/>
      <c r="HF88" s="12"/>
      <c r="HG88" s="12"/>
      <c r="HH88" s="12"/>
      <c r="HI88" s="12"/>
      <c r="HJ88" s="12"/>
      <c r="HK88" s="12"/>
      <c r="HL88" s="12"/>
      <c r="HM88" s="12"/>
      <c r="HN88" s="12"/>
      <c r="HO88" s="12"/>
      <c r="HP88" s="12"/>
      <c r="HQ88" s="12"/>
      <c r="HR88" s="12"/>
      <c r="HS88" s="12"/>
      <c r="HT88" s="12"/>
      <c r="HU88" s="12"/>
      <c r="HV88" s="12"/>
      <c r="HW88" s="12"/>
      <c r="HX88" s="12"/>
      <c r="HY88" s="12"/>
      <c r="HZ88" s="12"/>
      <c r="IA88" s="12"/>
      <c r="IB88" s="12"/>
      <c r="IC88" s="12"/>
      <c r="ID88" s="12"/>
      <c r="IE88" s="12"/>
      <c r="IF88" s="12"/>
      <c r="IG88" s="12"/>
      <c r="IH88" s="12"/>
      <c r="II88" s="12"/>
      <c r="IJ88" s="12"/>
      <c r="IK88" s="12"/>
      <c r="IL88" s="12"/>
      <c r="IM88" s="12"/>
      <c r="IN88" s="12"/>
      <c r="IO88" s="12"/>
      <c r="IP88" s="12"/>
      <c r="IQ88" s="12"/>
      <c r="IR88" s="12"/>
      <c r="IS88" s="12"/>
      <c r="IT88" s="12"/>
      <c r="IU88" s="12"/>
      <c r="IV88" s="12"/>
      <c r="IW88" s="12"/>
    </row>
    <row r="89" customFormat="false" ht="11.25" hidden="false" customHeight="false" outlineLevel="0" collapsed="false">
      <c r="A89" s="25" t="n">
        <f aca="false">DATE(YEAR(A88),MONTH(A88)+1,1)</f>
        <v>48427</v>
      </c>
      <c r="B89" s="21" t="n">
        <v>1.955</v>
      </c>
      <c r="C89" s="21" t="n">
        <v>1.98</v>
      </c>
      <c r="D89" s="25" t="n">
        <f aca="false">DATE(YEAR(D88),MONTH(D88)+1,1)</f>
        <v>48427</v>
      </c>
      <c r="E89" s="21" t="n">
        <v>18.661</v>
      </c>
      <c r="F89" s="21" t="n">
        <v>19.041</v>
      </c>
      <c r="G89" s="6"/>
      <c r="H89" s="22" t="n">
        <f aca="false">A89</f>
        <v>48427</v>
      </c>
      <c r="I89" s="23" t="n">
        <f aca="false">IF($J$1="bid",B89,C89)</f>
        <v>1.98</v>
      </c>
      <c r="J89" s="24" t="n">
        <f aca="false">D89</f>
        <v>48427</v>
      </c>
      <c r="K89" s="23" t="n">
        <f aca="false">IF($J$1="bid",E89,F89)</f>
        <v>19.041</v>
      </c>
      <c r="L89" s="11"/>
      <c r="M89" s="11"/>
      <c r="N89" s="11"/>
      <c r="O89" s="11"/>
      <c r="P89" s="11"/>
      <c r="Q89" s="11"/>
      <c r="R89" s="11"/>
      <c r="S89" s="11"/>
      <c r="T89" s="11"/>
      <c r="U89" s="11"/>
      <c r="V89" s="11"/>
      <c r="W89" s="11"/>
      <c r="X89" s="11"/>
      <c r="Y89" s="11"/>
      <c r="Z89" s="11"/>
      <c r="AA89" s="11"/>
      <c r="AB89" s="11"/>
      <c r="AC89" s="11"/>
      <c r="AD89" s="11"/>
      <c r="AE89" s="11"/>
      <c r="AF89" s="11"/>
      <c r="AG89" s="11"/>
      <c r="AH89" s="11"/>
      <c r="AI89" s="11"/>
      <c r="AJ89" s="11"/>
      <c r="AK89" s="11"/>
      <c r="AL89" s="11"/>
      <c r="AM89" s="11"/>
      <c r="AN89" s="11"/>
      <c r="AO89" s="11"/>
      <c r="AP89" s="11"/>
      <c r="AQ89" s="11"/>
      <c r="AR89" s="5"/>
      <c r="AS89" s="12"/>
      <c r="AT89" s="12"/>
      <c r="AU89" s="12"/>
      <c r="AV89" s="12"/>
      <c r="AW89" s="12"/>
      <c r="AX89" s="12"/>
      <c r="AY89" s="12"/>
      <c r="AZ89" s="12"/>
      <c r="BA89" s="12"/>
      <c r="BB89" s="12"/>
      <c r="BC89" s="12"/>
      <c r="BD89" s="12"/>
      <c r="BE89" s="12"/>
      <c r="BF89" s="12"/>
      <c r="BG89" s="12"/>
      <c r="BH89" s="12"/>
      <c r="BI89" s="12"/>
      <c r="BJ89" s="12"/>
      <c r="BK89" s="12"/>
      <c r="BL89" s="12"/>
      <c r="BM89" s="12"/>
      <c r="BN89" s="12"/>
      <c r="BO89" s="12"/>
      <c r="BP89" s="12"/>
      <c r="BQ89" s="12"/>
      <c r="BR89" s="12"/>
      <c r="BS89" s="12"/>
      <c r="BT89" s="12"/>
      <c r="BU89" s="12"/>
      <c r="BV89" s="12"/>
      <c r="BW89" s="12"/>
      <c r="BX89" s="12"/>
      <c r="BY89" s="12"/>
      <c r="BZ89" s="12"/>
      <c r="CA89" s="12"/>
      <c r="CB89" s="12"/>
      <c r="CC89" s="12"/>
      <c r="CD89" s="12"/>
      <c r="CE89" s="12"/>
      <c r="CF89" s="12"/>
      <c r="CG89" s="12"/>
      <c r="CH89" s="12"/>
      <c r="CI89" s="12"/>
      <c r="CJ89" s="12"/>
      <c r="CK89" s="12"/>
      <c r="CL89" s="12"/>
      <c r="CM89" s="12"/>
      <c r="CN89" s="12"/>
      <c r="CO89" s="12"/>
      <c r="CP89" s="12"/>
      <c r="CQ89" s="12"/>
      <c r="CR89" s="12"/>
      <c r="CS89" s="12"/>
      <c r="CT89" s="12"/>
      <c r="CU89" s="12"/>
      <c r="CV89" s="12"/>
      <c r="CW89" s="12"/>
      <c r="CX89" s="12"/>
      <c r="CY89" s="12"/>
      <c r="CZ89" s="12"/>
      <c r="DA89" s="12"/>
      <c r="DB89" s="12"/>
      <c r="DC89" s="12"/>
      <c r="DD89" s="12"/>
      <c r="DE89" s="12"/>
      <c r="DF89" s="12"/>
      <c r="DG89" s="12"/>
      <c r="DH89" s="12"/>
      <c r="DI89" s="12"/>
      <c r="DJ89" s="12"/>
      <c r="DK89" s="12"/>
      <c r="DL89" s="12"/>
      <c r="DM89" s="12"/>
      <c r="DN89" s="12"/>
      <c r="DO89" s="12"/>
      <c r="DP89" s="12"/>
      <c r="DQ89" s="12"/>
      <c r="DR89" s="12"/>
      <c r="DS89" s="12"/>
      <c r="DT89" s="12"/>
      <c r="DU89" s="12"/>
      <c r="DV89" s="12"/>
      <c r="DW89" s="12"/>
      <c r="DX89" s="12"/>
      <c r="DY89" s="12"/>
      <c r="DZ89" s="12"/>
      <c r="EA89" s="12"/>
      <c r="EB89" s="12"/>
      <c r="EC89" s="12"/>
      <c r="ED89" s="12"/>
      <c r="EE89" s="12"/>
      <c r="EF89" s="12"/>
      <c r="EG89" s="12"/>
      <c r="EH89" s="12"/>
      <c r="EI89" s="12"/>
      <c r="EJ89" s="12"/>
      <c r="EK89" s="12"/>
      <c r="EL89" s="12"/>
      <c r="EM89" s="12"/>
      <c r="EN89" s="12"/>
      <c r="EO89" s="12"/>
      <c r="EP89" s="12"/>
      <c r="EQ89" s="12"/>
      <c r="ER89" s="12"/>
      <c r="ES89" s="12"/>
      <c r="ET89" s="12"/>
      <c r="EU89" s="12"/>
      <c r="EV89" s="12"/>
      <c r="EW89" s="12"/>
      <c r="EX89" s="12"/>
      <c r="EY89" s="12"/>
      <c r="EZ89" s="12"/>
      <c r="FA89" s="12"/>
      <c r="FB89" s="12"/>
      <c r="FC89" s="12"/>
      <c r="FD89" s="12"/>
      <c r="FE89" s="12"/>
      <c r="FF89" s="12"/>
      <c r="FG89" s="12"/>
      <c r="FH89" s="12"/>
      <c r="FI89" s="12"/>
      <c r="FJ89" s="12"/>
      <c r="FK89" s="12"/>
      <c r="FL89" s="12"/>
      <c r="FM89" s="12"/>
      <c r="FN89" s="12"/>
      <c r="FO89" s="12"/>
      <c r="FP89" s="12"/>
      <c r="FQ89" s="12"/>
      <c r="FR89" s="12"/>
      <c r="FS89" s="12"/>
      <c r="FT89" s="12"/>
      <c r="FU89" s="12"/>
      <c r="FV89" s="12"/>
      <c r="FW89" s="12"/>
      <c r="FX89" s="12"/>
      <c r="FY89" s="12"/>
      <c r="FZ89" s="12"/>
      <c r="GA89" s="12"/>
      <c r="GB89" s="12"/>
      <c r="GC89" s="12"/>
      <c r="GD89" s="12"/>
      <c r="GE89" s="12"/>
      <c r="GF89" s="12"/>
      <c r="GG89" s="12"/>
      <c r="GH89" s="12"/>
      <c r="GI89" s="12"/>
      <c r="GJ89" s="12"/>
      <c r="GK89" s="12"/>
      <c r="GL89" s="12"/>
      <c r="GM89" s="12"/>
      <c r="GN89" s="12"/>
      <c r="GO89" s="12"/>
      <c r="GP89" s="12"/>
      <c r="GQ89" s="12"/>
      <c r="GR89" s="12"/>
      <c r="GS89" s="12"/>
      <c r="GT89" s="12"/>
      <c r="GU89" s="12"/>
      <c r="GV89" s="12"/>
      <c r="GW89" s="12"/>
      <c r="GX89" s="12"/>
      <c r="GY89" s="12"/>
      <c r="GZ89" s="12"/>
      <c r="HA89" s="12"/>
      <c r="HB89" s="12"/>
      <c r="HC89" s="12"/>
      <c r="HD89" s="12"/>
      <c r="HE89" s="12"/>
      <c r="HF89" s="12"/>
      <c r="HG89" s="12"/>
      <c r="HH89" s="12"/>
      <c r="HI89" s="12"/>
      <c r="HJ89" s="12"/>
      <c r="HK89" s="12"/>
      <c r="HL89" s="12"/>
      <c r="HM89" s="12"/>
      <c r="HN89" s="12"/>
      <c r="HO89" s="12"/>
      <c r="HP89" s="12"/>
      <c r="HQ89" s="12"/>
      <c r="HR89" s="12"/>
      <c r="HS89" s="12"/>
      <c r="HT89" s="12"/>
      <c r="HU89" s="12"/>
      <c r="HV89" s="12"/>
      <c r="HW89" s="12"/>
      <c r="HX89" s="12"/>
      <c r="HY89" s="12"/>
      <c r="HZ89" s="12"/>
      <c r="IA89" s="12"/>
      <c r="IB89" s="12"/>
      <c r="IC89" s="12"/>
      <c r="ID89" s="12"/>
      <c r="IE89" s="12"/>
      <c r="IF89" s="12"/>
      <c r="IG89" s="12"/>
      <c r="IH89" s="12"/>
      <c r="II89" s="12"/>
      <c r="IJ89" s="12"/>
      <c r="IK89" s="12"/>
      <c r="IL89" s="12"/>
      <c r="IM89" s="12"/>
      <c r="IN89" s="12"/>
      <c r="IO89" s="12"/>
      <c r="IP89" s="12"/>
      <c r="IQ89" s="12"/>
      <c r="IR89" s="12"/>
      <c r="IS89" s="12"/>
      <c r="IT89" s="12"/>
      <c r="IU89" s="12"/>
      <c r="IV89" s="12"/>
      <c r="IW89" s="12"/>
    </row>
    <row r="90" customFormat="false" ht="11.25" hidden="false" customHeight="false" outlineLevel="0" collapsed="false">
      <c r="A90" s="25" t="n">
        <f aca="false">DATE(YEAR(A89),MONTH(A89)+1,1)</f>
        <v>48458</v>
      </c>
      <c r="B90" s="21" t="n">
        <v>2.029</v>
      </c>
      <c r="C90" s="21" t="n">
        <v>2.054</v>
      </c>
      <c r="D90" s="25" t="n">
        <f aca="false">DATE(YEAR(D89),MONTH(D89)+1,1)</f>
        <v>48458</v>
      </c>
      <c r="E90" s="21" t="n">
        <v>18.668</v>
      </c>
      <c r="F90" s="21" t="n">
        <v>19.056</v>
      </c>
      <c r="G90" s="6"/>
      <c r="H90" s="22" t="n">
        <f aca="false">A90</f>
        <v>48458</v>
      </c>
      <c r="I90" s="23" t="n">
        <f aca="false">IF($J$1="bid",B90,C90)</f>
        <v>2.054</v>
      </c>
      <c r="J90" s="24" t="n">
        <f aca="false">D90</f>
        <v>48458</v>
      </c>
      <c r="K90" s="23" t="n">
        <f aca="false">IF($J$1="bid",E90,F90)</f>
        <v>19.056</v>
      </c>
      <c r="L90" s="11"/>
      <c r="M90" s="11"/>
      <c r="N90" s="11"/>
      <c r="O90" s="11"/>
      <c r="P90" s="11"/>
      <c r="Q90" s="11"/>
      <c r="R90" s="11"/>
      <c r="S90" s="11"/>
      <c r="T90" s="11"/>
      <c r="U90" s="11"/>
      <c r="V90" s="11"/>
      <c r="W90" s="11"/>
      <c r="X90" s="11"/>
      <c r="Y90" s="11"/>
      <c r="Z90" s="11"/>
      <c r="AA90" s="11"/>
      <c r="AB90" s="11"/>
      <c r="AC90" s="11"/>
      <c r="AD90" s="11"/>
      <c r="AE90" s="11"/>
      <c r="AF90" s="11"/>
      <c r="AG90" s="11"/>
      <c r="AH90" s="11"/>
      <c r="AI90" s="11"/>
      <c r="AJ90" s="11"/>
      <c r="AK90" s="11"/>
      <c r="AL90" s="11"/>
      <c r="AM90" s="11"/>
      <c r="AN90" s="11"/>
      <c r="AO90" s="11"/>
      <c r="AP90" s="11"/>
      <c r="AQ90" s="11"/>
      <c r="AR90" s="5"/>
      <c r="AS90" s="12"/>
      <c r="AT90" s="12"/>
      <c r="AU90" s="12"/>
      <c r="AV90" s="12"/>
      <c r="AW90" s="12"/>
      <c r="AX90" s="12"/>
      <c r="AY90" s="12"/>
      <c r="AZ90" s="12"/>
      <c r="BA90" s="12"/>
      <c r="BB90" s="12"/>
      <c r="BC90" s="12"/>
      <c r="BD90" s="12"/>
      <c r="BE90" s="12"/>
      <c r="BF90" s="12"/>
      <c r="BG90" s="12"/>
      <c r="BH90" s="12"/>
      <c r="BI90" s="12"/>
      <c r="BJ90" s="12"/>
      <c r="BK90" s="12"/>
      <c r="BL90" s="12"/>
      <c r="BM90" s="12"/>
      <c r="BN90" s="12"/>
      <c r="BO90" s="12"/>
      <c r="BP90" s="12"/>
      <c r="BQ90" s="12"/>
      <c r="BR90" s="12"/>
      <c r="BS90" s="12"/>
      <c r="BT90" s="12"/>
      <c r="BU90" s="12"/>
      <c r="BV90" s="12"/>
      <c r="BW90" s="12"/>
      <c r="BX90" s="12"/>
      <c r="BY90" s="12"/>
      <c r="BZ90" s="12"/>
      <c r="CA90" s="12"/>
      <c r="CB90" s="12"/>
      <c r="CC90" s="12"/>
      <c r="CD90" s="12"/>
      <c r="CE90" s="12"/>
      <c r="CF90" s="12"/>
      <c r="CG90" s="12"/>
      <c r="CH90" s="12"/>
      <c r="CI90" s="12"/>
      <c r="CJ90" s="12"/>
      <c r="CK90" s="12"/>
      <c r="CL90" s="12"/>
      <c r="CM90" s="12"/>
      <c r="CN90" s="12"/>
      <c r="CO90" s="12"/>
      <c r="CP90" s="12"/>
      <c r="CQ90" s="12"/>
      <c r="CR90" s="12"/>
      <c r="CS90" s="12"/>
      <c r="CT90" s="12"/>
      <c r="CU90" s="12"/>
      <c r="CV90" s="12"/>
      <c r="CW90" s="12"/>
      <c r="CX90" s="12"/>
      <c r="CY90" s="12"/>
      <c r="CZ90" s="12"/>
      <c r="DA90" s="12"/>
      <c r="DB90" s="12"/>
      <c r="DC90" s="12"/>
      <c r="DD90" s="12"/>
      <c r="DE90" s="12"/>
      <c r="DF90" s="12"/>
      <c r="DG90" s="12"/>
      <c r="DH90" s="12"/>
      <c r="DI90" s="12"/>
      <c r="DJ90" s="12"/>
      <c r="DK90" s="12"/>
      <c r="DL90" s="12"/>
      <c r="DM90" s="12"/>
      <c r="DN90" s="12"/>
      <c r="DO90" s="12"/>
      <c r="DP90" s="12"/>
      <c r="DQ90" s="12"/>
      <c r="DR90" s="12"/>
      <c r="DS90" s="12"/>
      <c r="DT90" s="12"/>
      <c r="DU90" s="12"/>
      <c r="DV90" s="12"/>
      <c r="DW90" s="12"/>
      <c r="DX90" s="12"/>
      <c r="DY90" s="12"/>
      <c r="DZ90" s="12"/>
      <c r="EA90" s="12"/>
      <c r="EB90" s="12"/>
      <c r="EC90" s="12"/>
      <c r="ED90" s="12"/>
      <c r="EE90" s="12"/>
      <c r="EF90" s="12"/>
      <c r="EG90" s="12"/>
      <c r="EH90" s="12"/>
      <c r="EI90" s="12"/>
      <c r="EJ90" s="12"/>
      <c r="EK90" s="12"/>
      <c r="EL90" s="12"/>
      <c r="EM90" s="12"/>
      <c r="EN90" s="12"/>
      <c r="EO90" s="12"/>
      <c r="EP90" s="12"/>
      <c r="EQ90" s="12"/>
      <c r="ER90" s="12"/>
      <c r="ES90" s="12"/>
      <c r="ET90" s="12"/>
      <c r="EU90" s="12"/>
      <c r="EV90" s="12"/>
      <c r="EW90" s="12"/>
      <c r="EX90" s="12"/>
      <c r="EY90" s="12"/>
      <c r="EZ90" s="12"/>
      <c r="FA90" s="12"/>
      <c r="FB90" s="12"/>
      <c r="FC90" s="12"/>
      <c r="FD90" s="12"/>
      <c r="FE90" s="12"/>
      <c r="FF90" s="12"/>
      <c r="FG90" s="12"/>
      <c r="FH90" s="12"/>
      <c r="FI90" s="12"/>
      <c r="FJ90" s="12"/>
      <c r="FK90" s="12"/>
      <c r="FL90" s="12"/>
      <c r="FM90" s="12"/>
      <c r="FN90" s="12"/>
      <c r="FO90" s="12"/>
      <c r="FP90" s="12"/>
      <c r="FQ90" s="12"/>
      <c r="FR90" s="12"/>
      <c r="FS90" s="12"/>
      <c r="FT90" s="12"/>
      <c r="FU90" s="12"/>
      <c r="FV90" s="12"/>
      <c r="FW90" s="12"/>
      <c r="FX90" s="12"/>
      <c r="FY90" s="12"/>
      <c r="FZ90" s="12"/>
      <c r="GA90" s="12"/>
      <c r="GB90" s="12"/>
      <c r="GC90" s="12"/>
      <c r="GD90" s="12"/>
      <c r="GE90" s="12"/>
      <c r="GF90" s="12"/>
      <c r="GG90" s="12"/>
      <c r="GH90" s="12"/>
      <c r="GI90" s="12"/>
      <c r="GJ90" s="12"/>
      <c r="GK90" s="12"/>
      <c r="GL90" s="12"/>
      <c r="GM90" s="12"/>
      <c r="GN90" s="12"/>
      <c r="GO90" s="12"/>
      <c r="GP90" s="12"/>
      <c r="GQ90" s="12"/>
      <c r="GR90" s="12"/>
      <c r="GS90" s="12"/>
      <c r="GT90" s="12"/>
      <c r="GU90" s="12"/>
      <c r="GV90" s="12"/>
      <c r="GW90" s="12"/>
      <c r="GX90" s="12"/>
      <c r="GY90" s="12"/>
      <c r="GZ90" s="12"/>
      <c r="HA90" s="12"/>
      <c r="HB90" s="12"/>
      <c r="HC90" s="12"/>
      <c r="HD90" s="12"/>
      <c r="HE90" s="12"/>
      <c r="HF90" s="12"/>
      <c r="HG90" s="12"/>
      <c r="HH90" s="12"/>
      <c r="HI90" s="12"/>
      <c r="HJ90" s="12"/>
      <c r="HK90" s="12"/>
      <c r="HL90" s="12"/>
      <c r="HM90" s="12"/>
      <c r="HN90" s="12"/>
      <c r="HO90" s="12"/>
      <c r="HP90" s="12"/>
      <c r="HQ90" s="12"/>
      <c r="HR90" s="12"/>
      <c r="HS90" s="12"/>
      <c r="HT90" s="12"/>
      <c r="HU90" s="12"/>
      <c r="HV90" s="12"/>
      <c r="HW90" s="12"/>
      <c r="HX90" s="12"/>
      <c r="HY90" s="12"/>
      <c r="HZ90" s="12"/>
      <c r="IA90" s="12"/>
      <c r="IB90" s="12"/>
      <c r="IC90" s="12"/>
      <c r="ID90" s="12"/>
      <c r="IE90" s="12"/>
      <c r="IF90" s="12"/>
      <c r="IG90" s="12"/>
      <c r="IH90" s="12"/>
      <c r="II90" s="12"/>
      <c r="IJ90" s="12"/>
      <c r="IK90" s="12"/>
      <c r="IL90" s="12"/>
      <c r="IM90" s="12"/>
      <c r="IN90" s="12"/>
      <c r="IO90" s="12"/>
      <c r="IP90" s="12"/>
      <c r="IQ90" s="12"/>
      <c r="IR90" s="12"/>
      <c r="IS90" s="12"/>
      <c r="IT90" s="12"/>
      <c r="IU90" s="12"/>
      <c r="IV90" s="12"/>
      <c r="IW90" s="12"/>
    </row>
    <row r="91" customFormat="false" ht="11.25" hidden="false" customHeight="false" outlineLevel="0" collapsed="false">
      <c r="A91" s="25" t="n">
        <f aca="false">DATE(YEAR(A90),MONTH(A90)+1,1)</f>
        <v>48488</v>
      </c>
      <c r="B91" s="21" t="n">
        <v>2.147</v>
      </c>
      <c r="C91" s="21" t="n">
        <v>2.172</v>
      </c>
      <c r="D91" s="25" t="n">
        <f aca="false">DATE(YEAR(D90),MONTH(D90)+1,1)</f>
        <v>48488</v>
      </c>
      <c r="E91" s="21" t="n">
        <v>18.676</v>
      </c>
      <c r="F91" s="21" t="n">
        <v>19.072</v>
      </c>
      <c r="G91" s="6"/>
      <c r="H91" s="22" t="n">
        <f aca="false">A91</f>
        <v>48488</v>
      </c>
      <c r="I91" s="23" t="n">
        <f aca="false">IF($J$1="bid",B91,C91)</f>
        <v>2.172</v>
      </c>
      <c r="J91" s="24" t="n">
        <f aca="false">D91</f>
        <v>48488</v>
      </c>
      <c r="K91" s="23" t="n">
        <f aca="false">IF($J$1="bid",E91,F91)</f>
        <v>19.072</v>
      </c>
      <c r="L91" s="11"/>
      <c r="M91" s="11"/>
      <c r="N91" s="11"/>
      <c r="O91" s="11"/>
      <c r="P91" s="11"/>
      <c r="Q91" s="11"/>
      <c r="R91" s="11"/>
      <c r="S91" s="11"/>
      <c r="T91" s="11"/>
      <c r="U91" s="11"/>
      <c r="V91" s="11"/>
      <c r="W91" s="11"/>
      <c r="X91" s="11"/>
      <c r="Y91" s="11"/>
      <c r="Z91" s="11"/>
      <c r="AA91" s="11"/>
      <c r="AB91" s="11"/>
      <c r="AC91" s="11"/>
      <c r="AD91" s="11"/>
      <c r="AE91" s="11"/>
      <c r="AF91" s="11"/>
      <c r="AG91" s="11"/>
      <c r="AH91" s="11"/>
      <c r="AI91" s="11"/>
      <c r="AJ91" s="11"/>
      <c r="AK91" s="11"/>
      <c r="AL91" s="11"/>
      <c r="AM91" s="11"/>
      <c r="AN91" s="11"/>
      <c r="AO91" s="11"/>
      <c r="AP91" s="11"/>
      <c r="AQ91" s="11"/>
      <c r="AR91" s="5"/>
      <c r="AS91" s="12"/>
      <c r="AT91" s="12"/>
      <c r="AU91" s="12"/>
      <c r="AV91" s="12"/>
      <c r="AW91" s="12"/>
      <c r="AX91" s="12"/>
      <c r="AY91" s="12"/>
      <c r="AZ91" s="12"/>
      <c r="BA91" s="12"/>
      <c r="BB91" s="12"/>
      <c r="BC91" s="12"/>
      <c r="BD91" s="12"/>
      <c r="BE91" s="12"/>
      <c r="BF91" s="12"/>
      <c r="BG91" s="12"/>
      <c r="BH91" s="12"/>
      <c r="BI91" s="12"/>
      <c r="BJ91" s="12"/>
      <c r="BK91" s="12"/>
      <c r="BL91" s="12"/>
      <c r="BM91" s="12"/>
      <c r="BN91" s="12"/>
      <c r="BO91" s="12"/>
      <c r="BP91" s="12"/>
      <c r="BQ91" s="12"/>
      <c r="BR91" s="12"/>
      <c r="BS91" s="12"/>
      <c r="BT91" s="12"/>
      <c r="BU91" s="12"/>
      <c r="BV91" s="12"/>
      <c r="BW91" s="12"/>
      <c r="BX91" s="12"/>
      <c r="BY91" s="12"/>
      <c r="BZ91" s="12"/>
      <c r="CA91" s="12"/>
      <c r="CB91" s="12"/>
      <c r="CC91" s="12"/>
      <c r="CD91" s="12"/>
      <c r="CE91" s="12"/>
      <c r="CF91" s="12"/>
      <c r="CG91" s="12"/>
      <c r="CH91" s="12"/>
      <c r="CI91" s="12"/>
      <c r="CJ91" s="12"/>
      <c r="CK91" s="12"/>
      <c r="CL91" s="12"/>
      <c r="CM91" s="12"/>
      <c r="CN91" s="12"/>
      <c r="CO91" s="12"/>
      <c r="CP91" s="12"/>
      <c r="CQ91" s="12"/>
      <c r="CR91" s="12"/>
      <c r="CS91" s="12"/>
      <c r="CT91" s="12"/>
      <c r="CU91" s="12"/>
      <c r="CV91" s="12"/>
      <c r="CW91" s="12"/>
      <c r="CX91" s="12"/>
      <c r="CY91" s="12"/>
      <c r="CZ91" s="12"/>
      <c r="DA91" s="12"/>
      <c r="DB91" s="12"/>
      <c r="DC91" s="12"/>
      <c r="DD91" s="12"/>
      <c r="DE91" s="12"/>
      <c r="DF91" s="12"/>
      <c r="DG91" s="12"/>
      <c r="DH91" s="12"/>
      <c r="DI91" s="12"/>
      <c r="DJ91" s="12"/>
      <c r="DK91" s="12"/>
      <c r="DL91" s="12"/>
      <c r="DM91" s="12"/>
      <c r="DN91" s="12"/>
      <c r="DO91" s="12"/>
      <c r="DP91" s="12"/>
      <c r="DQ91" s="12"/>
      <c r="DR91" s="12"/>
      <c r="DS91" s="12"/>
      <c r="DT91" s="12"/>
      <c r="DU91" s="12"/>
      <c r="DV91" s="12"/>
      <c r="DW91" s="12"/>
      <c r="DX91" s="12"/>
      <c r="DY91" s="12"/>
      <c r="DZ91" s="12"/>
      <c r="EA91" s="12"/>
      <c r="EB91" s="12"/>
      <c r="EC91" s="12"/>
      <c r="ED91" s="12"/>
      <c r="EE91" s="12"/>
      <c r="EF91" s="12"/>
      <c r="EG91" s="12"/>
      <c r="EH91" s="12"/>
      <c r="EI91" s="12"/>
      <c r="EJ91" s="12"/>
      <c r="EK91" s="12"/>
      <c r="EL91" s="12"/>
      <c r="EM91" s="12"/>
      <c r="EN91" s="12"/>
      <c r="EO91" s="12"/>
      <c r="EP91" s="12"/>
      <c r="EQ91" s="12"/>
      <c r="ER91" s="12"/>
      <c r="ES91" s="12"/>
      <c r="ET91" s="12"/>
      <c r="EU91" s="12"/>
      <c r="EV91" s="12"/>
      <c r="EW91" s="12"/>
      <c r="EX91" s="12"/>
      <c r="EY91" s="12"/>
      <c r="EZ91" s="12"/>
      <c r="FA91" s="12"/>
      <c r="FB91" s="12"/>
      <c r="FC91" s="12"/>
      <c r="FD91" s="12"/>
      <c r="FE91" s="12"/>
      <c r="FF91" s="12"/>
      <c r="FG91" s="12"/>
      <c r="FH91" s="12"/>
      <c r="FI91" s="12"/>
      <c r="FJ91" s="12"/>
      <c r="FK91" s="12"/>
      <c r="FL91" s="12"/>
      <c r="FM91" s="12"/>
      <c r="FN91" s="12"/>
      <c r="FO91" s="12"/>
      <c r="FP91" s="12"/>
      <c r="FQ91" s="12"/>
      <c r="FR91" s="12"/>
      <c r="FS91" s="12"/>
      <c r="FT91" s="12"/>
      <c r="FU91" s="12"/>
      <c r="FV91" s="12"/>
      <c r="FW91" s="12"/>
      <c r="FX91" s="12"/>
      <c r="FY91" s="12"/>
      <c r="FZ91" s="12"/>
      <c r="GA91" s="12"/>
      <c r="GB91" s="12"/>
      <c r="GC91" s="12"/>
      <c r="GD91" s="12"/>
      <c r="GE91" s="12"/>
      <c r="GF91" s="12"/>
      <c r="GG91" s="12"/>
      <c r="GH91" s="12"/>
      <c r="GI91" s="12"/>
      <c r="GJ91" s="12"/>
      <c r="GK91" s="12"/>
      <c r="GL91" s="12"/>
      <c r="GM91" s="12"/>
      <c r="GN91" s="12"/>
      <c r="GO91" s="12"/>
      <c r="GP91" s="12"/>
      <c r="GQ91" s="12"/>
      <c r="GR91" s="12"/>
      <c r="GS91" s="12"/>
      <c r="GT91" s="12"/>
      <c r="GU91" s="12"/>
      <c r="GV91" s="12"/>
      <c r="GW91" s="12"/>
      <c r="GX91" s="12"/>
      <c r="GY91" s="12"/>
      <c r="GZ91" s="12"/>
      <c r="HA91" s="12"/>
      <c r="HB91" s="12"/>
      <c r="HC91" s="12"/>
      <c r="HD91" s="12"/>
      <c r="HE91" s="12"/>
      <c r="HF91" s="12"/>
      <c r="HG91" s="12"/>
      <c r="HH91" s="12"/>
      <c r="HI91" s="12"/>
      <c r="HJ91" s="12"/>
      <c r="HK91" s="12"/>
      <c r="HL91" s="12"/>
      <c r="HM91" s="12"/>
      <c r="HN91" s="12"/>
      <c r="HO91" s="12"/>
      <c r="HP91" s="12"/>
      <c r="HQ91" s="12"/>
      <c r="HR91" s="12"/>
      <c r="HS91" s="12"/>
      <c r="HT91" s="12"/>
      <c r="HU91" s="12"/>
      <c r="HV91" s="12"/>
      <c r="HW91" s="12"/>
      <c r="HX91" s="12"/>
      <c r="HY91" s="12"/>
      <c r="HZ91" s="12"/>
      <c r="IA91" s="12"/>
      <c r="IB91" s="12"/>
      <c r="IC91" s="12"/>
      <c r="ID91" s="12"/>
      <c r="IE91" s="12"/>
      <c r="IF91" s="12"/>
      <c r="IG91" s="12"/>
      <c r="IH91" s="12"/>
      <c r="II91" s="12"/>
      <c r="IJ91" s="12"/>
      <c r="IK91" s="12"/>
      <c r="IL91" s="12"/>
      <c r="IM91" s="12"/>
      <c r="IN91" s="12"/>
      <c r="IO91" s="12"/>
      <c r="IP91" s="12"/>
      <c r="IQ91" s="12"/>
      <c r="IR91" s="12"/>
      <c r="IS91" s="12"/>
      <c r="IT91" s="12"/>
      <c r="IU91" s="12"/>
      <c r="IV91" s="12"/>
      <c r="IW91" s="12"/>
    </row>
    <row r="92" customFormat="false" ht="11.25" hidden="false" customHeight="false" outlineLevel="0" collapsed="false">
      <c r="A92" s="25" t="n">
        <f aca="false">DATE(YEAR(A91),MONTH(A91)+1,1)</f>
        <v>48519</v>
      </c>
      <c r="B92" s="21" t="n">
        <v>2.193</v>
      </c>
      <c r="C92" s="21" t="n">
        <v>2.223</v>
      </c>
      <c r="D92" s="25" t="n">
        <f aca="false">DATE(YEAR(D91),MONTH(D91)+1,1)</f>
        <v>48519</v>
      </c>
      <c r="E92" s="21" t="n">
        <v>18.685</v>
      </c>
      <c r="F92" s="21" t="n">
        <v>19.09</v>
      </c>
      <c r="G92" s="6"/>
      <c r="H92" s="22" t="n">
        <f aca="false">A92</f>
        <v>48519</v>
      </c>
      <c r="I92" s="23" t="n">
        <f aca="false">IF($J$1="bid",B92,C92)</f>
        <v>2.223</v>
      </c>
      <c r="J92" s="24" t="n">
        <f aca="false">D92</f>
        <v>48519</v>
      </c>
      <c r="K92" s="23" t="n">
        <f aca="false">IF($J$1="bid",E92,F92)</f>
        <v>19.09</v>
      </c>
      <c r="L92" s="11"/>
      <c r="M92" s="11"/>
      <c r="N92" s="11"/>
      <c r="O92" s="11"/>
      <c r="P92" s="11"/>
      <c r="Q92" s="11"/>
      <c r="R92" s="11"/>
      <c r="S92" s="11"/>
      <c r="T92" s="11"/>
      <c r="U92" s="11"/>
      <c r="V92" s="11"/>
      <c r="W92" s="11"/>
      <c r="X92" s="11"/>
      <c r="Y92" s="11"/>
      <c r="Z92" s="11"/>
      <c r="AA92" s="11"/>
      <c r="AB92" s="11"/>
      <c r="AC92" s="11"/>
      <c r="AD92" s="11"/>
      <c r="AE92" s="11"/>
      <c r="AF92" s="11"/>
      <c r="AG92" s="11"/>
      <c r="AH92" s="11"/>
      <c r="AI92" s="11"/>
      <c r="AJ92" s="11"/>
      <c r="AK92" s="11"/>
      <c r="AL92" s="11"/>
      <c r="AM92" s="11"/>
      <c r="AN92" s="11"/>
      <c r="AO92" s="11"/>
      <c r="AP92" s="11"/>
      <c r="AQ92" s="11"/>
      <c r="AR92" s="5"/>
      <c r="AS92" s="12"/>
      <c r="AT92" s="12"/>
      <c r="AU92" s="12"/>
      <c r="AV92" s="12"/>
      <c r="AW92" s="12"/>
      <c r="AX92" s="12"/>
      <c r="AY92" s="12"/>
      <c r="AZ92" s="12"/>
      <c r="BA92" s="12"/>
      <c r="BB92" s="12"/>
      <c r="BC92" s="12"/>
      <c r="BD92" s="12"/>
      <c r="BE92" s="12"/>
      <c r="BF92" s="12"/>
      <c r="BG92" s="12"/>
      <c r="BH92" s="12"/>
      <c r="BI92" s="12"/>
      <c r="BJ92" s="12"/>
      <c r="BK92" s="12"/>
      <c r="BL92" s="12"/>
      <c r="BM92" s="12"/>
      <c r="BN92" s="12"/>
      <c r="BO92" s="12"/>
      <c r="BP92" s="12"/>
      <c r="BQ92" s="12"/>
      <c r="BR92" s="12"/>
      <c r="BS92" s="12"/>
      <c r="BT92" s="12"/>
      <c r="BU92" s="12"/>
      <c r="BV92" s="12"/>
      <c r="BW92" s="12"/>
      <c r="BX92" s="12"/>
      <c r="BY92" s="12"/>
      <c r="BZ92" s="12"/>
      <c r="CA92" s="12"/>
      <c r="CB92" s="12"/>
      <c r="CC92" s="12"/>
      <c r="CD92" s="12"/>
      <c r="CE92" s="12"/>
      <c r="CF92" s="12"/>
      <c r="CG92" s="12"/>
      <c r="CH92" s="12"/>
      <c r="CI92" s="12"/>
      <c r="CJ92" s="12"/>
      <c r="CK92" s="12"/>
      <c r="CL92" s="12"/>
      <c r="CM92" s="12"/>
      <c r="CN92" s="12"/>
      <c r="CO92" s="12"/>
      <c r="CP92" s="12"/>
      <c r="CQ92" s="12"/>
      <c r="CR92" s="12"/>
      <c r="CS92" s="12"/>
      <c r="CT92" s="12"/>
      <c r="CU92" s="12"/>
      <c r="CV92" s="12"/>
      <c r="CW92" s="12"/>
      <c r="CX92" s="12"/>
      <c r="CY92" s="12"/>
      <c r="CZ92" s="12"/>
      <c r="DA92" s="12"/>
      <c r="DB92" s="12"/>
      <c r="DC92" s="12"/>
      <c r="DD92" s="12"/>
      <c r="DE92" s="12"/>
      <c r="DF92" s="12"/>
      <c r="DG92" s="12"/>
      <c r="DH92" s="12"/>
      <c r="DI92" s="12"/>
      <c r="DJ92" s="12"/>
      <c r="DK92" s="12"/>
      <c r="DL92" s="12"/>
      <c r="DM92" s="12"/>
      <c r="DN92" s="12"/>
      <c r="DO92" s="12"/>
      <c r="DP92" s="12"/>
      <c r="DQ92" s="12"/>
      <c r="DR92" s="12"/>
      <c r="DS92" s="12"/>
      <c r="DT92" s="12"/>
      <c r="DU92" s="12"/>
      <c r="DV92" s="12"/>
      <c r="DW92" s="12"/>
      <c r="DX92" s="12"/>
      <c r="DY92" s="12"/>
      <c r="DZ92" s="12"/>
      <c r="EA92" s="12"/>
      <c r="EB92" s="12"/>
      <c r="EC92" s="12"/>
      <c r="ED92" s="12"/>
      <c r="EE92" s="12"/>
      <c r="EF92" s="12"/>
      <c r="EG92" s="12"/>
      <c r="EH92" s="12"/>
      <c r="EI92" s="12"/>
      <c r="EJ92" s="12"/>
      <c r="EK92" s="12"/>
      <c r="EL92" s="12"/>
      <c r="EM92" s="12"/>
      <c r="EN92" s="12"/>
      <c r="EO92" s="12"/>
      <c r="EP92" s="12"/>
      <c r="EQ92" s="12"/>
      <c r="ER92" s="12"/>
      <c r="ES92" s="12"/>
      <c r="ET92" s="12"/>
      <c r="EU92" s="12"/>
      <c r="EV92" s="12"/>
      <c r="EW92" s="12"/>
      <c r="EX92" s="12"/>
      <c r="EY92" s="12"/>
      <c r="EZ92" s="12"/>
      <c r="FA92" s="12"/>
      <c r="FB92" s="12"/>
      <c r="FC92" s="12"/>
      <c r="FD92" s="12"/>
      <c r="FE92" s="12"/>
      <c r="FF92" s="12"/>
      <c r="FG92" s="12"/>
      <c r="FH92" s="12"/>
      <c r="FI92" s="12"/>
      <c r="FJ92" s="12"/>
      <c r="FK92" s="12"/>
      <c r="FL92" s="12"/>
      <c r="FM92" s="12"/>
      <c r="FN92" s="12"/>
      <c r="FO92" s="12"/>
      <c r="FP92" s="12"/>
      <c r="FQ92" s="12"/>
      <c r="FR92" s="12"/>
      <c r="FS92" s="12"/>
      <c r="FT92" s="12"/>
      <c r="FU92" s="12"/>
      <c r="FV92" s="12"/>
      <c r="FW92" s="12"/>
      <c r="FX92" s="12"/>
      <c r="FY92" s="12"/>
      <c r="FZ92" s="12"/>
      <c r="GA92" s="12"/>
      <c r="GB92" s="12"/>
      <c r="GC92" s="12"/>
      <c r="GD92" s="12"/>
      <c r="GE92" s="12"/>
      <c r="GF92" s="12"/>
      <c r="GG92" s="12"/>
      <c r="GH92" s="12"/>
      <c r="GI92" s="12"/>
      <c r="GJ92" s="12"/>
      <c r="GK92" s="12"/>
      <c r="GL92" s="12"/>
      <c r="GM92" s="12"/>
      <c r="GN92" s="12"/>
      <c r="GO92" s="12"/>
      <c r="GP92" s="12"/>
      <c r="GQ92" s="12"/>
      <c r="GR92" s="12"/>
      <c r="GS92" s="12"/>
      <c r="GT92" s="12"/>
      <c r="GU92" s="12"/>
      <c r="GV92" s="12"/>
      <c r="GW92" s="12"/>
      <c r="GX92" s="12"/>
      <c r="GY92" s="12"/>
      <c r="GZ92" s="12"/>
      <c r="HA92" s="12"/>
      <c r="HB92" s="12"/>
      <c r="HC92" s="12"/>
      <c r="HD92" s="12"/>
      <c r="HE92" s="12"/>
      <c r="HF92" s="12"/>
      <c r="HG92" s="12"/>
      <c r="HH92" s="12"/>
      <c r="HI92" s="12"/>
      <c r="HJ92" s="12"/>
      <c r="HK92" s="12"/>
      <c r="HL92" s="12"/>
      <c r="HM92" s="12"/>
      <c r="HN92" s="12"/>
      <c r="HO92" s="12"/>
      <c r="HP92" s="12"/>
      <c r="HQ92" s="12"/>
      <c r="HR92" s="12"/>
      <c r="HS92" s="12"/>
      <c r="HT92" s="12"/>
      <c r="HU92" s="12"/>
      <c r="HV92" s="12"/>
      <c r="HW92" s="12"/>
      <c r="HX92" s="12"/>
      <c r="HY92" s="12"/>
      <c r="HZ92" s="12"/>
      <c r="IA92" s="12"/>
      <c r="IB92" s="12"/>
      <c r="IC92" s="12"/>
      <c r="ID92" s="12"/>
      <c r="IE92" s="12"/>
      <c r="IF92" s="12"/>
      <c r="IG92" s="12"/>
      <c r="IH92" s="12"/>
      <c r="II92" s="12"/>
      <c r="IJ92" s="12"/>
      <c r="IK92" s="12"/>
      <c r="IL92" s="12"/>
      <c r="IM92" s="12"/>
      <c r="IN92" s="12"/>
      <c r="IO92" s="12"/>
      <c r="IP92" s="12"/>
      <c r="IQ92" s="12"/>
      <c r="IR92" s="12"/>
      <c r="IS92" s="12"/>
      <c r="IT92" s="12"/>
      <c r="IU92" s="12"/>
      <c r="IV92" s="12"/>
      <c r="IW92" s="12"/>
    </row>
    <row r="93" customFormat="false" ht="11.25" hidden="false" customHeight="false" outlineLevel="0" collapsed="false">
      <c r="A93" s="25" t="n">
        <f aca="false">DATE(YEAR(A92),MONTH(A92)+1,1)</f>
        <v>48549</v>
      </c>
      <c r="B93" s="21" t="n">
        <v>2.108</v>
      </c>
      <c r="C93" s="21" t="n">
        <v>2.138</v>
      </c>
      <c r="D93" s="25" t="n">
        <f aca="false">DATE(YEAR(D92),MONTH(D92)+1,1)</f>
        <v>48549</v>
      </c>
      <c r="E93" s="21" t="n">
        <v>18.693</v>
      </c>
      <c r="F93" s="21" t="n">
        <v>19.106</v>
      </c>
      <c r="G93" s="6"/>
      <c r="H93" s="22" t="n">
        <f aca="false">A93</f>
        <v>48549</v>
      </c>
      <c r="I93" s="23" t="n">
        <f aca="false">IF($J$1="bid",B93,C93)</f>
        <v>2.138</v>
      </c>
      <c r="J93" s="24" t="n">
        <f aca="false">D93</f>
        <v>48549</v>
      </c>
      <c r="K93" s="23" t="n">
        <f aca="false">IF($J$1="bid",E93,F93)</f>
        <v>19.106</v>
      </c>
      <c r="L93" s="11"/>
      <c r="M93" s="11"/>
      <c r="N93" s="11"/>
      <c r="O93" s="11"/>
      <c r="P93" s="11"/>
      <c r="Q93" s="11"/>
      <c r="R93" s="11"/>
      <c r="S93" s="11"/>
      <c r="T93" s="11"/>
      <c r="U93" s="11"/>
      <c r="V93" s="11"/>
      <c r="W93" s="11"/>
      <c r="X93" s="11"/>
      <c r="Y93" s="11"/>
      <c r="Z93" s="11"/>
      <c r="AA93" s="11"/>
      <c r="AB93" s="11"/>
      <c r="AC93" s="11"/>
      <c r="AD93" s="11"/>
      <c r="AE93" s="11"/>
      <c r="AF93" s="11"/>
      <c r="AG93" s="11"/>
      <c r="AH93" s="11"/>
      <c r="AI93" s="11"/>
      <c r="AJ93" s="11"/>
      <c r="AK93" s="11"/>
      <c r="AL93" s="11"/>
      <c r="AM93" s="11"/>
      <c r="AN93" s="11"/>
      <c r="AO93" s="11"/>
      <c r="AP93" s="11"/>
      <c r="AQ93" s="11"/>
      <c r="AR93" s="5"/>
      <c r="AS93" s="12"/>
      <c r="AT93" s="12"/>
      <c r="AU93" s="12"/>
      <c r="AV93" s="12"/>
      <c r="AW93" s="12"/>
      <c r="AX93" s="12"/>
      <c r="AY93" s="12"/>
      <c r="AZ93" s="12"/>
      <c r="BA93" s="12"/>
      <c r="BB93" s="12"/>
      <c r="BC93" s="12"/>
      <c r="BD93" s="12"/>
      <c r="BE93" s="12"/>
      <c r="BF93" s="12"/>
      <c r="BG93" s="12"/>
      <c r="BH93" s="12"/>
      <c r="BI93" s="12"/>
      <c r="BJ93" s="12"/>
      <c r="BK93" s="12"/>
      <c r="BL93" s="12"/>
      <c r="BM93" s="12"/>
      <c r="BN93" s="12"/>
      <c r="BO93" s="12"/>
      <c r="BP93" s="12"/>
      <c r="BQ93" s="12"/>
      <c r="BR93" s="12"/>
      <c r="BS93" s="12"/>
      <c r="BT93" s="12"/>
      <c r="BU93" s="12"/>
      <c r="BV93" s="12"/>
      <c r="BW93" s="12"/>
      <c r="BX93" s="12"/>
      <c r="BY93" s="12"/>
      <c r="BZ93" s="12"/>
      <c r="CA93" s="12"/>
      <c r="CB93" s="12"/>
      <c r="CC93" s="12"/>
      <c r="CD93" s="12"/>
      <c r="CE93" s="12"/>
      <c r="CF93" s="12"/>
      <c r="CG93" s="12"/>
      <c r="CH93" s="12"/>
      <c r="CI93" s="12"/>
      <c r="CJ93" s="12"/>
      <c r="CK93" s="12"/>
      <c r="CL93" s="12"/>
      <c r="CM93" s="12"/>
      <c r="CN93" s="12"/>
      <c r="CO93" s="12"/>
      <c r="CP93" s="12"/>
      <c r="CQ93" s="12"/>
      <c r="CR93" s="12"/>
      <c r="CS93" s="12"/>
      <c r="CT93" s="12"/>
      <c r="CU93" s="12"/>
      <c r="CV93" s="12"/>
      <c r="CW93" s="12"/>
      <c r="CX93" s="12"/>
      <c r="CY93" s="12"/>
      <c r="CZ93" s="12"/>
      <c r="DA93" s="12"/>
      <c r="DB93" s="12"/>
      <c r="DC93" s="12"/>
      <c r="DD93" s="12"/>
      <c r="DE93" s="12"/>
      <c r="DF93" s="12"/>
      <c r="DG93" s="12"/>
      <c r="DH93" s="12"/>
      <c r="DI93" s="12"/>
      <c r="DJ93" s="12"/>
      <c r="DK93" s="12"/>
      <c r="DL93" s="12"/>
      <c r="DM93" s="12"/>
      <c r="DN93" s="12"/>
      <c r="DO93" s="12"/>
      <c r="DP93" s="12"/>
      <c r="DQ93" s="12"/>
      <c r="DR93" s="12"/>
      <c r="DS93" s="12"/>
      <c r="DT93" s="12"/>
      <c r="DU93" s="12"/>
      <c r="DV93" s="12"/>
      <c r="DW93" s="12"/>
      <c r="DX93" s="12"/>
      <c r="DY93" s="12"/>
      <c r="DZ93" s="12"/>
      <c r="EA93" s="12"/>
      <c r="EB93" s="12"/>
      <c r="EC93" s="12"/>
      <c r="ED93" s="12"/>
      <c r="EE93" s="12"/>
      <c r="EF93" s="12"/>
      <c r="EG93" s="12"/>
      <c r="EH93" s="12"/>
      <c r="EI93" s="12"/>
      <c r="EJ93" s="12"/>
      <c r="EK93" s="12"/>
      <c r="EL93" s="12"/>
      <c r="EM93" s="12"/>
      <c r="EN93" s="12"/>
      <c r="EO93" s="12"/>
      <c r="EP93" s="12"/>
      <c r="EQ93" s="12"/>
      <c r="ER93" s="12"/>
      <c r="ES93" s="12"/>
      <c r="ET93" s="12"/>
      <c r="EU93" s="12"/>
      <c r="EV93" s="12"/>
      <c r="EW93" s="12"/>
      <c r="EX93" s="12"/>
      <c r="EY93" s="12"/>
      <c r="EZ93" s="12"/>
      <c r="FA93" s="12"/>
      <c r="FB93" s="12"/>
      <c r="FC93" s="12"/>
      <c r="FD93" s="12"/>
      <c r="FE93" s="12"/>
      <c r="FF93" s="12"/>
      <c r="FG93" s="12"/>
      <c r="FH93" s="12"/>
      <c r="FI93" s="12"/>
      <c r="FJ93" s="12"/>
      <c r="FK93" s="12"/>
      <c r="FL93" s="12"/>
      <c r="FM93" s="12"/>
      <c r="FN93" s="12"/>
      <c r="FO93" s="12"/>
      <c r="FP93" s="12"/>
      <c r="FQ93" s="12"/>
      <c r="FR93" s="12"/>
      <c r="FS93" s="12"/>
      <c r="FT93" s="12"/>
      <c r="FU93" s="12"/>
      <c r="FV93" s="12"/>
      <c r="FW93" s="12"/>
      <c r="FX93" s="12"/>
      <c r="FY93" s="12"/>
      <c r="FZ93" s="12"/>
      <c r="GA93" s="12"/>
      <c r="GB93" s="12"/>
      <c r="GC93" s="12"/>
      <c r="GD93" s="12"/>
      <c r="GE93" s="12"/>
      <c r="GF93" s="12"/>
      <c r="GG93" s="12"/>
      <c r="GH93" s="12"/>
      <c r="GI93" s="12"/>
      <c r="GJ93" s="12"/>
      <c r="GK93" s="12"/>
      <c r="GL93" s="12"/>
      <c r="GM93" s="12"/>
      <c r="GN93" s="12"/>
      <c r="GO93" s="12"/>
      <c r="GP93" s="12"/>
      <c r="GQ93" s="12"/>
      <c r="GR93" s="12"/>
      <c r="GS93" s="12"/>
      <c r="GT93" s="12"/>
      <c r="GU93" s="12"/>
      <c r="GV93" s="12"/>
      <c r="GW93" s="12"/>
      <c r="GX93" s="12"/>
      <c r="GY93" s="12"/>
      <c r="GZ93" s="12"/>
      <c r="HA93" s="12"/>
      <c r="HB93" s="12"/>
      <c r="HC93" s="12"/>
      <c r="HD93" s="12"/>
      <c r="HE93" s="12"/>
      <c r="HF93" s="12"/>
      <c r="HG93" s="12"/>
      <c r="HH93" s="12"/>
      <c r="HI93" s="12"/>
      <c r="HJ93" s="12"/>
      <c r="HK93" s="12"/>
      <c r="HL93" s="12"/>
      <c r="HM93" s="12"/>
      <c r="HN93" s="12"/>
      <c r="HO93" s="12"/>
      <c r="HP93" s="12"/>
      <c r="HQ93" s="12"/>
      <c r="HR93" s="12"/>
      <c r="HS93" s="12"/>
      <c r="HT93" s="12"/>
      <c r="HU93" s="12"/>
      <c r="HV93" s="12"/>
      <c r="HW93" s="12"/>
      <c r="HX93" s="12"/>
      <c r="HY93" s="12"/>
      <c r="HZ93" s="12"/>
      <c r="IA93" s="12"/>
      <c r="IB93" s="12"/>
      <c r="IC93" s="12"/>
      <c r="ID93" s="12"/>
      <c r="IE93" s="12"/>
      <c r="IF93" s="12"/>
      <c r="IG93" s="12"/>
      <c r="IH93" s="12"/>
      <c r="II93" s="12"/>
      <c r="IJ93" s="12"/>
      <c r="IK93" s="12"/>
      <c r="IL93" s="12"/>
      <c r="IM93" s="12"/>
      <c r="IN93" s="12"/>
      <c r="IO93" s="12"/>
      <c r="IP93" s="12"/>
      <c r="IQ93" s="12"/>
      <c r="IR93" s="12"/>
      <c r="IS93" s="12"/>
      <c r="IT93" s="12"/>
      <c r="IU93" s="12"/>
      <c r="IV93" s="12"/>
      <c r="IW93" s="12"/>
    </row>
    <row r="94" customFormat="false" ht="11.25" hidden="false" customHeight="false" outlineLevel="0" collapsed="false">
      <c r="A94" s="25" t="n">
        <f aca="false">DATE(YEAR(A93),MONTH(A93)+1,1)</f>
        <v>48580</v>
      </c>
      <c r="B94" s="21" t="n">
        <v>2.042</v>
      </c>
      <c r="C94" s="21" t="n">
        <v>2.072</v>
      </c>
      <c r="D94" s="25" t="n">
        <f aca="false">DATE(YEAR(D93),MONTH(D93)+1,1)</f>
        <v>48580</v>
      </c>
      <c r="E94" s="21" t="n">
        <v>18.701</v>
      </c>
      <c r="F94" s="21" t="n">
        <v>19.122</v>
      </c>
      <c r="G94" s="6"/>
      <c r="H94" s="22" t="n">
        <f aca="false">A94</f>
        <v>48580</v>
      </c>
      <c r="I94" s="23" t="n">
        <f aca="false">IF($J$1="bid",B94,C94)</f>
        <v>2.072</v>
      </c>
      <c r="J94" s="24" t="n">
        <f aca="false">D94</f>
        <v>48580</v>
      </c>
      <c r="K94" s="23" t="n">
        <f aca="false">IF($J$1="bid",E94,F94)</f>
        <v>19.122</v>
      </c>
      <c r="L94" s="11"/>
      <c r="M94" s="11"/>
      <c r="N94" s="11"/>
      <c r="O94" s="11"/>
      <c r="P94" s="11"/>
      <c r="Q94" s="11"/>
      <c r="R94" s="11"/>
      <c r="S94" s="11"/>
      <c r="T94" s="11"/>
      <c r="U94" s="11"/>
      <c r="V94" s="11"/>
      <c r="W94" s="11"/>
      <c r="X94" s="11"/>
      <c r="Y94" s="11"/>
      <c r="Z94" s="11"/>
      <c r="AA94" s="11"/>
      <c r="AB94" s="11"/>
      <c r="AC94" s="11"/>
      <c r="AD94" s="11"/>
      <c r="AE94" s="11"/>
      <c r="AF94" s="11"/>
      <c r="AG94" s="11"/>
      <c r="AH94" s="11"/>
      <c r="AI94" s="11"/>
      <c r="AJ94" s="11"/>
      <c r="AK94" s="11"/>
      <c r="AL94" s="11"/>
      <c r="AM94" s="11"/>
      <c r="AN94" s="11"/>
      <c r="AO94" s="11"/>
      <c r="AP94" s="11"/>
      <c r="AQ94" s="11"/>
      <c r="AR94" s="5"/>
      <c r="AS94" s="12"/>
      <c r="AT94" s="12"/>
      <c r="AU94" s="12"/>
      <c r="AV94" s="12"/>
      <c r="AW94" s="12"/>
      <c r="AX94" s="12"/>
      <c r="AY94" s="12"/>
      <c r="AZ94" s="12"/>
      <c r="BA94" s="12"/>
      <c r="BB94" s="12"/>
      <c r="BC94" s="12"/>
      <c r="BD94" s="12"/>
      <c r="BE94" s="12"/>
      <c r="BF94" s="12"/>
      <c r="BG94" s="12"/>
      <c r="BH94" s="12"/>
      <c r="BI94" s="12"/>
      <c r="BJ94" s="12"/>
      <c r="BK94" s="12"/>
      <c r="BL94" s="12"/>
      <c r="BM94" s="12"/>
      <c r="BN94" s="12"/>
      <c r="BO94" s="12"/>
      <c r="BP94" s="12"/>
      <c r="BQ94" s="12"/>
      <c r="BR94" s="12"/>
      <c r="BS94" s="12"/>
      <c r="BT94" s="12"/>
      <c r="BU94" s="12"/>
      <c r="BV94" s="12"/>
      <c r="BW94" s="12"/>
      <c r="BX94" s="12"/>
      <c r="BY94" s="12"/>
      <c r="BZ94" s="12"/>
      <c r="CA94" s="12"/>
      <c r="CB94" s="12"/>
      <c r="CC94" s="12"/>
      <c r="CD94" s="12"/>
      <c r="CE94" s="12"/>
      <c r="CF94" s="12"/>
      <c r="CG94" s="12"/>
      <c r="CH94" s="12"/>
      <c r="CI94" s="12"/>
      <c r="CJ94" s="12"/>
      <c r="CK94" s="12"/>
      <c r="CL94" s="12"/>
      <c r="CM94" s="12"/>
      <c r="CN94" s="12"/>
      <c r="CO94" s="12"/>
      <c r="CP94" s="12"/>
      <c r="CQ94" s="12"/>
      <c r="CR94" s="12"/>
      <c r="CS94" s="12"/>
      <c r="CT94" s="12"/>
      <c r="CU94" s="12"/>
      <c r="CV94" s="12"/>
      <c r="CW94" s="12"/>
      <c r="CX94" s="12"/>
      <c r="CY94" s="12"/>
      <c r="CZ94" s="12"/>
      <c r="DA94" s="12"/>
      <c r="DB94" s="12"/>
      <c r="DC94" s="12"/>
      <c r="DD94" s="12"/>
      <c r="DE94" s="12"/>
      <c r="DF94" s="12"/>
      <c r="DG94" s="12"/>
      <c r="DH94" s="12"/>
      <c r="DI94" s="12"/>
      <c r="DJ94" s="12"/>
      <c r="DK94" s="12"/>
      <c r="DL94" s="12"/>
      <c r="DM94" s="12"/>
      <c r="DN94" s="12"/>
      <c r="DO94" s="12"/>
      <c r="DP94" s="12"/>
      <c r="DQ94" s="12"/>
      <c r="DR94" s="12"/>
      <c r="DS94" s="12"/>
      <c r="DT94" s="12"/>
      <c r="DU94" s="12"/>
      <c r="DV94" s="12"/>
      <c r="DW94" s="12"/>
      <c r="DX94" s="12"/>
      <c r="DY94" s="12"/>
      <c r="DZ94" s="12"/>
      <c r="EA94" s="12"/>
      <c r="EB94" s="12"/>
      <c r="EC94" s="12"/>
      <c r="ED94" s="12"/>
      <c r="EE94" s="12"/>
      <c r="EF94" s="12"/>
      <c r="EG94" s="12"/>
      <c r="EH94" s="12"/>
      <c r="EI94" s="12"/>
      <c r="EJ94" s="12"/>
      <c r="EK94" s="12"/>
      <c r="EL94" s="12"/>
      <c r="EM94" s="12"/>
      <c r="EN94" s="12"/>
      <c r="EO94" s="12"/>
      <c r="EP94" s="12"/>
      <c r="EQ94" s="12"/>
      <c r="ER94" s="12"/>
      <c r="ES94" s="12"/>
      <c r="ET94" s="12"/>
      <c r="EU94" s="12"/>
      <c r="EV94" s="12"/>
      <c r="EW94" s="12"/>
      <c r="EX94" s="12"/>
      <c r="EY94" s="12"/>
      <c r="EZ94" s="12"/>
      <c r="FA94" s="12"/>
      <c r="FB94" s="12"/>
      <c r="FC94" s="12"/>
      <c r="FD94" s="12"/>
      <c r="FE94" s="12"/>
      <c r="FF94" s="12"/>
      <c r="FG94" s="12"/>
      <c r="FH94" s="12"/>
      <c r="FI94" s="12"/>
      <c r="FJ94" s="12"/>
      <c r="FK94" s="12"/>
      <c r="FL94" s="12"/>
      <c r="FM94" s="12"/>
      <c r="FN94" s="12"/>
      <c r="FO94" s="12"/>
      <c r="FP94" s="12"/>
      <c r="FQ94" s="12"/>
      <c r="FR94" s="12"/>
      <c r="FS94" s="12"/>
      <c r="FT94" s="12"/>
      <c r="FU94" s="12"/>
      <c r="FV94" s="12"/>
      <c r="FW94" s="12"/>
      <c r="FX94" s="12"/>
      <c r="FY94" s="12"/>
      <c r="FZ94" s="12"/>
      <c r="GA94" s="12"/>
      <c r="GB94" s="12"/>
      <c r="GC94" s="12"/>
      <c r="GD94" s="12"/>
      <c r="GE94" s="12"/>
      <c r="GF94" s="12"/>
      <c r="GG94" s="12"/>
      <c r="GH94" s="12"/>
      <c r="GI94" s="12"/>
      <c r="GJ94" s="12"/>
      <c r="GK94" s="12"/>
      <c r="GL94" s="12"/>
      <c r="GM94" s="12"/>
      <c r="GN94" s="12"/>
      <c r="GO94" s="12"/>
      <c r="GP94" s="12"/>
      <c r="GQ94" s="12"/>
      <c r="GR94" s="12"/>
      <c r="GS94" s="12"/>
      <c r="GT94" s="12"/>
      <c r="GU94" s="12"/>
      <c r="GV94" s="12"/>
      <c r="GW94" s="12"/>
      <c r="GX94" s="12"/>
      <c r="GY94" s="12"/>
      <c r="GZ94" s="12"/>
      <c r="HA94" s="12"/>
      <c r="HB94" s="12"/>
      <c r="HC94" s="12"/>
      <c r="HD94" s="12"/>
      <c r="HE94" s="12"/>
      <c r="HF94" s="12"/>
      <c r="HG94" s="12"/>
      <c r="HH94" s="12"/>
      <c r="HI94" s="12"/>
      <c r="HJ94" s="12"/>
      <c r="HK94" s="12"/>
      <c r="HL94" s="12"/>
      <c r="HM94" s="12"/>
      <c r="HN94" s="12"/>
      <c r="HO94" s="12"/>
      <c r="HP94" s="12"/>
      <c r="HQ94" s="12"/>
      <c r="HR94" s="12"/>
      <c r="HS94" s="12"/>
      <c r="HT94" s="12"/>
      <c r="HU94" s="12"/>
      <c r="HV94" s="12"/>
      <c r="HW94" s="12"/>
      <c r="HX94" s="12"/>
      <c r="HY94" s="12"/>
      <c r="HZ94" s="12"/>
      <c r="IA94" s="12"/>
      <c r="IB94" s="12"/>
      <c r="IC94" s="12"/>
      <c r="ID94" s="12"/>
      <c r="IE94" s="12"/>
      <c r="IF94" s="12"/>
      <c r="IG94" s="12"/>
      <c r="IH94" s="12"/>
      <c r="II94" s="12"/>
      <c r="IJ94" s="12"/>
      <c r="IK94" s="12"/>
      <c r="IL94" s="12"/>
      <c r="IM94" s="12"/>
      <c r="IN94" s="12"/>
      <c r="IO94" s="12"/>
      <c r="IP94" s="12"/>
      <c r="IQ94" s="12"/>
      <c r="IR94" s="12"/>
      <c r="IS94" s="12"/>
      <c r="IT94" s="12"/>
      <c r="IU94" s="12"/>
      <c r="IV94" s="12"/>
      <c r="IW94" s="12"/>
    </row>
    <row r="95" customFormat="false" ht="11.25" hidden="false" customHeight="false" outlineLevel="0" collapsed="false">
      <c r="A95" s="25" t="n">
        <f aca="false">DATE(YEAR(A94),MONTH(A94)+1,1)</f>
        <v>48611</v>
      </c>
      <c r="B95" s="21" t="n">
        <v>1.993</v>
      </c>
      <c r="C95" s="21" t="n">
        <v>2.023</v>
      </c>
      <c r="D95" s="25" t="n">
        <f aca="false">DATE(YEAR(D94),MONTH(D94)+1,1)</f>
        <v>48611</v>
      </c>
      <c r="E95" s="21" t="n">
        <v>18.71</v>
      </c>
      <c r="F95" s="21" t="n">
        <v>19.14</v>
      </c>
      <c r="G95" s="6"/>
      <c r="H95" s="22" t="n">
        <f aca="false">A95</f>
        <v>48611</v>
      </c>
      <c r="I95" s="23" t="n">
        <f aca="false">IF($J$1="bid",B95,C95)</f>
        <v>2.023</v>
      </c>
      <c r="J95" s="24" t="n">
        <f aca="false">D95</f>
        <v>48611</v>
      </c>
      <c r="K95" s="23" t="n">
        <f aca="false">IF($J$1="bid",E95,F95)</f>
        <v>19.14</v>
      </c>
      <c r="L95" s="11"/>
      <c r="M95" s="11"/>
      <c r="N95" s="11"/>
      <c r="O95" s="11"/>
      <c r="P95" s="11"/>
      <c r="Q95" s="11"/>
      <c r="R95" s="11"/>
      <c r="S95" s="11"/>
      <c r="T95" s="11"/>
      <c r="U95" s="11"/>
      <c r="V95" s="11"/>
      <c r="W95" s="11"/>
      <c r="X95" s="11"/>
      <c r="Y95" s="11"/>
      <c r="Z95" s="11"/>
      <c r="AA95" s="11"/>
      <c r="AB95" s="11"/>
      <c r="AC95" s="11"/>
      <c r="AD95" s="11"/>
      <c r="AE95" s="11"/>
      <c r="AF95" s="11"/>
      <c r="AG95" s="11"/>
      <c r="AH95" s="11"/>
      <c r="AI95" s="11"/>
      <c r="AJ95" s="11"/>
      <c r="AK95" s="11"/>
      <c r="AL95" s="11"/>
      <c r="AM95" s="11"/>
      <c r="AN95" s="11"/>
      <c r="AO95" s="11"/>
      <c r="AP95" s="11"/>
      <c r="AQ95" s="11"/>
      <c r="AR95" s="5"/>
      <c r="AS95" s="12"/>
      <c r="AT95" s="12"/>
      <c r="AU95" s="12"/>
      <c r="AV95" s="12"/>
      <c r="AW95" s="12"/>
      <c r="AX95" s="12"/>
      <c r="AY95" s="12"/>
      <c r="AZ95" s="12"/>
      <c r="BA95" s="12"/>
      <c r="BB95" s="12"/>
      <c r="BC95" s="12"/>
      <c r="BD95" s="12"/>
      <c r="BE95" s="12"/>
      <c r="BF95" s="12"/>
      <c r="BG95" s="12"/>
      <c r="BH95" s="12"/>
      <c r="BI95" s="12"/>
      <c r="BJ95" s="12"/>
      <c r="BK95" s="12"/>
      <c r="BL95" s="12"/>
      <c r="BM95" s="12"/>
      <c r="BN95" s="12"/>
      <c r="BO95" s="12"/>
      <c r="BP95" s="12"/>
      <c r="BQ95" s="12"/>
      <c r="BR95" s="12"/>
      <c r="BS95" s="12"/>
      <c r="BT95" s="12"/>
      <c r="BU95" s="12"/>
      <c r="BV95" s="12"/>
      <c r="BW95" s="12"/>
      <c r="BX95" s="12"/>
      <c r="BY95" s="12"/>
      <c r="BZ95" s="12"/>
      <c r="CA95" s="12"/>
      <c r="CB95" s="12"/>
      <c r="CC95" s="12"/>
      <c r="CD95" s="12"/>
      <c r="CE95" s="12"/>
      <c r="CF95" s="12"/>
      <c r="CG95" s="12"/>
      <c r="CH95" s="12"/>
      <c r="CI95" s="12"/>
      <c r="CJ95" s="12"/>
      <c r="CK95" s="12"/>
      <c r="CL95" s="12"/>
      <c r="CM95" s="12"/>
      <c r="CN95" s="12"/>
      <c r="CO95" s="12"/>
      <c r="CP95" s="12"/>
      <c r="CQ95" s="12"/>
      <c r="CR95" s="12"/>
      <c r="CS95" s="12"/>
      <c r="CT95" s="12"/>
      <c r="CU95" s="12"/>
      <c r="CV95" s="12"/>
      <c r="CW95" s="12"/>
      <c r="CX95" s="12"/>
      <c r="CY95" s="12"/>
      <c r="CZ95" s="12"/>
      <c r="DA95" s="12"/>
      <c r="DB95" s="12"/>
      <c r="DC95" s="12"/>
      <c r="DD95" s="12"/>
      <c r="DE95" s="12"/>
      <c r="DF95" s="12"/>
      <c r="DG95" s="12"/>
      <c r="DH95" s="12"/>
      <c r="DI95" s="12"/>
      <c r="DJ95" s="12"/>
      <c r="DK95" s="12"/>
      <c r="DL95" s="12"/>
      <c r="DM95" s="12"/>
      <c r="DN95" s="12"/>
      <c r="DO95" s="12"/>
      <c r="DP95" s="12"/>
      <c r="DQ95" s="12"/>
      <c r="DR95" s="12"/>
      <c r="DS95" s="12"/>
      <c r="DT95" s="12"/>
      <c r="DU95" s="12"/>
      <c r="DV95" s="12"/>
      <c r="DW95" s="12"/>
      <c r="DX95" s="12"/>
      <c r="DY95" s="12"/>
      <c r="DZ95" s="12"/>
      <c r="EA95" s="12"/>
      <c r="EB95" s="12"/>
      <c r="EC95" s="12"/>
      <c r="ED95" s="12"/>
      <c r="EE95" s="12"/>
      <c r="EF95" s="12"/>
      <c r="EG95" s="12"/>
      <c r="EH95" s="12"/>
      <c r="EI95" s="12"/>
      <c r="EJ95" s="12"/>
      <c r="EK95" s="12"/>
      <c r="EL95" s="12"/>
      <c r="EM95" s="12"/>
      <c r="EN95" s="12"/>
      <c r="EO95" s="12"/>
      <c r="EP95" s="12"/>
      <c r="EQ95" s="12"/>
      <c r="ER95" s="12"/>
      <c r="ES95" s="12"/>
      <c r="ET95" s="12"/>
      <c r="EU95" s="12"/>
      <c r="EV95" s="12"/>
      <c r="EW95" s="12"/>
      <c r="EX95" s="12"/>
      <c r="EY95" s="12"/>
      <c r="EZ95" s="12"/>
      <c r="FA95" s="12"/>
      <c r="FB95" s="12"/>
      <c r="FC95" s="12"/>
      <c r="FD95" s="12"/>
      <c r="FE95" s="12"/>
      <c r="FF95" s="12"/>
      <c r="FG95" s="12"/>
      <c r="FH95" s="12"/>
      <c r="FI95" s="12"/>
      <c r="FJ95" s="12"/>
      <c r="FK95" s="12"/>
      <c r="FL95" s="12"/>
      <c r="FM95" s="12"/>
      <c r="FN95" s="12"/>
      <c r="FO95" s="12"/>
      <c r="FP95" s="12"/>
      <c r="FQ95" s="12"/>
      <c r="FR95" s="12"/>
      <c r="FS95" s="12"/>
      <c r="FT95" s="12"/>
      <c r="FU95" s="12"/>
      <c r="FV95" s="12"/>
      <c r="FW95" s="12"/>
      <c r="FX95" s="12"/>
      <c r="FY95" s="12"/>
      <c r="FZ95" s="12"/>
      <c r="GA95" s="12"/>
      <c r="GB95" s="12"/>
      <c r="GC95" s="12"/>
      <c r="GD95" s="12"/>
      <c r="GE95" s="12"/>
      <c r="GF95" s="12"/>
      <c r="GG95" s="12"/>
      <c r="GH95" s="12"/>
      <c r="GI95" s="12"/>
      <c r="GJ95" s="12"/>
      <c r="GK95" s="12"/>
      <c r="GL95" s="12"/>
      <c r="GM95" s="12"/>
      <c r="GN95" s="12"/>
      <c r="GO95" s="12"/>
      <c r="GP95" s="12"/>
      <c r="GQ95" s="12"/>
      <c r="GR95" s="12"/>
      <c r="GS95" s="12"/>
      <c r="GT95" s="12"/>
      <c r="GU95" s="12"/>
      <c r="GV95" s="12"/>
      <c r="GW95" s="12"/>
      <c r="GX95" s="12"/>
      <c r="GY95" s="12"/>
      <c r="GZ95" s="12"/>
      <c r="HA95" s="12"/>
      <c r="HB95" s="12"/>
      <c r="HC95" s="12"/>
      <c r="HD95" s="12"/>
      <c r="HE95" s="12"/>
      <c r="HF95" s="12"/>
      <c r="HG95" s="12"/>
      <c r="HH95" s="12"/>
      <c r="HI95" s="12"/>
      <c r="HJ95" s="12"/>
      <c r="HK95" s="12"/>
      <c r="HL95" s="12"/>
      <c r="HM95" s="12"/>
      <c r="HN95" s="12"/>
      <c r="HO95" s="12"/>
      <c r="HP95" s="12"/>
      <c r="HQ95" s="12"/>
      <c r="HR95" s="12"/>
      <c r="HS95" s="12"/>
      <c r="HT95" s="12"/>
      <c r="HU95" s="12"/>
      <c r="HV95" s="12"/>
      <c r="HW95" s="12"/>
      <c r="HX95" s="12"/>
      <c r="HY95" s="12"/>
      <c r="HZ95" s="12"/>
      <c r="IA95" s="12"/>
      <c r="IB95" s="12"/>
      <c r="IC95" s="12"/>
      <c r="ID95" s="12"/>
      <c r="IE95" s="12"/>
      <c r="IF95" s="12"/>
      <c r="IG95" s="12"/>
      <c r="IH95" s="12"/>
      <c r="II95" s="12"/>
      <c r="IJ95" s="12"/>
      <c r="IK95" s="12"/>
      <c r="IL95" s="12"/>
      <c r="IM95" s="12"/>
      <c r="IN95" s="12"/>
      <c r="IO95" s="12"/>
      <c r="IP95" s="12"/>
      <c r="IQ95" s="12"/>
      <c r="IR95" s="12"/>
      <c r="IS95" s="12"/>
      <c r="IT95" s="12"/>
      <c r="IU95" s="12"/>
      <c r="IV95" s="12"/>
      <c r="IW95" s="12"/>
    </row>
    <row r="96" customFormat="false" ht="11.25" hidden="false" customHeight="false" outlineLevel="0" collapsed="false">
      <c r="A96" s="25" t="n">
        <f aca="false">DATE(YEAR(A95),MONTH(A95)+1,1)</f>
        <v>48639</v>
      </c>
      <c r="B96" s="21" t="n">
        <v>1.98</v>
      </c>
      <c r="C96" s="21" t="n">
        <v>2.01</v>
      </c>
      <c r="D96" s="25" t="n">
        <f aca="false">DATE(YEAR(D95),MONTH(D95)+1,1)</f>
        <v>48639</v>
      </c>
      <c r="E96" s="21" t="n">
        <v>18.718</v>
      </c>
      <c r="F96" s="21" t="n">
        <v>19.156</v>
      </c>
      <c r="G96" s="6"/>
      <c r="H96" s="22" t="n">
        <f aca="false">A96</f>
        <v>48639</v>
      </c>
      <c r="I96" s="23" t="n">
        <f aca="false">IF($J$1="bid",B96,C96)</f>
        <v>2.01</v>
      </c>
      <c r="J96" s="24" t="n">
        <f aca="false">D96</f>
        <v>48639</v>
      </c>
      <c r="K96" s="23" t="n">
        <f aca="false">IF($J$1="bid",E96,F96)</f>
        <v>19.156</v>
      </c>
      <c r="L96" s="11"/>
      <c r="M96" s="11"/>
      <c r="N96" s="11"/>
      <c r="O96" s="11"/>
      <c r="P96" s="11"/>
      <c r="Q96" s="11"/>
      <c r="R96" s="11"/>
      <c r="S96" s="11"/>
      <c r="T96" s="11"/>
      <c r="U96" s="11"/>
      <c r="V96" s="11"/>
      <c r="W96" s="11"/>
      <c r="X96" s="11"/>
      <c r="Y96" s="11"/>
      <c r="Z96" s="11"/>
      <c r="AA96" s="11"/>
      <c r="AB96" s="11"/>
      <c r="AC96" s="11"/>
      <c r="AD96" s="11"/>
      <c r="AE96" s="11"/>
      <c r="AF96" s="11"/>
      <c r="AG96" s="11"/>
      <c r="AH96" s="11"/>
      <c r="AI96" s="11"/>
      <c r="AJ96" s="11"/>
      <c r="AK96" s="11"/>
      <c r="AL96" s="11"/>
      <c r="AM96" s="11"/>
      <c r="AN96" s="11"/>
      <c r="AO96" s="11"/>
      <c r="AP96" s="11"/>
      <c r="AQ96" s="11"/>
      <c r="AR96" s="5"/>
      <c r="AS96" s="12"/>
      <c r="AT96" s="12"/>
      <c r="AU96" s="12"/>
      <c r="AV96" s="12"/>
      <c r="AW96" s="12"/>
      <c r="AX96" s="12"/>
      <c r="AY96" s="12"/>
      <c r="AZ96" s="12"/>
      <c r="BA96" s="12"/>
      <c r="BB96" s="12"/>
      <c r="BC96" s="12"/>
      <c r="BD96" s="12"/>
      <c r="BE96" s="12"/>
      <c r="BF96" s="12"/>
      <c r="BG96" s="12"/>
      <c r="BH96" s="12"/>
      <c r="BI96" s="12"/>
      <c r="BJ96" s="12"/>
      <c r="BK96" s="12"/>
      <c r="BL96" s="12"/>
      <c r="BM96" s="12"/>
      <c r="BN96" s="12"/>
      <c r="BO96" s="12"/>
      <c r="BP96" s="12"/>
      <c r="BQ96" s="12"/>
      <c r="BR96" s="12"/>
      <c r="BS96" s="12"/>
      <c r="BT96" s="12"/>
      <c r="BU96" s="12"/>
      <c r="BV96" s="12"/>
      <c r="BW96" s="12"/>
      <c r="BX96" s="12"/>
      <c r="BY96" s="12"/>
      <c r="BZ96" s="12"/>
      <c r="CA96" s="12"/>
      <c r="CB96" s="12"/>
      <c r="CC96" s="12"/>
      <c r="CD96" s="12"/>
      <c r="CE96" s="12"/>
      <c r="CF96" s="12"/>
      <c r="CG96" s="12"/>
      <c r="CH96" s="12"/>
      <c r="CI96" s="12"/>
      <c r="CJ96" s="12"/>
      <c r="CK96" s="12"/>
      <c r="CL96" s="12"/>
      <c r="CM96" s="12"/>
      <c r="CN96" s="12"/>
      <c r="CO96" s="12"/>
      <c r="CP96" s="12"/>
      <c r="CQ96" s="12"/>
      <c r="CR96" s="12"/>
      <c r="CS96" s="12"/>
      <c r="CT96" s="12"/>
      <c r="CU96" s="12"/>
      <c r="CV96" s="12"/>
      <c r="CW96" s="12"/>
      <c r="CX96" s="12"/>
      <c r="CY96" s="12"/>
      <c r="CZ96" s="12"/>
      <c r="DA96" s="12"/>
      <c r="DB96" s="12"/>
      <c r="DC96" s="12"/>
      <c r="DD96" s="12"/>
      <c r="DE96" s="12"/>
      <c r="DF96" s="12"/>
      <c r="DG96" s="12"/>
      <c r="DH96" s="12"/>
      <c r="DI96" s="12"/>
      <c r="DJ96" s="12"/>
      <c r="DK96" s="12"/>
      <c r="DL96" s="12"/>
      <c r="DM96" s="12"/>
      <c r="DN96" s="12"/>
      <c r="DO96" s="12"/>
      <c r="DP96" s="12"/>
      <c r="DQ96" s="12"/>
      <c r="DR96" s="12"/>
      <c r="DS96" s="12"/>
      <c r="DT96" s="12"/>
      <c r="DU96" s="12"/>
      <c r="DV96" s="12"/>
      <c r="DW96" s="12"/>
      <c r="DX96" s="12"/>
      <c r="DY96" s="12"/>
      <c r="DZ96" s="12"/>
      <c r="EA96" s="12"/>
      <c r="EB96" s="12"/>
      <c r="EC96" s="12"/>
      <c r="ED96" s="12"/>
      <c r="EE96" s="12"/>
      <c r="EF96" s="12"/>
      <c r="EG96" s="12"/>
      <c r="EH96" s="12"/>
      <c r="EI96" s="12"/>
      <c r="EJ96" s="12"/>
      <c r="EK96" s="12"/>
      <c r="EL96" s="12"/>
      <c r="EM96" s="12"/>
      <c r="EN96" s="12"/>
      <c r="EO96" s="12"/>
      <c r="EP96" s="12"/>
      <c r="EQ96" s="12"/>
      <c r="ER96" s="12"/>
      <c r="ES96" s="12"/>
      <c r="ET96" s="12"/>
      <c r="EU96" s="12"/>
      <c r="EV96" s="12"/>
      <c r="EW96" s="12"/>
      <c r="EX96" s="12"/>
      <c r="EY96" s="12"/>
      <c r="EZ96" s="12"/>
      <c r="FA96" s="12"/>
      <c r="FB96" s="12"/>
      <c r="FC96" s="12"/>
      <c r="FD96" s="12"/>
      <c r="FE96" s="12"/>
      <c r="FF96" s="12"/>
      <c r="FG96" s="12"/>
      <c r="FH96" s="12"/>
      <c r="FI96" s="12"/>
      <c r="FJ96" s="12"/>
      <c r="FK96" s="12"/>
      <c r="FL96" s="12"/>
      <c r="FM96" s="12"/>
      <c r="FN96" s="12"/>
      <c r="FO96" s="12"/>
      <c r="FP96" s="12"/>
      <c r="FQ96" s="12"/>
      <c r="FR96" s="12"/>
      <c r="FS96" s="12"/>
      <c r="FT96" s="12"/>
      <c r="FU96" s="12"/>
      <c r="FV96" s="12"/>
      <c r="FW96" s="12"/>
      <c r="FX96" s="12"/>
      <c r="FY96" s="12"/>
      <c r="FZ96" s="12"/>
      <c r="GA96" s="12"/>
      <c r="GB96" s="12"/>
      <c r="GC96" s="12"/>
      <c r="GD96" s="12"/>
      <c r="GE96" s="12"/>
      <c r="GF96" s="12"/>
      <c r="GG96" s="12"/>
      <c r="GH96" s="12"/>
      <c r="GI96" s="12"/>
      <c r="GJ96" s="12"/>
      <c r="GK96" s="12"/>
      <c r="GL96" s="12"/>
      <c r="GM96" s="12"/>
      <c r="GN96" s="12"/>
      <c r="GO96" s="12"/>
      <c r="GP96" s="12"/>
      <c r="GQ96" s="12"/>
      <c r="GR96" s="12"/>
      <c r="GS96" s="12"/>
      <c r="GT96" s="12"/>
      <c r="GU96" s="12"/>
      <c r="GV96" s="12"/>
      <c r="GW96" s="12"/>
      <c r="GX96" s="12"/>
      <c r="GY96" s="12"/>
      <c r="GZ96" s="12"/>
      <c r="HA96" s="12"/>
      <c r="HB96" s="12"/>
      <c r="HC96" s="12"/>
      <c r="HD96" s="12"/>
      <c r="HE96" s="12"/>
      <c r="HF96" s="12"/>
      <c r="HG96" s="12"/>
      <c r="HH96" s="12"/>
      <c r="HI96" s="12"/>
      <c r="HJ96" s="12"/>
      <c r="HK96" s="12"/>
      <c r="HL96" s="12"/>
      <c r="HM96" s="12"/>
      <c r="HN96" s="12"/>
      <c r="HO96" s="12"/>
      <c r="HP96" s="12"/>
      <c r="HQ96" s="12"/>
      <c r="HR96" s="12"/>
      <c r="HS96" s="12"/>
      <c r="HT96" s="12"/>
      <c r="HU96" s="12"/>
      <c r="HV96" s="12"/>
      <c r="HW96" s="12"/>
      <c r="HX96" s="12"/>
      <c r="HY96" s="12"/>
      <c r="HZ96" s="12"/>
      <c r="IA96" s="12"/>
      <c r="IB96" s="12"/>
      <c r="IC96" s="12"/>
      <c r="ID96" s="12"/>
      <c r="IE96" s="12"/>
      <c r="IF96" s="12"/>
      <c r="IG96" s="12"/>
      <c r="IH96" s="12"/>
      <c r="II96" s="12"/>
      <c r="IJ96" s="12"/>
      <c r="IK96" s="12"/>
      <c r="IL96" s="12"/>
      <c r="IM96" s="12"/>
      <c r="IN96" s="12"/>
      <c r="IO96" s="12"/>
      <c r="IP96" s="12"/>
      <c r="IQ96" s="12"/>
      <c r="IR96" s="12"/>
      <c r="IS96" s="12"/>
      <c r="IT96" s="12"/>
      <c r="IU96" s="12"/>
      <c r="IV96" s="12"/>
      <c r="IW96" s="12"/>
    </row>
    <row r="97" customFormat="false" ht="11.25" hidden="false" customHeight="false" outlineLevel="0" collapsed="false">
      <c r="A97" s="25" t="n">
        <f aca="false">DATE(YEAR(A96),MONTH(A96)+1,1)</f>
        <v>48670</v>
      </c>
      <c r="B97" s="21" t="n">
        <v>1.988</v>
      </c>
      <c r="C97" s="21" t="n">
        <v>2.018</v>
      </c>
      <c r="D97" s="25" t="n">
        <f aca="false">DATE(YEAR(D96),MONTH(D96)+1,1)</f>
        <v>48670</v>
      </c>
      <c r="E97" s="21" t="n">
        <v>18.726</v>
      </c>
      <c r="F97" s="21" t="n">
        <v>19.173</v>
      </c>
      <c r="G97" s="6"/>
      <c r="H97" s="22" t="n">
        <f aca="false">A97</f>
        <v>48670</v>
      </c>
      <c r="I97" s="23" t="n">
        <f aca="false">IF($J$1="bid",B97,C97)</f>
        <v>2.018</v>
      </c>
      <c r="J97" s="24" t="n">
        <f aca="false">D97</f>
        <v>48670</v>
      </c>
      <c r="K97" s="23" t="n">
        <f aca="false">IF($J$1="bid",E97,F97)</f>
        <v>19.173</v>
      </c>
      <c r="L97" s="11"/>
      <c r="M97" s="11"/>
      <c r="N97" s="11"/>
      <c r="O97" s="11"/>
      <c r="P97" s="11"/>
      <c r="Q97" s="11"/>
      <c r="R97" s="11"/>
      <c r="S97" s="11"/>
      <c r="T97" s="11"/>
      <c r="U97" s="11"/>
      <c r="V97" s="11"/>
      <c r="W97" s="11"/>
      <c r="X97" s="11"/>
      <c r="Y97" s="11"/>
      <c r="Z97" s="11"/>
      <c r="AA97" s="11"/>
      <c r="AB97" s="11"/>
      <c r="AC97" s="11"/>
      <c r="AD97" s="11"/>
      <c r="AE97" s="11"/>
      <c r="AF97" s="11"/>
      <c r="AG97" s="11"/>
      <c r="AH97" s="11"/>
      <c r="AI97" s="11"/>
      <c r="AJ97" s="11"/>
      <c r="AK97" s="11"/>
      <c r="AL97" s="11"/>
      <c r="AM97" s="11"/>
      <c r="AN97" s="11"/>
      <c r="AO97" s="11"/>
      <c r="AP97" s="11"/>
      <c r="AQ97" s="11"/>
      <c r="AR97" s="5"/>
      <c r="AS97" s="12"/>
      <c r="AT97" s="12"/>
      <c r="AU97" s="12"/>
      <c r="AV97" s="12"/>
      <c r="AW97" s="12"/>
      <c r="AX97" s="12"/>
      <c r="AY97" s="12"/>
      <c r="AZ97" s="12"/>
      <c r="BA97" s="12"/>
      <c r="BB97" s="12"/>
      <c r="BC97" s="12"/>
      <c r="BD97" s="12"/>
      <c r="BE97" s="12"/>
      <c r="BF97" s="12"/>
      <c r="BG97" s="12"/>
      <c r="BH97" s="12"/>
      <c r="BI97" s="12"/>
      <c r="BJ97" s="12"/>
      <c r="BK97" s="12"/>
      <c r="BL97" s="12"/>
      <c r="BM97" s="12"/>
      <c r="BN97" s="12"/>
      <c r="BO97" s="12"/>
      <c r="BP97" s="12"/>
      <c r="BQ97" s="12"/>
      <c r="BR97" s="12"/>
      <c r="BS97" s="12"/>
      <c r="BT97" s="12"/>
      <c r="BU97" s="12"/>
      <c r="BV97" s="12"/>
      <c r="BW97" s="12"/>
      <c r="BX97" s="12"/>
      <c r="BY97" s="12"/>
      <c r="BZ97" s="12"/>
      <c r="CA97" s="12"/>
      <c r="CB97" s="12"/>
      <c r="CC97" s="12"/>
      <c r="CD97" s="12"/>
      <c r="CE97" s="12"/>
      <c r="CF97" s="12"/>
      <c r="CG97" s="12"/>
      <c r="CH97" s="12"/>
      <c r="CI97" s="12"/>
      <c r="CJ97" s="12"/>
      <c r="CK97" s="12"/>
      <c r="CL97" s="12"/>
      <c r="CM97" s="12"/>
      <c r="CN97" s="12"/>
      <c r="CO97" s="12"/>
      <c r="CP97" s="12"/>
      <c r="CQ97" s="12"/>
      <c r="CR97" s="12"/>
      <c r="CS97" s="12"/>
      <c r="CT97" s="12"/>
      <c r="CU97" s="12"/>
      <c r="CV97" s="12"/>
      <c r="CW97" s="12"/>
      <c r="CX97" s="12"/>
      <c r="CY97" s="12"/>
      <c r="CZ97" s="12"/>
      <c r="DA97" s="12"/>
      <c r="DB97" s="12"/>
      <c r="DC97" s="12"/>
      <c r="DD97" s="12"/>
      <c r="DE97" s="12"/>
      <c r="DF97" s="12"/>
      <c r="DG97" s="12"/>
      <c r="DH97" s="12"/>
      <c r="DI97" s="12"/>
      <c r="DJ97" s="12"/>
      <c r="DK97" s="12"/>
      <c r="DL97" s="12"/>
      <c r="DM97" s="12"/>
      <c r="DN97" s="12"/>
      <c r="DO97" s="12"/>
      <c r="DP97" s="12"/>
      <c r="DQ97" s="12"/>
      <c r="DR97" s="12"/>
      <c r="DS97" s="12"/>
      <c r="DT97" s="12"/>
      <c r="DU97" s="12"/>
      <c r="DV97" s="12"/>
      <c r="DW97" s="12"/>
      <c r="DX97" s="12"/>
      <c r="DY97" s="12"/>
      <c r="DZ97" s="12"/>
      <c r="EA97" s="12"/>
      <c r="EB97" s="12"/>
      <c r="EC97" s="12"/>
      <c r="ED97" s="12"/>
      <c r="EE97" s="12"/>
      <c r="EF97" s="12"/>
      <c r="EG97" s="12"/>
      <c r="EH97" s="12"/>
      <c r="EI97" s="12"/>
      <c r="EJ97" s="12"/>
      <c r="EK97" s="12"/>
      <c r="EL97" s="12"/>
      <c r="EM97" s="12"/>
      <c r="EN97" s="12"/>
      <c r="EO97" s="12"/>
      <c r="EP97" s="12"/>
      <c r="EQ97" s="12"/>
      <c r="ER97" s="12"/>
      <c r="ES97" s="12"/>
      <c r="ET97" s="12"/>
      <c r="EU97" s="12"/>
      <c r="EV97" s="12"/>
      <c r="EW97" s="12"/>
      <c r="EX97" s="12"/>
      <c r="EY97" s="12"/>
      <c r="EZ97" s="12"/>
      <c r="FA97" s="12"/>
      <c r="FB97" s="12"/>
      <c r="FC97" s="12"/>
      <c r="FD97" s="12"/>
      <c r="FE97" s="12"/>
      <c r="FF97" s="12"/>
      <c r="FG97" s="12"/>
      <c r="FH97" s="12"/>
      <c r="FI97" s="12"/>
      <c r="FJ97" s="12"/>
      <c r="FK97" s="12"/>
      <c r="FL97" s="12"/>
      <c r="FM97" s="12"/>
      <c r="FN97" s="12"/>
      <c r="FO97" s="12"/>
      <c r="FP97" s="12"/>
      <c r="FQ97" s="12"/>
      <c r="FR97" s="12"/>
      <c r="FS97" s="12"/>
      <c r="FT97" s="12"/>
      <c r="FU97" s="12"/>
      <c r="FV97" s="12"/>
      <c r="FW97" s="12"/>
      <c r="FX97" s="12"/>
      <c r="FY97" s="12"/>
      <c r="FZ97" s="12"/>
      <c r="GA97" s="12"/>
      <c r="GB97" s="12"/>
      <c r="GC97" s="12"/>
      <c r="GD97" s="12"/>
      <c r="GE97" s="12"/>
      <c r="GF97" s="12"/>
      <c r="GG97" s="12"/>
      <c r="GH97" s="12"/>
      <c r="GI97" s="12"/>
      <c r="GJ97" s="12"/>
      <c r="GK97" s="12"/>
      <c r="GL97" s="12"/>
      <c r="GM97" s="12"/>
      <c r="GN97" s="12"/>
      <c r="GO97" s="12"/>
      <c r="GP97" s="12"/>
      <c r="GQ97" s="12"/>
      <c r="GR97" s="12"/>
      <c r="GS97" s="12"/>
      <c r="GT97" s="12"/>
      <c r="GU97" s="12"/>
      <c r="GV97" s="12"/>
      <c r="GW97" s="12"/>
      <c r="GX97" s="12"/>
      <c r="GY97" s="12"/>
      <c r="GZ97" s="12"/>
      <c r="HA97" s="12"/>
      <c r="HB97" s="12"/>
      <c r="HC97" s="12"/>
      <c r="HD97" s="12"/>
      <c r="HE97" s="12"/>
      <c r="HF97" s="12"/>
      <c r="HG97" s="12"/>
      <c r="HH97" s="12"/>
      <c r="HI97" s="12"/>
      <c r="HJ97" s="12"/>
      <c r="HK97" s="12"/>
      <c r="HL97" s="12"/>
      <c r="HM97" s="12"/>
      <c r="HN97" s="12"/>
      <c r="HO97" s="12"/>
      <c r="HP97" s="12"/>
      <c r="HQ97" s="12"/>
      <c r="HR97" s="12"/>
      <c r="HS97" s="12"/>
      <c r="HT97" s="12"/>
      <c r="HU97" s="12"/>
      <c r="HV97" s="12"/>
      <c r="HW97" s="12"/>
      <c r="HX97" s="12"/>
      <c r="HY97" s="12"/>
      <c r="HZ97" s="12"/>
      <c r="IA97" s="12"/>
      <c r="IB97" s="12"/>
      <c r="IC97" s="12"/>
      <c r="ID97" s="12"/>
      <c r="IE97" s="12"/>
      <c r="IF97" s="12"/>
      <c r="IG97" s="12"/>
      <c r="IH97" s="12"/>
      <c r="II97" s="12"/>
      <c r="IJ97" s="12"/>
      <c r="IK97" s="12"/>
      <c r="IL97" s="12"/>
      <c r="IM97" s="12"/>
      <c r="IN97" s="12"/>
      <c r="IO97" s="12"/>
      <c r="IP97" s="12"/>
      <c r="IQ97" s="12"/>
      <c r="IR97" s="12"/>
      <c r="IS97" s="12"/>
      <c r="IT97" s="12"/>
      <c r="IU97" s="12"/>
      <c r="IV97" s="12"/>
      <c r="IW97" s="12"/>
    </row>
    <row r="98" customFormat="false" ht="11.25" hidden="false" customHeight="false" outlineLevel="0" collapsed="false">
      <c r="A98" s="25" t="n">
        <f aca="false">DATE(YEAR(A97),MONTH(A97)+1,1)</f>
        <v>48700</v>
      </c>
      <c r="B98" s="21" t="n">
        <v>1.98</v>
      </c>
      <c r="C98" s="21" t="n">
        <v>2.01</v>
      </c>
      <c r="D98" s="25" t="n">
        <f aca="false">DATE(YEAR(D97),MONTH(D97)+1,1)</f>
        <v>48700</v>
      </c>
      <c r="E98" s="21" t="n">
        <v>18.735</v>
      </c>
      <c r="F98" s="21" t="n">
        <v>19.19</v>
      </c>
      <c r="G98" s="6"/>
      <c r="H98" s="22" t="n">
        <f aca="false">A98</f>
        <v>48700</v>
      </c>
      <c r="I98" s="23" t="n">
        <f aca="false">IF($J$1="bid",B98,C98)</f>
        <v>2.01</v>
      </c>
      <c r="J98" s="24" t="n">
        <f aca="false">D98</f>
        <v>48700</v>
      </c>
      <c r="K98" s="23" t="n">
        <f aca="false">IF($J$1="bid",E98,F98)</f>
        <v>19.19</v>
      </c>
      <c r="L98" s="11"/>
      <c r="M98" s="11"/>
      <c r="N98" s="11"/>
      <c r="O98" s="11"/>
      <c r="P98" s="11"/>
      <c r="Q98" s="11"/>
      <c r="R98" s="11"/>
      <c r="S98" s="11"/>
      <c r="T98" s="11"/>
      <c r="U98" s="11"/>
      <c r="V98" s="11"/>
      <c r="W98" s="11"/>
      <c r="X98" s="11"/>
      <c r="Y98" s="11"/>
      <c r="Z98" s="11"/>
      <c r="AA98" s="11"/>
      <c r="AB98" s="11"/>
      <c r="AC98" s="11"/>
      <c r="AD98" s="11"/>
      <c r="AE98" s="11"/>
      <c r="AF98" s="11"/>
      <c r="AG98" s="11"/>
      <c r="AH98" s="11"/>
      <c r="AI98" s="11"/>
      <c r="AJ98" s="11"/>
      <c r="AK98" s="11"/>
      <c r="AL98" s="11"/>
      <c r="AM98" s="11"/>
      <c r="AN98" s="11"/>
      <c r="AO98" s="11"/>
      <c r="AP98" s="11"/>
      <c r="AQ98" s="11"/>
      <c r="AR98" s="5"/>
      <c r="AS98" s="12"/>
      <c r="AT98" s="12"/>
      <c r="AU98" s="12"/>
      <c r="AV98" s="12"/>
      <c r="AW98" s="12"/>
      <c r="AX98" s="12"/>
      <c r="AY98" s="12"/>
      <c r="AZ98" s="12"/>
      <c r="BA98" s="12"/>
      <c r="BB98" s="12"/>
      <c r="BC98" s="12"/>
      <c r="BD98" s="12"/>
      <c r="BE98" s="12"/>
      <c r="BF98" s="12"/>
      <c r="BG98" s="12"/>
      <c r="BH98" s="12"/>
      <c r="BI98" s="12"/>
      <c r="BJ98" s="12"/>
      <c r="BK98" s="12"/>
      <c r="BL98" s="12"/>
      <c r="BM98" s="12"/>
      <c r="BN98" s="12"/>
      <c r="BO98" s="12"/>
      <c r="BP98" s="12"/>
      <c r="BQ98" s="12"/>
      <c r="BR98" s="12"/>
      <c r="BS98" s="12"/>
      <c r="BT98" s="12"/>
      <c r="BU98" s="12"/>
      <c r="BV98" s="12"/>
      <c r="BW98" s="12"/>
      <c r="BX98" s="12"/>
      <c r="BY98" s="12"/>
      <c r="BZ98" s="12"/>
      <c r="CA98" s="12"/>
      <c r="CB98" s="12"/>
      <c r="CC98" s="12"/>
      <c r="CD98" s="12"/>
      <c r="CE98" s="12"/>
      <c r="CF98" s="12"/>
      <c r="CG98" s="12"/>
      <c r="CH98" s="12"/>
      <c r="CI98" s="12"/>
      <c r="CJ98" s="12"/>
      <c r="CK98" s="12"/>
      <c r="CL98" s="12"/>
      <c r="CM98" s="12"/>
      <c r="CN98" s="12"/>
      <c r="CO98" s="12"/>
      <c r="CP98" s="12"/>
      <c r="CQ98" s="12"/>
      <c r="CR98" s="12"/>
      <c r="CS98" s="12"/>
      <c r="CT98" s="12"/>
      <c r="CU98" s="12"/>
      <c r="CV98" s="12"/>
      <c r="CW98" s="12"/>
      <c r="CX98" s="12"/>
      <c r="CY98" s="12"/>
      <c r="CZ98" s="12"/>
      <c r="DA98" s="12"/>
      <c r="DB98" s="12"/>
      <c r="DC98" s="12"/>
      <c r="DD98" s="12"/>
      <c r="DE98" s="12"/>
      <c r="DF98" s="12"/>
      <c r="DG98" s="12"/>
      <c r="DH98" s="12"/>
      <c r="DI98" s="12"/>
      <c r="DJ98" s="12"/>
      <c r="DK98" s="12"/>
      <c r="DL98" s="12"/>
      <c r="DM98" s="12"/>
      <c r="DN98" s="12"/>
      <c r="DO98" s="12"/>
      <c r="DP98" s="12"/>
      <c r="DQ98" s="12"/>
      <c r="DR98" s="12"/>
      <c r="DS98" s="12"/>
      <c r="DT98" s="12"/>
      <c r="DU98" s="12"/>
      <c r="DV98" s="12"/>
      <c r="DW98" s="12"/>
      <c r="DX98" s="12"/>
      <c r="DY98" s="12"/>
      <c r="DZ98" s="12"/>
      <c r="EA98" s="12"/>
      <c r="EB98" s="12"/>
      <c r="EC98" s="12"/>
      <c r="ED98" s="12"/>
      <c r="EE98" s="12"/>
      <c r="EF98" s="12"/>
      <c r="EG98" s="12"/>
      <c r="EH98" s="12"/>
      <c r="EI98" s="12"/>
      <c r="EJ98" s="12"/>
      <c r="EK98" s="12"/>
      <c r="EL98" s="12"/>
      <c r="EM98" s="12"/>
      <c r="EN98" s="12"/>
      <c r="EO98" s="12"/>
      <c r="EP98" s="12"/>
      <c r="EQ98" s="12"/>
      <c r="ER98" s="12"/>
      <c r="ES98" s="12"/>
      <c r="ET98" s="12"/>
      <c r="EU98" s="12"/>
      <c r="EV98" s="12"/>
      <c r="EW98" s="12"/>
      <c r="EX98" s="12"/>
      <c r="EY98" s="12"/>
      <c r="EZ98" s="12"/>
      <c r="FA98" s="12"/>
      <c r="FB98" s="12"/>
      <c r="FC98" s="12"/>
      <c r="FD98" s="12"/>
      <c r="FE98" s="12"/>
      <c r="FF98" s="12"/>
      <c r="FG98" s="12"/>
      <c r="FH98" s="12"/>
      <c r="FI98" s="12"/>
      <c r="FJ98" s="12"/>
      <c r="FK98" s="12"/>
      <c r="FL98" s="12"/>
      <c r="FM98" s="12"/>
      <c r="FN98" s="12"/>
      <c r="FO98" s="12"/>
      <c r="FP98" s="12"/>
      <c r="FQ98" s="12"/>
      <c r="FR98" s="12"/>
      <c r="FS98" s="12"/>
      <c r="FT98" s="12"/>
      <c r="FU98" s="12"/>
      <c r="FV98" s="12"/>
      <c r="FW98" s="12"/>
      <c r="FX98" s="12"/>
      <c r="FY98" s="12"/>
      <c r="FZ98" s="12"/>
      <c r="GA98" s="12"/>
      <c r="GB98" s="12"/>
      <c r="GC98" s="12"/>
      <c r="GD98" s="12"/>
      <c r="GE98" s="12"/>
      <c r="GF98" s="12"/>
      <c r="GG98" s="12"/>
      <c r="GH98" s="12"/>
      <c r="GI98" s="12"/>
      <c r="GJ98" s="12"/>
      <c r="GK98" s="12"/>
      <c r="GL98" s="12"/>
      <c r="GM98" s="12"/>
      <c r="GN98" s="12"/>
      <c r="GO98" s="12"/>
      <c r="GP98" s="12"/>
      <c r="GQ98" s="12"/>
      <c r="GR98" s="12"/>
      <c r="GS98" s="12"/>
      <c r="GT98" s="12"/>
      <c r="GU98" s="12"/>
      <c r="GV98" s="12"/>
      <c r="GW98" s="12"/>
      <c r="GX98" s="12"/>
      <c r="GY98" s="12"/>
      <c r="GZ98" s="12"/>
      <c r="HA98" s="12"/>
      <c r="HB98" s="12"/>
      <c r="HC98" s="12"/>
      <c r="HD98" s="12"/>
      <c r="HE98" s="12"/>
      <c r="HF98" s="12"/>
      <c r="HG98" s="12"/>
      <c r="HH98" s="12"/>
      <c r="HI98" s="12"/>
      <c r="HJ98" s="12"/>
      <c r="HK98" s="12"/>
      <c r="HL98" s="12"/>
      <c r="HM98" s="12"/>
      <c r="HN98" s="12"/>
      <c r="HO98" s="12"/>
      <c r="HP98" s="12"/>
      <c r="HQ98" s="12"/>
      <c r="HR98" s="12"/>
      <c r="HS98" s="12"/>
      <c r="HT98" s="12"/>
      <c r="HU98" s="12"/>
      <c r="HV98" s="12"/>
      <c r="HW98" s="12"/>
      <c r="HX98" s="12"/>
      <c r="HY98" s="12"/>
      <c r="HZ98" s="12"/>
      <c r="IA98" s="12"/>
      <c r="IB98" s="12"/>
      <c r="IC98" s="12"/>
      <c r="ID98" s="12"/>
      <c r="IE98" s="12"/>
      <c r="IF98" s="12"/>
      <c r="IG98" s="12"/>
      <c r="IH98" s="12"/>
      <c r="II98" s="12"/>
      <c r="IJ98" s="12"/>
      <c r="IK98" s="12"/>
      <c r="IL98" s="12"/>
      <c r="IM98" s="12"/>
      <c r="IN98" s="12"/>
      <c r="IO98" s="12"/>
      <c r="IP98" s="12"/>
      <c r="IQ98" s="12"/>
      <c r="IR98" s="12"/>
      <c r="IS98" s="12"/>
      <c r="IT98" s="12"/>
      <c r="IU98" s="12"/>
      <c r="IV98" s="12"/>
      <c r="IW98" s="12"/>
    </row>
    <row r="99" customFormat="false" ht="11.25" hidden="false" customHeight="false" outlineLevel="0" collapsed="false">
      <c r="A99" s="25" t="n">
        <f aca="false">DATE(YEAR(A98),MONTH(A98)+1,1)</f>
        <v>48731</v>
      </c>
      <c r="B99" s="21" t="n">
        <v>1.98</v>
      </c>
      <c r="C99" s="21" t="n">
        <v>2.01</v>
      </c>
      <c r="D99" s="25" t="n">
        <f aca="false">DATE(YEAR(D98),MONTH(D98)+1,1)</f>
        <v>48731</v>
      </c>
      <c r="E99" s="21" t="n">
        <v>18.743</v>
      </c>
      <c r="F99" s="21" t="n">
        <v>19.206</v>
      </c>
      <c r="G99" s="6"/>
      <c r="H99" s="22" t="n">
        <f aca="false">A99</f>
        <v>48731</v>
      </c>
      <c r="I99" s="23" t="n">
        <f aca="false">IF($J$1="bid",B99,C99)</f>
        <v>2.01</v>
      </c>
      <c r="J99" s="24" t="n">
        <f aca="false">D99</f>
        <v>48731</v>
      </c>
      <c r="K99" s="23" t="n">
        <f aca="false">IF($J$1="bid",E99,F99)</f>
        <v>19.206</v>
      </c>
      <c r="L99" s="11"/>
      <c r="M99" s="11"/>
      <c r="N99" s="11"/>
      <c r="O99" s="11"/>
      <c r="P99" s="11"/>
      <c r="Q99" s="11"/>
      <c r="R99" s="11"/>
      <c r="S99" s="11"/>
      <c r="T99" s="11"/>
      <c r="U99" s="11"/>
      <c r="V99" s="11"/>
      <c r="W99" s="11"/>
      <c r="X99" s="11"/>
      <c r="Y99" s="11"/>
      <c r="Z99" s="11"/>
      <c r="AA99" s="11"/>
      <c r="AB99" s="11"/>
      <c r="AC99" s="11"/>
      <c r="AD99" s="11"/>
      <c r="AE99" s="11"/>
      <c r="AF99" s="11"/>
      <c r="AG99" s="11"/>
      <c r="AH99" s="11"/>
      <c r="AI99" s="11"/>
      <c r="AJ99" s="11"/>
      <c r="AK99" s="11"/>
      <c r="AL99" s="11"/>
      <c r="AM99" s="11"/>
      <c r="AN99" s="11"/>
      <c r="AO99" s="11"/>
      <c r="AP99" s="11"/>
      <c r="AQ99" s="11"/>
      <c r="AR99" s="5"/>
      <c r="AS99" s="12"/>
      <c r="AT99" s="12"/>
      <c r="AU99" s="12"/>
      <c r="AV99" s="12"/>
      <c r="AW99" s="12"/>
      <c r="AX99" s="12"/>
      <c r="AY99" s="12"/>
      <c r="AZ99" s="12"/>
      <c r="BA99" s="12"/>
      <c r="BB99" s="12"/>
      <c r="BC99" s="12"/>
      <c r="BD99" s="12"/>
      <c r="BE99" s="12"/>
      <c r="BF99" s="12"/>
      <c r="BG99" s="12"/>
      <c r="BH99" s="12"/>
      <c r="BI99" s="12"/>
      <c r="BJ99" s="12"/>
      <c r="BK99" s="12"/>
      <c r="BL99" s="12"/>
      <c r="BM99" s="12"/>
      <c r="BN99" s="12"/>
      <c r="BO99" s="12"/>
      <c r="BP99" s="12"/>
      <c r="BQ99" s="12"/>
      <c r="BR99" s="12"/>
      <c r="BS99" s="12"/>
      <c r="BT99" s="12"/>
      <c r="BU99" s="12"/>
      <c r="BV99" s="12"/>
      <c r="BW99" s="12"/>
      <c r="BX99" s="12"/>
      <c r="BY99" s="12"/>
      <c r="BZ99" s="12"/>
      <c r="CA99" s="12"/>
      <c r="CB99" s="12"/>
      <c r="CC99" s="12"/>
      <c r="CD99" s="12"/>
      <c r="CE99" s="12"/>
      <c r="CF99" s="12"/>
      <c r="CG99" s="12"/>
      <c r="CH99" s="12"/>
      <c r="CI99" s="12"/>
      <c r="CJ99" s="12"/>
      <c r="CK99" s="12"/>
      <c r="CL99" s="12"/>
      <c r="CM99" s="12"/>
      <c r="CN99" s="12"/>
      <c r="CO99" s="12"/>
      <c r="CP99" s="12"/>
      <c r="CQ99" s="12"/>
      <c r="CR99" s="12"/>
      <c r="CS99" s="12"/>
      <c r="CT99" s="12"/>
      <c r="CU99" s="12"/>
      <c r="CV99" s="12"/>
      <c r="CW99" s="12"/>
      <c r="CX99" s="12"/>
      <c r="CY99" s="12"/>
      <c r="CZ99" s="12"/>
      <c r="DA99" s="12"/>
      <c r="DB99" s="12"/>
      <c r="DC99" s="12"/>
      <c r="DD99" s="12"/>
      <c r="DE99" s="12"/>
      <c r="DF99" s="12"/>
      <c r="DG99" s="12"/>
      <c r="DH99" s="12"/>
      <c r="DI99" s="12"/>
      <c r="DJ99" s="12"/>
      <c r="DK99" s="12"/>
      <c r="DL99" s="12"/>
      <c r="DM99" s="12"/>
      <c r="DN99" s="12"/>
      <c r="DO99" s="12"/>
      <c r="DP99" s="12"/>
      <c r="DQ99" s="12"/>
      <c r="DR99" s="12"/>
      <c r="DS99" s="12"/>
      <c r="DT99" s="12"/>
      <c r="DU99" s="12"/>
      <c r="DV99" s="12"/>
      <c r="DW99" s="12"/>
      <c r="DX99" s="12"/>
      <c r="DY99" s="12"/>
      <c r="DZ99" s="12"/>
      <c r="EA99" s="12"/>
      <c r="EB99" s="12"/>
      <c r="EC99" s="12"/>
      <c r="ED99" s="12"/>
      <c r="EE99" s="12"/>
      <c r="EF99" s="12"/>
      <c r="EG99" s="12"/>
      <c r="EH99" s="12"/>
      <c r="EI99" s="12"/>
      <c r="EJ99" s="12"/>
      <c r="EK99" s="12"/>
      <c r="EL99" s="12"/>
      <c r="EM99" s="12"/>
      <c r="EN99" s="12"/>
      <c r="EO99" s="12"/>
      <c r="EP99" s="12"/>
      <c r="EQ99" s="12"/>
      <c r="ER99" s="12"/>
      <c r="ES99" s="12"/>
      <c r="ET99" s="12"/>
      <c r="EU99" s="12"/>
      <c r="EV99" s="12"/>
      <c r="EW99" s="12"/>
      <c r="EX99" s="12"/>
      <c r="EY99" s="12"/>
      <c r="EZ99" s="12"/>
      <c r="FA99" s="12"/>
      <c r="FB99" s="12"/>
      <c r="FC99" s="12"/>
      <c r="FD99" s="12"/>
      <c r="FE99" s="12"/>
      <c r="FF99" s="12"/>
      <c r="FG99" s="12"/>
      <c r="FH99" s="12"/>
      <c r="FI99" s="12"/>
      <c r="FJ99" s="12"/>
      <c r="FK99" s="12"/>
      <c r="FL99" s="12"/>
      <c r="FM99" s="12"/>
      <c r="FN99" s="12"/>
      <c r="FO99" s="12"/>
      <c r="FP99" s="12"/>
      <c r="FQ99" s="12"/>
      <c r="FR99" s="12"/>
      <c r="FS99" s="12"/>
      <c r="FT99" s="12"/>
      <c r="FU99" s="12"/>
      <c r="FV99" s="12"/>
      <c r="FW99" s="12"/>
      <c r="FX99" s="12"/>
      <c r="FY99" s="12"/>
      <c r="FZ99" s="12"/>
      <c r="GA99" s="12"/>
      <c r="GB99" s="12"/>
      <c r="GC99" s="12"/>
      <c r="GD99" s="12"/>
      <c r="GE99" s="12"/>
      <c r="GF99" s="12"/>
      <c r="GG99" s="12"/>
      <c r="GH99" s="12"/>
      <c r="GI99" s="12"/>
      <c r="GJ99" s="12"/>
      <c r="GK99" s="12"/>
      <c r="GL99" s="12"/>
      <c r="GM99" s="12"/>
      <c r="GN99" s="12"/>
      <c r="GO99" s="12"/>
      <c r="GP99" s="12"/>
      <c r="GQ99" s="12"/>
      <c r="GR99" s="12"/>
      <c r="GS99" s="12"/>
      <c r="GT99" s="12"/>
      <c r="GU99" s="12"/>
      <c r="GV99" s="12"/>
      <c r="GW99" s="12"/>
      <c r="GX99" s="12"/>
      <c r="GY99" s="12"/>
      <c r="GZ99" s="12"/>
      <c r="HA99" s="12"/>
      <c r="HB99" s="12"/>
      <c r="HC99" s="12"/>
      <c r="HD99" s="12"/>
      <c r="HE99" s="12"/>
      <c r="HF99" s="12"/>
      <c r="HG99" s="12"/>
      <c r="HH99" s="12"/>
      <c r="HI99" s="12"/>
      <c r="HJ99" s="12"/>
      <c r="HK99" s="12"/>
      <c r="HL99" s="12"/>
      <c r="HM99" s="12"/>
      <c r="HN99" s="12"/>
      <c r="HO99" s="12"/>
      <c r="HP99" s="12"/>
      <c r="HQ99" s="12"/>
      <c r="HR99" s="12"/>
      <c r="HS99" s="12"/>
      <c r="HT99" s="12"/>
      <c r="HU99" s="12"/>
      <c r="HV99" s="12"/>
      <c r="HW99" s="12"/>
      <c r="HX99" s="12"/>
      <c r="HY99" s="12"/>
      <c r="HZ99" s="12"/>
      <c r="IA99" s="12"/>
      <c r="IB99" s="12"/>
      <c r="IC99" s="12"/>
      <c r="ID99" s="12"/>
      <c r="IE99" s="12"/>
      <c r="IF99" s="12"/>
      <c r="IG99" s="12"/>
      <c r="IH99" s="12"/>
      <c r="II99" s="12"/>
      <c r="IJ99" s="12"/>
      <c r="IK99" s="12"/>
      <c r="IL99" s="12"/>
      <c r="IM99" s="12"/>
      <c r="IN99" s="12"/>
      <c r="IO99" s="12"/>
      <c r="IP99" s="12"/>
      <c r="IQ99" s="12"/>
      <c r="IR99" s="12"/>
      <c r="IS99" s="12"/>
      <c r="IT99" s="12"/>
      <c r="IU99" s="12"/>
      <c r="IV99" s="12"/>
      <c r="IW99" s="12"/>
    </row>
    <row r="100" customFormat="false" ht="11.25" hidden="false" customHeight="false" outlineLevel="0" collapsed="false">
      <c r="A100" s="25" t="n">
        <f aca="false">DATE(YEAR(A99),MONTH(A99)+1,1)</f>
        <v>48761</v>
      </c>
      <c r="B100" s="21" t="n">
        <v>1.98</v>
      </c>
      <c r="C100" s="21" t="n">
        <v>2.01</v>
      </c>
      <c r="D100" s="25" t="n">
        <f aca="false">DATE(YEAR(D99),MONTH(D99)+1,1)</f>
        <v>48761</v>
      </c>
      <c r="E100" s="21" t="n">
        <v>18.752</v>
      </c>
      <c r="F100" s="21" t="n">
        <v>19.223</v>
      </c>
      <c r="G100" s="6"/>
      <c r="H100" s="22" t="n">
        <f aca="false">A100</f>
        <v>48761</v>
      </c>
      <c r="I100" s="23" t="n">
        <f aca="false">IF($J$1="bid",B100,C100)</f>
        <v>2.01</v>
      </c>
      <c r="J100" s="24" t="n">
        <f aca="false">D100</f>
        <v>48761</v>
      </c>
      <c r="K100" s="23" t="n">
        <f aca="false">IF($J$1="bid",E100,F100)</f>
        <v>19.223</v>
      </c>
      <c r="L100" s="11"/>
      <c r="M100" s="11"/>
      <c r="N100" s="11"/>
      <c r="O100" s="11"/>
      <c r="P100" s="11"/>
      <c r="Q100" s="11"/>
      <c r="R100" s="11"/>
      <c r="S100" s="11"/>
      <c r="T100" s="11"/>
      <c r="U100" s="11"/>
      <c r="V100" s="11"/>
      <c r="W100" s="11"/>
      <c r="X100" s="11"/>
      <c r="Y100" s="11"/>
      <c r="Z100" s="11"/>
      <c r="AA100" s="11"/>
      <c r="AB100" s="11"/>
      <c r="AC100" s="11"/>
      <c r="AD100" s="11"/>
      <c r="AE100" s="11"/>
      <c r="AF100" s="11"/>
      <c r="AG100" s="11"/>
      <c r="AH100" s="11"/>
      <c r="AI100" s="11"/>
      <c r="AJ100" s="11"/>
      <c r="AK100" s="11"/>
      <c r="AL100" s="11"/>
      <c r="AM100" s="11"/>
      <c r="AN100" s="11"/>
      <c r="AO100" s="11"/>
      <c r="AP100" s="11"/>
      <c r="AQ100" s="11"/>
      <c r="AR100" s="5"/>
      <c r="AS100" s="12"/>
      <c r="AT100" s="12"/>
      <c r="AU100" s="12"/>
      <c r="AV100" s="12"/>
      <c r="AW100" s="12"/>
      <c r="AX100" s="12"/>
      <c r="AY100" s="12"/>
      <c r="AZ100" s="12"/>
      <c r="BA100" s="12"/>
      <c r="BB100" s="12"/>
      <c r="BC100" s="12"/>
      <c r="BD100" s="12"/>
      <c r="BE100" s="12"/>
      <c r="BF100" s="12"/>
      <c r="BG100" s="12"/>
      <c r="BH100" s="12"/>
      <c r="BI100" s="12"/>
      <c r="BJ100" s="12"/>
      <c r="BK100" s="12"/>
      <c r="BL100" s="12"/>
      <c r="BM100" s="12"/>
      <c r="BN100" s="12"/>
      <c r="BO100" s="12"/>
      <c r="BP100" s="12"/>
      <c r="BQ100" s="12"/>
      <c r="BR100" s="12"/>
      <c r="BS100" s="12"/>
      <c r="BT100" s="12"/>
      <c r="BU100" s="12"/>
      <c r="BV100" s="12"/>
      <c r="BW100" s="12"/>
      <c r="BX100" s="12"/>
      <c r="BY100" s="12"/>
      <c r="BZ100" s="12"/>
      <c r="CA100" s="12"/>
      <c r="CB100" s="12"/>
      <c r="CC100" s="12"/>
      <c r="CD100" s="12"/>
      <c r="CE100" s="12"/>
      <c r="CF100" s="12"/>
      <c r="CG100" s="12"/>
      <c r="CH100" s="12"/>
      <c r="CI100" s="12"/>
      <c r="CJ100" s="12"/>
      <c r="CK100" s="12"/>
      <c r="CL100" s="12"/>
      <c r="CM100" s="12"/>
      <c r="CN100" s="12"/>
      <c r="CO100" s="12"/>
      <c r="CP100" s="12"/>
      <c r="CQ100" s="12"/>
      <c r="CR100" s="12"/>
      <c r="CS100" s="12"/>
      <c r="CT100" s="12"/>
      <c r="CU100" s="12"/>
      <c r="CV100" s="12"/>
      <c r="CW100" s="12"/>
      <c r="CX100" s="12"/>
      <c r="CY100" s="12"/>
      <c r="CZ100" s="12"/>
      <c r="DA100" s="12"/>
      <c r="DB100" s="12"/>
      <c r="DC100" s="12"/>
      <c r="DD100" s="12"/>
      <c r="DE100" s="12"/>
      <c r="DF100" s="12"/>
      <c r="DG100" s="12"/>
      <c r="DH100" s="12"/>
      <c r="DI100" s="12"/>
      <c r="DJ100" s="12"/>
      <c r="DK100" s="12"/>
      <c r="DL100" s="12"/>
      <c r="DM100" s="12"/>
      <c r="DN100" s="12"/>
      <c r="DO100" s="12"/>
      <c r="DP100" s="12"/>
      <c r="DQ100" s="12"/>
      <c r="DR100" s="12"/>
      <c r="DS100" s="12"/>
      <c r="DT100" s="12"/>
      <c r="DU100" s="12"/>
      <c r="DV100" s="12"/>
      <c r="DW100" s="12"/>
      <c r="DX100" s="12"/>
      <c r="DY100" s="12"/>
      <c r="DZ100" s="12"/>
      <c r="EA100" s="12"/>
      <c r="EB100" s="12"/>
      <c r="EC100" s="12"/>
      <c r="ED100" s="12"/>
      <c r="EE100" s="12"/>
      <c r="EF100" s="12"/>
      <c r="EG100" s="12"/>
      <c r="EH100" s="12"/>
      <c r="EI100" s="12"/>
      <c r="EJ100" s="12"/>
      <c r="EK100" s="12"/>
      <c r="EL100" s="12"/>
      <c r="EM100" s="12"/>
      <c r="EN100" s="12"/>
      <c r="EO100" s="12"/>
      <c r="EP100" s="12"/>
      <c r="EQ100" s="12"/>
      <c r="ER100" s="12"/>
      <c r="ES100" s="12"/>
      <c r="ET100" s="12"/>
      <c r="EU100" s="12"/>
      <c r="EV100" s="12"/>
      <c r="EW100" s="12"/>
      <c r="EX100" s="12"/>
      <c r="EY100" s="12"/>
      <c r="EZ100" s="12"/>
      <c r="FA100" s="12"/>
      <c r="FB100" s="12"/>
      <c r="FC100" s="12"/>
      <c r="FD100" s="12"/>
      <c r="FE100" s="12"/>
      <c r="FF100" s="12"/>
      <c r="FG100" s="12"/>
      <c r="FH100" s="12"/>
      <c r="FI100" s="12"/>
      <c r="FJ100" s="12"/>
      <c r="FK100" s="12"/>
      <c r="FL100" s="12"/>
      <c r="FM100" s="12"/>
      <c r="FN100" s="12"/>
      <c r="FO100" s="12"/>
      <c r="FP100" s="12"/>
      <c r="FQ100" s="12"/>
      <c r="FR100" s="12"/>
      <c r="FS100" s="12"/>
      <c r="FT100" s="12"/>
      <c r="FU100" s="12"/>
      <c r="FV100" s="12"/>
      <c r="FW100" s="12"/>
      <c r="FX100" s="12"/>
      <c r="FY100" s="12"/>
      <c r="FZ100" s="12"/>
      <c r="GA100" s="12"/>
      <c r="GB100" s="12"/>
      <c r="GC100" s="12"/>
      <c r="GD100" s="12"/>
      <c r="GE100" s="12"/>
      <c r="GF100" s="12"/>
      <c r="GG100" s="12"/>
      <c r="GH100" s="12"/>
      <c r="GI100" s="12"/>
      <c r="GJ100" s="12"/>
      <c r="GK100" s="12"/>
      <c r="GL100" s="12"/>
      <c r="GM100" s="12"/>
      <c r="GN100" s="12"/>
      <c r="GO100" s="12"/>
      <c r="GP100" s="12"/>
      <c r="GQ100" s="12"/>
      <c r="GR100" s="12"/>
      <c r="GS100" s="12"/>
      <c r="GT100" s="12"/>
      <c r="GU100" s="12"/>
      <c r="GV100" s="12"/>
      <c r="GW100" s="12"/>
      <c r="GX100" s="12"/>
      <c r="GY100" s="12"/>
      <c r="GZ100" s="12"/>
      <c r="HA100" s="12"/>
      <c r="HB100" s="12"/>
      <c r="HC100" s="12"/>
      <c r="HD100" s="12"/>
      <c r="HE100" s="12"/>
      <c r="HF100" s="12"/>
      <c r="HG100" s="12"/>
      <c r="HH100" s="12"/>
      <c r="HI100" s="12"/>
      <c r="HJ100" s="12"/>
      <c r="HK100" s="12"/>
      <c r="HL100" s="12"/>
      <c r="HM100" s="12"/>
      <c r="HN100" s="12"/>
      <c r="HO100" s="12"/>
      <c r="HP100" s="12"/>
      <c r="HQ100" s="12"/>
      <c r="HR100" s="12"/>
      <c r="HS100" s="12"/>
      <c r="HT100" s="12"/>
      <c r="HU100" s="12"/>
      <c r="HV100" s="12"/>
      <c r="HW100" s="12"/>
      <c r="HX100" s="12"/>
      <c r="HY100" s="12"/>
      <c r="HZ100" s="12"/>
      <c r="IA100" s="12"/>
      <c r="IB100" s="12"/>
      <c r="IC100" s="12"/>
      <c r="ID100" s="12"/>
      <c r="IE100" s="12"/>
      <c r="IF100" s="12"/>
      <c r="IG100" s="12"/>
      <c r="IH100" s="12"/>
      <c r="II100" s="12"/>
      <c r="IJ100" s="12"/>
      <c r="IK100" s="12"/>
      <c r="IL100" s="12"/>
      <c r="IM100" s="12"/>
      <c r="IN100" s="12"/>
      <c r="IO100" s="12"/>
      <c r="IP100" s="12"/>
      <c r="IQ100" s="12"/>
      <c r="IR100" s="12"/>
      <c r="IS100" s="12"/>
      <c r="IT100" s="12"/>
      <c r="IU100" s="12"/>
      <c r="IV100" s="12"/>
      <c r="IW100" s="12"/>
    </row>
    <row r="101" customFormat="false" ht="11.25" hidden="false" customHeight="false" outlineLevel="0" collapsed="false">
      <c r="A101" s="25" t="n">
        <f aca="false">DATE(YEAR(A100),MONTH(A100)+1,1)</f>
        <v>48792</v>
      </c>
      <c r="B101" s="21" t="n">
        <v>1.98</v>
      </c>
      <c r="C101" s="21" t="n">
        <v>2.01</v>
      </c>
      <c r="D101" s="25" t="n">
        <f aca="false">DATE(YEAR(D100),MONTH(D100)+1,1)</f>
        <v>48792</v>
      </c>
      <c r="E101" s="21" t="n">
        <v>18.76</v>
      </c>
      <c r="F101" s="21" t="n">
        <v>19.24</v>
      </c>
      <c r="G101" s="6"/>
      <c r="H101" s="22" t="n">
        <f aca="false">A101</f>
        <v>48792</v>
      </c>
      <c r="I101" s="23" t="n">
        <f aca="false">IF($J$1="bid",B101,C101)</f>
        <v>2.01</v>
      </c>
      <c r="J101" s="24" t="n">
        <f aca="false">D101</f>
        <v>48792</v>
      </c>
      <c r="K101" s="23" t="n">
        <f aca="false">IF($J$1="bid",E101,F101)</f>
        <v>19.24</v>
      </c>
      <c r="L101" s="11"/>
      <c r="M101" s="11"/>
      <c r="N101" s="11"/>
      <c r="O101" s="11"/>
      <c r="P101" s="11"/>
      <c r="Q101" s="11"/>
      <c r="R101" s="11"/>
      <c r="S101" s="11"/>
      <c r="T101" s="11"/>
      <c r="U101" s="11"/>
      <c r="V101" s="11"/>
      <c r="W101" s="11"/>
      <c r="X101" s="11"/>
      <c r="Y101" s="11"/>
      <c r="Z101" s="11"/>
      <c r="AA101" s="11"/>
      <c r="AB101" s="11"/>
      <c r="AC101" s="11"/>
      <c r="AD101" s="11"/>
      <c r="AE101" s="11"/>
      <c r="AF101" s="11"/>
      <c r="AG101" s="11"/>
      <c r="AH101" s="11"/>
      <c r="AI101" s="11"/>
      <c r="AJ101" s="11"/>
      <c r="AK101" s="11"/>
      <c r="AL101" s="11"/>
      <c r="AM101" s="11"/>
      <c r="AN101" s="11"/>
      <c r="AO101" s="11"/>
      <c r="AP101" s="11"/>
      <c r="AQ101" s="11"/>
      <c r="AR101" s="5"/>
      <c r="AS101" s="12"/>
      <c r="AT101" s="12"/>
      <c r="AU101" s="12"/>
      <c r="AV101" s="12"/>
      <c r="AW101" s="12"/>
      <c r="AX101" s="12"/>
      <c r="AY101" s="12"/>
      <c r="AZ101" s="12"/>
      <c r="BA101" s="12"/>
      <c r="BB101" s="12"/>
      <c r="BC101" s="12"/>
      <c r="BD101" s="12"/>
      <c r="BE101" s="12"/>
      <c r="BF101" s="12"/>
      <c r="BG101" s="12"/>
      <c r="BH101" s="12"/>
      <c r="BI101" s="12"/>
      <c r="BJ101" s="12"/>
      <c r="BK101" s="12"/>
      <c r="BL101" s="12"/>
      <c r="BM101" s="12"/>
      <c r="BN101" s="12"/>
      <c r="BO101" s="12"/>
      <c r="BP101" s="12"/>
      <c r="BQ101" s="12"/>
      <c r="BR101" s="12"/>
      <c r="BS101" s="12"/>
      <c r="BT101" s="12"/>
      <c r="BU101" s="12"/>
      <c r="BV101" s="12"/>
      <c r="BW101" s="12"/>
      <c r="BX101" s="12"/>
      <c r="BY101" s="12"/>
      <c r="BZ101" s="12"/>
      <c r="CA101" s="12"/>
      <c r="CB101" s="12"/>
      <c r="CC101" s="12"/>
      <c r="CD101" s="12"/>
      <c r="CE101" s="12"/>
      <c r="CF101" s="12"/>
      <c r="CG101" s="12"/>
      <c r="CH101" s="12"/>
      <c r="CI101" s="12"/>
      <c r="CJ101" s="12"/>
      <c r="CK101" s="12"/>
      <c r="CL101" s="12"/>
      <c r="CM101" s="12"/>
      <c r="CN101" s="12"/>
      <c r="CO101" s="12"/>
      <c r="CP101" s="12"/>
      <c r="CQ101" s="12"/>
      <c r="CR101" s="12"/>
      <c r="CS101" s="12"/>
      <c r="CT101" s="12"/>
      <c r="CU101" s="12"/>
      <c r="CV101" s="12"/>
      <c r="CW101" s="12"/>
      <c r="CX101" s="12"/>
      <c r="CY101" s="12"/>
      <c r="CZ101" s="12"/>
      <c r="DA101" s="12"/>
      <c r="DB101" s="12"/>
      <c r="DC101" s="12"/>
      <c r="DD101" s="12"/>
      <c r="DE101" s="12"/>
      <c r="DF101" s="12"/>
      <c r="DG101" s="12"/>
      <c r="DH101" s="12"/>
      <c r="DI101" s="12"/>
      <c r="DJ101" s="12"/>
      <c r="DK101" s="12"/>
      <c r="DL101" s="12"/>
      <c r="DM101" s="12"/>
      <c r="DN101" s="12"/>
      <c r="DO101" s="12"/>
      <c r="DP101" s="12"/>
      <c r="DQ101" s="12"/>
      <c r="DR101" s="12"/>
      <c r="DS101" s="12"/>
      <c r="DT101" s="12"/>
      <c r="DU101" s="12"/>
      <c r="DV101" s="12"/>
      <c r="DW101" s="12"/>
      <c r="DX101" s="12"/>
      <c r="DY101" s="12"/>
      <c r="DZ101" s="12"/>
      <c r="EA101" s="12"/>
      <c r="EB101" s="12"/>
      <c r="EC101" s="12"/>
      <c r="ED101" s="12"/>
      <c r="EE101" s="12"/>
      <c r="EF101" s="12"/>
      <c r="EG101" s="12"/>
      <c r="EH101" s="12"/>
      <c r="EI101" s="12"/>
      <c r="EJ101" s="12"/>
      <c r="EK101" s="12"/>
      <c r="EL101" s="12"/>
      <c r="EM101" s="12"/>
      <c r="EN101" s="12"/>
      <c r="EO101" s="12"/>
      <c r="EP101" s="12"/>
      <c r="EQ101" s="12"/>
      <c r="ER101" s="12"/>
      <c r="ES101" s="12"/>
      <c r="ET101" s="12"/>
      <c r="EU101" s="12"/>
      <c r="EV101" s="12"/>
      <c r="EW101" s="12"/>
      <c r="EX101" s="12"/>
      <c r="EY101" s="12"/>
      <c r="EZ101" s="12"/>
      <c r="FA101" s="12"/>
      <c r="FB101" s="12"/>
      <c r="FC101" s="12"/>
      <c r="FD101" s="12"/>
      <c r="FE101" s="12"/>
      <c r="FF101" s="12"/>
      <c r="FG101" s="12"/>
      <c r="FH101" s="12"/>
      <c r="FI101" s="12"/>
      <c r="FJ101" s="12"/>
      <c r="FK101" s="12"/>
      <c r="FL101" s="12"/>
      <c r="FM101" s="12"/>
      <c r="FN101" s="12"/>
      <c r="FO101" s="12"/>
      <c r="FP101" s="12"/>
      <c r="FQ101" s="12"/>
      <c r="FR101" s="12"/>
      <c r="FS101" s="12"/>
      <c r="FT101" s="12"/>
      <c r="FU101" s="12"/>
      <c r="FV101" s="12"/>
      <c r="FW101" s="12"/>
      <c r="FX101" s="12"/>
      <c r="FY101" s="12"/>
      <c r="FZ101" s="12"/>
      <c r="GA101" s="12"/>
      <c r="GB101" s="12"/>
      <c r="GC101" s="12"/>
      <c r="GD101" s="12"/>
      <c r="GE101" s="12"/>
      <c r="GF101" s="12"/>
      <c r="GG101" s="12"/>
      <c r="GH101" s="12"/>
      <c r="GI101" s="12"/>
      <c r="GJ101" s="12"/>
      <c r="GK101" s="12"/>
      <c r="GL101" s="12"/>
      <c r="GM101" s="12"/>
      <c r="GN101" s="12"/>
      <c r="GO101" s="12"/>
      <c r="GP101" s="12"/>
      <c r="GQ101" s="12"/>
      <c r="GR101" s="12"/>
      <c r="GS101" s="12"/>
      <c r="GT101" s="12"/>
      <c r="GU101" s="12"/>
      <c r="GV101" s="12"/>
      <c r="GW101" s="12"/>
      <c r="GX101" s="12"/>
      <c r="GY101" s="12"/>
      <c r="GZ101" s="12"/>
      <c r="HA101" s="12"/>
      <c r="HB101" s="12"/>
      <c r="HC101" s="12"/>
      <c r="HD101" s="12"/>
      <c r="HE101" s="12"/>
      <c r="HF101" s="12"/>
      <c r="HG101" s="12"/>
      <c r="HH101" s="12"/>
      <c r="HI101" s="12"/>
      <c r="HJ101" s="12"/>
      <c r="HK101" s="12"/>
      <c r="HL101" s="12"/>
      <c r="HM101" s="12"/>
      <c r="HN101" s="12"/>
      <c r="HO101" s="12"/>
      <c r="HP101" s="12"/>
      <c r="HQ101" s="12"/>
      <c r="HR101" s="12"/>
      <c r="HS101" s="12"/>
      <c r="HT101" s="12"/>
      <c r="HU101" s="12"/>
      <c r="HV101" s="12"/>
      <c r="HW101" s="12"/>
      <c r="HX101" s="12"/>
      <c r="HY101" s="12"/>
      <c r="HZ101" s="12"/>
      <c r="IA101" s="12"/>
      <c r="IB101" s="12"/>
      <c r="IC101" s="12"/>
      <c r="ID101" s="12"/>
      <c r="IE101" s="12"/>
      <c r="IF101" s="12"/>
      <c r="IG101" s="12"/>
      <c r="IH101" s="12"/>
      <c r="II101" s="12"/>
      <c r="IJ101" s="12"/>
      <c r="IK101" s="12"/>
      <c r="IL101" s="12"/>
      <c r="IM101" s="12"/>
      <c r="IN101" s="12"/>
      <c r="IO101" s="12"/>
      <c r="IP101" s="12"/>
      <c r="IQ101" s="12"/>
      <c r="IR101" s="12"/>
      <c r="IS101" s="12"/>
      <c r="IT101" s="12"/>
      <c r="IU101" s="12"/>
      <c r="IV101" s="12"/>
      <c r="IW101" s="12"/>
    </row>
    <row r="102" customFormat="false" ht="11.25" hidden="false" customHeight="false" outlineLevel="0" collapsed="false">
      <c r="A102" s="25" t="n">
        <f aca="false">DATE(YEAR(A101),MONTH(A101)+1,1)</f>
        <v>48823</v>
      </c>
      <c r="B102" s="21" t="n">
        <v>2.054</v>
      </c>
      <c r="C102" s="21" t="n">
        <v>2.084</v>
      </c>
      <c r="D102" s="25" t="n">
        <f aca="false">DATE(YEAR(D101),MONTH(D101)+1,1)</f>
        <v>48823</v>
      </c>
      <c r="E102" s="21" t="n">
        <v>18.768</v>
      </c>
      <c r="F102" s="21" t="n">
        <v>19.256</v>
      </c>
      <c r="G102" s="6"/>
      <c r="H102" s="22" t="n">
        <f aca="false">A102</f>
        <v>48823</v>
      </c>
      <c r="I102" s="23" t="n">
        <f aca="false">IF($J$1="bid",B102,C102)</f>
        <v>2.084</v>
      </c>
      <c r="J102" s="24" t="n">
        <f aca="false">D102</f>
        <v>48823</v>
      </c>
      <c r="K102" s="23" t="n">
        <f aca="false">IF($J$1="bid",E102,F102)</f>
        <v>19.256</v>
      </c>
      <c r="L102" s="11"/>
      <c r="M102" s="11"/>
      <c r="N102" s="11"/>
      <c r="O102" s="11"/>
      <c r="P102" s="11"/>
      <c r="Q102" s="11"/>
      <c r="R102" s="11"/>
      <c r="S102" s="11"/>
      <c r="T102" s="11"/>
      <c r="U102" s="11"/>
      <c r="V102" s="11"/>
      <c r="W102" s="11"/>
      <c r="X102" s="11"/>
      <c r="Y102" s="11"/>
      <c r="Z102" s="11"/>
      <c r="AA102" s="11"/>
      <c r="AB102" s="11"/>
      <c r="AC102" s="11"/>
      <c r="AD102" s="11"/>
      <c r="AE102" s="11"/>
      <c r="AF102" s="11"/>
      <c r="AG102" s="11"/>
      <c r="AH102" s="11"/>
      <c r="AI102" s="11"/>
      <c r="AJ102" s="11"/>
      <c r="AK102" s="11"/>
      <c r="AL102" s="11"/>
      <c r="AM102" s="11"/>
      <c r="AN102" s="11"/>
      <c r="AO102" s="11"/>
      <c r="AP102" s="11"/>
      <c r="AQ102" s="11"/>
      <c r="AR102" s="5"/>
      <c r="AS102" s="12"/>
      <c r="AT102" s="12"/>
      <c r="AU102" s="12"/>
      <c r="AV102" s="12"/>
      <c r="AW102" s="12"/>
      <c r="AX102" s="12"/>
      <c r="AY102" s="12"/>
      <c r="AZ102" s="12"/>
      <c r="BA102" s="12"/>
      <c r="BB102" s="12"/>
      <c r="BC102" s="12"/>
      <c r="BD102" s="12"/>
      <c r="BE102" s="12"/>
      <c r="BF102" s="12"/>
      <c r="BG102" s="12"/>
      <c r="BH102" s="12"/>
      <c r="BI102" s="12"/>
      <c r="BJ102" s="12"/>
      <c r="BK102" s="12"/>
      <c r="BL102" s="12"/>
      <c r="BM102" s="12"/>
      <c r="BN102" s="12"/>
      <c r="BO102" s="12"/>
      <c r="BP102" s="12"/>
      <c r="BQ102" s="12"/>
      <c r="BR102" s="12"/>
      <c r="BS102" s="12"/>
      <c r="BT102" s="12"/>
      <c r="BU102" s="12"/>
      <c r="BV102" s="12"/>
      <c r="BW102" s="12"/>
      <c r="BX102" s="12"/>
      <c r="BY102" s="12"/>
      <c r="BZ102" s="12"/>
      <c r="CA102" s="12"/>
      <c r="CB102" s="12"/>
      <c r="CC102" s="12"/>
      <c r="CD102" s="12"/>
      <c r="CE102" s="12"/>
      <c r="CF102" s="12"/>
      <c r="CG102" s="12"/>
      <c r="CH102" s="12"/>
      <c r="CI102" s="12"/>
      <c r="CJ102" s="12"/>
      <c r="CK102" s="12"/>
      <c r="CL102" s="12"/>
      <c r="CM102" s="12"/>
      <c r="CN102" s="12"/>
      <c r="CO102" s="12"/>
      <c r="CP102" s="12"/>
      <c r="CQ102" s="12"/>
      <c r="CR102" s="12"/>
      <c r="CS102" s="12"/>
      <c r="CT102" s="12"/>
      <c r="CU102" s="12"/>
      <c r="CV102" s="12"/>
      <c r="CW102" s="12"/>
      <c r="CX102" s="12"/>
      <c r="CY102" s="12"/>
      <c r="CZ102" s="12"/>
      <c r="DA102" s="12"/>
      <c r="DB102" s="12"/>
      <c r="DC102" s="12"/>
      <c r="DD102" s="12"/>
      <c r="DE102" s="12"/>
      <c r="DF102" s="12"/>
      <c r="DG102" s="12"/>
      <c r="DH102" s="12"/>
      <c r="DI102" s="12"/>
      <c r="DJ102" s="12"/>
      <c r="DK102" s="12"/>
      <c r="DL102" s="12"/>
      <c r="DM102" s="12"/>
      <c r="DN102" s="12"/>
      <c r="DO102" s="12"/>
      <c r="DP102" s="12"/>
      <c r="DQ102" s="12"/>
      <c r="DR102" s="12"/>
      <c r="DS102" s="12"/>
      <c r="DT102" s="12"/>
      <c r="DU102" s="12"/>
      <c r="DV102" s="12"/>
      <c r="DW102" s="12"/>
      <c r="DX102" s="12"/>
      <c r="DY102" s="12"/>
      <c r="DZ102" s="12"/>
      <c r="EA102" s="12"/>
      <c r="EB102" s="12"/>
      <c r="EC102" s="12"/>
      <c r="ED102" s="12"/>
      <c r="EE102" s="12"/>
      <c r="EF102" s="12"/>
      <c r="EG102" s="12"/>
      <c r="EH102" s="12"/>
      <c r="EI102" s="12"/>
      <c r="EJ102" s="12"/>
      <c r="EK102" s="12"/>
      <c r="EL102" s="12"/>
      <c r="EM102" s="12"/>
      <c r="EN102" s="12"/>
      <c r="EO102" s="12"/>
      <c r="EP102" s="12"/>
      <c r="EQ102" s="12"/>
      <c r="ER102" s="12"/>
      <c r="ES102" s="12"/>
      <c r="ET102" s="12"/>
      <c r="EU102" s="12"/>
      <c r="EV102" s="12"/>
      <c r="EW102" s="12"/>
      <c r="EX102" s="12"/>
      <c r="EY102" s="12"/>
      <c r="EZ102" s="12"/>
      <c r="FA102" s="12"/>
      <c r="FB102" s="12"/>
      <c r="FC102" s="12"/>
      <c r="FD102" s="12"/>
      <c r="FE102" s="12"/>
      <c r="FF102" s="12"/>
      <c r="FG102" s="12"/>
      <c r="FH102" s="12"/>
      <c r="FI102" s="12"/>
      <c r="FJ102" s="12"/>
      <c r="FK102" s="12"/>
      <c r="FL102" s="12"/>
      <c r="FM102" s="12"/>
      <c r="FN102" s="12"/>
      <c r="FO102" s="12"/>
      <c r="FP102" s="12"/>
      <c r="FQ102" s="12"/>
      <c r="FR102" s="12"/>
      <c r="FS102" s="12"/>
      <c r="FT102" s="12"/>
      <c r="FU102" s="12"/>
      <c r="FV102" s="12"/>
      <c r="FW102" s="12"/>
      <c r="FX102" s="12"/>
      <c r="FY102" s="12"/>
      <c r="FZ102" s="12"/>
      <c r="GA102" s="12"/>
      <c r="GB102" s="12"/>
      <c r="GC102" s="12"/>
      <c r="GD102" s="12"/>
      <c r="GE102" s="12"/>
      <c r="GF102" s="12"/>
      <c r="GG102" s="12"/>
      <c r="GH102" s="12"/>
      <c r="GI102" s="12"/>
      <c r="GJ102" s="12"/>
      <c r="GK102" s="12"/>
      <c r="GL102" s="12"/>
      <c r="GM102" s="12"/>
      <c r="GN102" s="12"/>
      <c r="GO102" s="12"/>
      <c r="GP102" s="12"/>
      <c r="GQ102" s="12"/>
      <c r="GR102" s="12"/>
      <c r="GS102" s="12"/>
      <c r="GT102" s="12"/>
      <c r="GU102" s="12"/>
      <c r="GV102" s="12"/>
      <c r="GW102" s="12"/>
      <c r="GX102" s="12"/>
      <c r="GY102" s="12"/>
      <c r="GZ102" s="12"/>
      <c r="HA102" s="12"/>
      <c r="HB102" s="12"/>
      <c r="HC102" s="12"/>
      <c r="HD102" s="12"/>
      <c r="HE102" s="12"/>
      <c r="HF102" s="12"/>
      <c r="HG102" s="12"/>
      <c r="HH102" s="12"/>
      <c r="HI102" s="12"/>
      <c r="HJ102" s="12"/>
      <c r="HK102" s="12"/>
      <c r="HL102" s="12"/>
      <c r="HM102" s="12"/>
      <c r="HN102" s="12"/>
      <c r="HO102" s="12"/>
      <c r="HP102" s="12"/>
      <c r="HQ102" s="12"/>
      <c r="HR102" s="12"/>
      <c r="HS102" s="12"/>
      <c r="HT102" s="12"/>
      <c r="HU102" s="12"/>
      <c r="HV102" s="12"/>
      <c r="HW102" s="12"/>
      <c r="HX102" s="12"/>
      <c r="HY102" s="12"/>
      <c r="HZ102" s="12"/>
      <c r="IA102" s="12"/>
      <c r="IB102" s="12"/>
      <c r="IC102" s="12"/>
      <c r="ID102" s="12"/>
      <c r="IE102" s="12"/>
      <c r="IF102" s="12"/>
      <c r="IG102" s="12"/>
      <c r="IH102" s="12"/>
      <c r="II102" s="12"/>
      <c r="IJ102" s="12"/>
      <c r="IK102" s="12"/>
      <c r="IL102" s="12"/>
      <c r="IM102" s="12"/>
      <c r="IN102" s="12"/>
      <c r="IO102" s="12"/>
      <c r="IP102" s="12"/>
      <c r="IQ102" s="12"/>
      <c r="IR102" s="12"/>
      <c r="IS102" s="12"/>
      <c r="IT102" s="12"/>
      <c r="IU102" s="12"/>
      <c r="IV102" s="12"/>
      <c r="IW102" s="12"/>
    </row>
    <row r="103" customFormat="false" ht="11.25" hidden="false" customHeight="false" outlineLevel="0" collapsed="false">
      <c r="A103" s="25" t="n">
        <f aca="false">DATE(YEAR(A102),MONTH(A102)+1,1)</f>
        <v>48853</v>
      </c>
      <c r="B103" s="21" t="n">
        <v>2.172</v>
      </c>
      <c r="C103" s="21" t="n">
        <v>2.202</v>
      </c>
      <c r="D103" s="25" t="n">
        <f aca="false">DATE(YEAR(D102),MONTH(D102)+1,1)</f>
        <v>48853</v>
      </c>
      <c r="E103" s="21" t="n">
        <v>18.778</v>
      </c>
      <c r="F103" s="21" t="n">
        <v>19.275</v>
      </c>
      <c r="G103" s="6"/>
      <c r="H103" s="22" t="n">
        <f aca="false">A103</f>
        <v>48853</v>
      </c>
      <c r="I103" s="23" t="n">
        <f aca="false">IF($J$1="bid",B103,C103)</f>
        <v>2.202</v>
      </c>
      <c r="J103" s="24" t="n">
        <f aca="false">D103</f>
        <v>48853</v>
      </c>
      <c r="K103" s="23" t="n">
        <f aca="false">IF($J$1="bid",E103,F103)</f>
        <v>19.275</v>
      </c>
      <c r="L103" s="11"/>
      <c r="M103" s="11"/>
      <c r="N103" s="11"/>
      <c r="O103" s="11"/>
      <c r="P103" s="11"/>
      <c r="Q103" s="11"/>
      <c r="R103" s="11"/>
      <c r="S103" s="11"/>
      <c r="T103" s="11"/>
      <c r="U103" s="11"/>
      <c r="V103" s="11"/>
      <c r="W103" s="11"/>
      <c r="X103" s="11"/>
      <c r="Y103" s="11"/>
      <c r="Z103" s="11"/>
      <c r="AA103" s="11"/>
      <c r="AB103" s="11"/>
      <c r="AC103" s="11"/>
      <c r="AD103" s="11"/>
      <c r="AE103" s="11"/>
      <c r="AF103" s="11"/>
      <c r="AG103" s="11"/>
      <c r="AH103" s="11"/>
      <c r="AI103" s="11"/>
      <c r="AJ103" s="11"/>
      <c r="AK103" s="11"/>
      <c r="AL103" s="11"/>
      <c r="AM103" s="11"/>
      <c r="AN103" s="11"/>
      <c r="AO103" s="11"/>
      <c r="AP103" s="11"/>
      <c r="AQ103" s="11"/>
      <c r="AR103" s="5"/>
      <c r="AS103" s="12"/>
      <c r="AT103" s="12"/>
      <c r="AU103" s="12"/>
      <c r="AV103" s="12"/>
      <c r="AW103" s="12"/>
      <c r="AX103" s="12"/>
      <c r="AY103" s="12"/>
      <c r="AZ103" s="12"/>
      <c r="BA103" s="12"/>
      <c r="BB103" s="12"/>
      <c r="BC103" s="12"/>
      <c r="BD103" s="12"/>
      <c r="BE103" s="12"/>
      <c r="BF103" s="12"/>
      <c r="BG103" s="12"/>
      <c r="BH103" s="12"/>
      <c r="BI103" s="12"/>
      <c r="BJ103" s="12"/>
      <c r="BK103" s="12"/>
      <c r="BL103" s="12"/>
      <c r="BM103" s="12"/>
      <c r="BN103" s="12"/>
      <c r="BO103" s="12"/>
      <c r="BP103" s="12"/>
      <c r="BQ103" s="12"/>
      <c r="BR103" s="12"/>
      <c r="BS103" s="12"/>
      <c r="BT103" s="12"/>
      <c r="BU103" s="12"/>
      <c r="BV103" s="12"/>
      <c r="BW103" s="12"/>
      <c r="BX103" s="12"/>
      <c r="BY103" s="12"/>
      <c r="BZ103" s="12"/>
      <c r="CA103" s="12"/>
      <c r="CB103" s="12"/>
      <c r="CC103" s="12"/>
      <c r="CD103" s="12"/>
      <c r="CE103" s="12"/>
      <c r="CF103" s="12"/>
      <c r="CG103" s="12"/>
      <c r="CH103" s="12"/>
      <c r="CI103" s="12"/>
      <c r="CJ103" s="12"/>
      <c r="CK103" s="12"/>
      <c r="CL103" s="12"/>
      <c r="CM103" s="12"/>
      <c r="CN103" s="12"/>
      <c r="CO103" s="12"/>
      <c r="CP103" s="12"/>
      <c r="CQ103" s="12"/>
      <c r="CR103" s="12"/>
      <c r="CS103" s="12"/>
      <c r="CT103" s="12"/>
      <c r="CU103" s="12"/>
      <c r="CV103" s="12"/>
      <c r="CW103" s="12"/>
      <c r="CX103" s="12"/>
      <c r="CY103" s="12"/>
      <c r="CZ103" s="12"/>
      <c r="DA103" s="12"/>
      <c r="DB103" s="12"/>
      <c r="DC103" s="12"/>
      <c r="DD103" s="12"/>
      <c r="DE103" s="12"/>
      <c r="DF103" s="12"/>
      <c r="DG103" s="12"/>
      <c r="DH103" s="12"/>
      <c r="DI103" s="12"/>
      <c r="DJ103" s="12"/>
      <c r="DK103" s="12"/>
      <c r="DL103" s="12"/>
      <c r="DM103" s="12"/>
      <c r="DN103" s="12"/>
      <c r="DO103" s="12"/>
      <c r="DP103" s="12"/>
      <c r="DQ103" s="12"/>
      <c r="DR103" s="12"/>
      <c r="DS103" s="12"/>
      <c r="DT103" s="12"/>
      <c r="DU103" s="12"/>
      <c r="DV103" s="12"/>
      <c r="DW103" s="12"/>
      <c r="DX103" s="12"/>
      <c r="DY103" s="12"/>
      <c r="DZ103" s="12"/>
      <c r="EA103" s="12"/>
      <c r="EB103" s="12"/>
      <c r="EC103" s="12"/>
      <c r="ED103" s="12"/>
      <c r="EE103" s="12"/>
      <c r="EF103" s="12"/>
      <c r="EG103" s="12"/>
      <c r="EH103" s="12"/>
      <c r="EI103" s="12"/>
      <c r="EJ103" s="12"/>
      <c r="EK103" s="12"/>
      <c r="EL103" s="12"/>
      <c r="EM103" s="12"/>
      <c r="EN103" s="12"/>
      <c r="EO103" s="12"/>
      <c r="EP103" s="12"/>
      <c r="EQ103" s="12"/>
      <c r="ER103" s="12"/>
      <c r="ES103" s="12"/>
      <c r="ET103" s="12"/>
      <c r="EU103" s="12"/>
      <c r="EV103" s="12"/>
      <c r="EW103" s="12"/>
      <c r="EX103" s="12"/>
      <c r="EY103" s="12"/>
      <c r="EZ103" s="12"/>
      <c r="FA103" s="12"/>
      <c r="FB103" s="12"/>
      <c r="FC103" s="12"/>
      <c r="FD103" s="12"/>
      <c r="FE103" s="12"/>
      <c r="FF103" s="12"/>
      <c r="FG103" s="12"/>
      <c r="FH103" s="12"/>
      <c r="FI103" s="12"/>
      <c r="FJ103" s="12"/>
      <c r="FK103" s="12"/>
      <c r="FL103" s="12"/>
      <c r="FM103" s="12"/>
      <c r="FN103" s="12"/>
      <c r="FO103" s="12"/>
      <c r="FP103" s="12"/>
      <c r="FQ103" s="12"/>
      <c r="FR103" s="12"/>
      <c r="FS103" s="12"/>
      <c r="FT103" s="12"/>
      <c r="FU103" s="12"/>
      <c r="FV103" s="12"/>
      <c r="FW103" s="12"/>
      <c r="FX103" s="12"/>
      <c r="FY103" s="12"/>
      <c r="FZ103" s="12"/>
      <c r="GA103" s="12"/>
      <c r="GB103" s="12"/>
      <c r="GC103" s="12"/>
      <c r="GD103" s="12"/>
      <c r="GE103" s="12"/>
      <c r="GF103" s="12"/>
      <c r="GG103" s="12"/>
      <c r="GH103" s="12"/>
      <c r="GI103" s="12"/>
      <c r="GJ103" s="12"/>
      <c r="GK103" s="12"/>
      <c r="GL103" s="12"/>
      <c r="GM103" s="12"/>
      <c r="GN103" s="12"/>
      <c r="GO103" s="12"/>
      <c r="GP103" s="12"/>
      <c r="GQ103" s="12"/>
      <c r="GR103" s="12"/>
      <c r="GS103" s="12"/>
      <c r="GT103" s="12"/>
      <c r="GU103" s="12"/>
      <c r="GV103" s="12"/>
      <c r="GW103" s="12"/>
      <c r="GX103" s="12"/>
      <c r="GY103" s="12"/>
      <c r="GZ103" s="12"/>
      <c r="HA103" s="12"/>
      <c r="HB103" s="12"/>
      <c r="HC103" s="12"/>
      <c r="HD103" s="12"/>
      <c r="HE103" s="12"/>
      <c r="HF103" s="12"/>
      <c r="HG103" s="12"/>
      <c r="HH103" s="12"/>
      <c r="HI103" s="12"/>
      <c r="HJ103" s="12"/>
      <c r="HK103" s="12"/>
      <c r="HL103" s="12"/>
      <c r="HM103" s="12"/>
      <c r="HN103" s="12"/>
      <c r="HO103" s="12"/>
      <c r="HP103" s="12"/>
      <c r="HQ103" s="12"/>
      <c r="HR103" s="12"/>
      <c r="HS103" s="12"/>
      <c r="HT103" s="12"/>
      <c r="HU103" s="12"/>
      <c r="HV103" s="12"/>
      <c r="HW103" s="12"/>
      <c r="HX103" s="12"/>
      <c r="HY103" s="12"/>
      <c r="HZ103" s="12"/>
      <c r="IA103" s="12"/>
      <c r="IB103" s="12"/>
      <c r="IC103" s="12"/>
      <c r="ID103" s="12"/>
      <c r="IE103" s="12"/>
      <c r="IF103" s="12"/>
      <c r="IG103" s="12"/>
      <c r="IH103" s="12"/>
      <c r="II103" s="12"/>
      <c r="IJ103" s="12"/>
      <c r="IK103" s="12"/>
      <c r="IL103" s="12"/>
      <c r="IM103" s="12"/>
      <c r="IN103" s="12"/>
      <c r="IO103" s="12"/>
      <c r="IP103" s="12"/>
      <c r="IQ103" s="12"/>
      <c r="IR103" s="12"/>
      <c r="IS103" s="12"/>
      <c r="IT103" s="12"/>
      <c r="IU103" s="12"/>
      <c r="IV103" s="12"/>
      <c r="IW103" s="12"/>
    </row>
    <row r="104" customFormat="false" ht="11.25" hidden="false" customHeight="false" outlineLevel="0" collapsed="false">
      <c r="A104" s="25" t="n">
        <f aca="false">DATE(YEAR(A103),MONTH(A103)+1,1)</f>
        <v>48884</v>
      </c>
      <c r="B104" s="21" t="n">
        <v>2.233</v>
      </c>
      <c r="C104" s="21" t="n">
        <v>2.273</v>
      </c>
      <c r="D104" s="25" t="n">
        <f aca="false">DATE(YEAR(D103),MONTH(D103)+1,1)</f>
        <v>48884</v>
      </c>
      <c r="E104" s="21" t="n">
        <v>18.787</v>
      </c>
      <c r="F104" s="21" t="n">
        <v>19.292</v>
      </c>
      <c r="G104" s="6"/>
      <c r="H104" s="22" t="n">
        <f aca="false">A104</f>
        <v>48884</v>
      </c>
      <c r="I104" s="23" t="n">
        <f aca="false">IF($J$1="bid",B104,C104)</f>
        <v>2.273</v>
      </c>
      <c r="J104" s="24" t="n">
        <f aca="false">D104</f>
        <v>48884</v>
      </c>
      <c r="K104" s="23" t="n">
        <f aca="false">IF($J$1="bid",E104,F104)</f>
        <v>19.292</v>
      </c>
      <c r="L104" s="11"/>
      <c r="M104" s="11"/>
      <c r="N104" s="11"/>
      <c r="O104" s="11"/>
      <c r="P104" s="11"/>
      <c r="Q104" s="11"/>
      <c r="R104" s="11"/>
      <c r="S104" s="11"/>
      <c r="T104" s="11"/>
      <c r="U104" s="11"/>
      <c r="V104" s="11"/>
      <c r="W104" s="11"/>
      <c r="X104" s="11"/>
      <c r="Y104" s="11"/>
      <c r="Z104" s="11"/>
      <c r="AA104" s="11"/>
      <c r="AB104" s="11"/>
      <c r="AC104" s="11"/>
      <c r="AD104" s="11"/>
      <c r="AE104" s="11"/>
      <c r="AF104" s="11"/>
      <c r="AG104" s="11"/>
      <c r="AH104" s="11"/>
      <c r="AI104" s="11"/>
      <c r="AJ104" s="11"/>
      <c r="AK104" s="11"/>
      <c r="AL104" s="11"/>
      <c r="AM104" s="11"/>
      <c r="AN104" s="11"/>
      <c r="AO104" s="11"/>
      <c r="AP104" s="11"/>
      <c r="AQ104" s="11"/>
      <c r="AR104" s="5"/>
      <c r="AS104" s="12"/>
      <c r="AT104" s="12"/>
      <c r="AU104" s="12"/>
      <c r="AV104" s="12"/>
      <c r="AW104" s="12"/>
      <c r="AX104" s="12"/>
      <c r="AY104" s="12"/>
      <c r="AZ104" s="12"/>
      <c r="BA104" s="12"/>
      <c r="BB104" s="12"/>
      <c r="BC104" s="12"/>
      <c r="BD104" s="12"/>
      <c r="BE104" s="12"/>
      <c r="BF104" s="12"/>
      <c r="BG104" s="12"/>
      <c r="BH104" s="12"/>
      <c r="BI104" s="12"/>
      <c r="BJ104" s="12"/>
      <c r="BK104" s="12"/>
      <c r="BL104" s="12"/>
      <c r="BM104" s="12"/>
      <c r="BN104" s="12"/>
      <c r="BO104" s="12"/>
      <c r="BP104" s="12"/>
      <c r="BQ104" s="12"/>
      <c r="BR104" s="12"/>
      <c r="BS104" s="12"/>
      <c r="BT104" s="12"/>
      <c r="BU104" s="12"/>
      <c r="BV104" s="12"/>
      <c r="BW104" s="12"/>
      <c r="BX104" s="12"/>
      <c r="BY104" s="12"/>
      <c r="BZ104" s="12"/>
      <c r="CA104" s="12"/>
      <c r="CB104" s="12"/>
      <c r="CC104" s="12"/>
      <c r="CD104" s="12"/>
      <c r="CE104" s="12"/>
      <c r="CF104" s="12"/>
      <c r="CG104" s="12"/>
      <c r="CH104" s="12"/>
      <c r="CI104" s="12"/>
      <c r="CJ104" s="12"/>
      <c r="CK104" s="12"/>
      <c r="CL104" s="12"/>
      <c r="CM104" s="12"/>
      <c r="CN104" s="12"/>
      <c r="CO104" s="12"/>
      <c r="CP104" s="12"/>
      <c r="CQ104" s="12"/>
      <c r="CR104" s="12"/>
      <c r="CS104" s="12"/>
      <c r="CT104" s="12"/>
      <c r="CU104" s="12"/>
      <c r="CV104" s="12"/>
      <c r="CW104" s="12"/>
      <c r="CX104" s="12"/>
      <c r="CY104" s="12"/>
      <c r="CZ104" s="12"/>
      <c r="DA104" s="12"/>
      <c r="DB104" s="12"/>
      <c r="DC104" s="12"/>
      <c r="DD104" s="12"/>
      <c r="DE104" s="12"/>
      <c r="DF104" s="12"/>
      <c r="DG104" s="12"/>
      <c r="DH104" s="12"/>
      <c r="DI104" s="12"/>
      <c r="DJ104" s="12"/>
      <c r="DK104" s="12"/>
      <c r="DL104" s="12"/>
      <c r="DM104" s="12"/>
      <c r="DN104" s="12"/>
      <c r="DO104" s="12"/>
      <c r="DP104" s="12"/>
      <c r="DQ104" s="12"/>
      <c r="DR104" s="12"/>
      <c r="DS104" s="12"/>
      <c r="DT104" s="12"/>
      <c r="DU104" s="12"/>
      <c r="DV104" s="12"/>
      <c r="DW104" s="12"/>
      <c r="DX104" s="12"/>
      <c r="DY104" s="12"/>
      <c r="DZ104" s="12"/>
      <c r="EA104" s="12"/>
      <c r="EB104" s="12"/>
      <c r="EC104" s="12"/>
      <c r="ED104" s="12"/>
      <c r="EE104" s="12"/>
      <c r="EF104" s="12"/>
      <c r="EG104" s="12"/>
      <c r="EH104" s="12"/>
      <c r="EI104" s="12"/>
      <c r="EJ104" s="12"/>
      <c r="EK104" s="12"/>
      <c r="EL104" s="12"/>
      <c r="EM104" s="12"/>
      <c r="EN104" s="12"/>
      <c r="EO104" s="12"/>
      <c r="EP104" s="12"/>
      <c r="EQ104" s="12"/>
      <c r="ER104" s="12"/>
      <c r="ES104" s="12"/>
      <c r="ET104" s="12"/>
      <c r="EU104" s="12"/>
      <c r="EV104" s="12"/>
      <c r="EW104" s="12"/>
      <c r="EX104" s="12"/>
      <c r="EY104" s="12"/>
      <c r="EZ104" s="12"/>
      <c r="FA104" s="12"/>
      <c r="FB104" s="12"/>
      <c r="FC104" s="12"/>
      <c r="FD104" s="12"/>
      <c r="FE104" s="12"/>
      <c r="FF104" s="12"/>
      <c r="FG104" s="12"/>
      <c r="FH104" s="12"/>
      <c r="FI104" s="12"/>
      <c r="FJ104" s="12"/>
      <c r="FK104" s="12"/>
      <c r="FL104" s="12"/>
      <c r="FM104" s="12"/>
      <c r="FN104" s="12"/>
      <c r="FO104" s="12"/>
      <c r="FP104" s="12"/>
      <c r="FQ104" s="12"/>
      <c r="FR104" s="12"/>
      <c r="FS104" s="12"/>
      <c r="FT104" s="12"/>
      <c r="FU104" s="12"/>
      <c r="FV104" s="12"/>
      <c r="FW104" s="12"/>
      <c r="FX104" s="12"/>
      <c r="FY104" s="12"/>
      <c r="FZ104" s="12"/>
      <c r="GA104" s="12"/>
      <c r="GB104" s="12"/>
      <c r="GC104" s="12"/>
      <c r="GD104" s="12"/>
      <c r="GE104" s="12"/>
      <c r="GF104" s="12"/>
      <c r="GG104" s="12"/>
      <c r="GH104" s="12"/>
      <c r="GI104" s="12"/>
      <c r="GJ104" s="12"/>
      <c r="GK104" s="12"/>
      <c r="GL104" s="12"/>
      <c r="GM104" s="12"/>
      <c r="GN104" s="12"/>
      <c r="GO104" s="12"/>
      <c r="GP104" s="12"/>
      <c r="GQ104" s="12"/>
      <c r="GR104" s="12"/>
      <c r="GS104" s="12"/>
      <c r="GT104" s="12"/>
      <c r="GU104" s="12"/>
      <c r="GV104" s="12"/>
      <c r="GW104" s="12"/>
      <c r="GX104" s="12"/>
      <c r="GY104" s="12"/>
      <c r="GZ104" s="12"/>
      <c r="HA104" s="12"/>
      <c r="HB104" s="12"/>
      <c r="HC104" s="12"/>
      <c r="HD104" s="12"/>
      <c r="HE104" s="12"/>
      <c r="HF104" s="12"/>
      <c r="HG104" s="12"/>
      <c r="HH104" s="12"/>
      <c r="HI104" s="12"/>
      <c r="HJ104" s="12"/>
      <c r="HK104" s="12"/>
      <c r="HL104" s="12"/>
      <c r="HM104" s="12"/>
      <c r="HN104" s="12"/>
      <c r="HO104" s="12"/>
      <c r="HP104" s="12"/>
      <c r="HQ104" s="12"/>
      <c r="HR104" s="12"/>
      <c r="HS104" s="12"/>
      <c r="HT104" s="12"/>
      <c r="HU104" s="12"/>
      <c r="HV104" s="12"/>
      <c r="HW104" s="12"/>
      <c r="HX104" s="12"/>
      <c r="HY104" s="12"/>
      <c r="HZ104" s="12"/>
      <c r="IA104" s="12"/>
      <c r="IB104" s="12"/>
      <c r="IC104" s="12"/>
      <c r="ID104" s="12"/>
      <c r="IE104" s="12"/>
      <c r="IF104" s="12"/>
      <c r="IG104" s="12"/>
      <c r="IH104" s="12"/>
      <c r="II104" s="12"/>
      <c r="IJ104" s="12"/>
      <c r="IK104" s="12"/>
      <c r="IL104" s="12"/>
      <c r="IM104" s="12"/>
      <c r="IN104" s="12"/>
      <c r="IO104" s="12"/>
      <c r="IP104" s="12"/>
      <c r="IQ104" s="12"/>
      <c r="IR104" s="12"/>
      <c r="IS104" s="12"/>
      <c r="IT104" s="12"/>
      <c r="IU104" s="12"/>
      <c r="IV104" s="12"/>
      <c r="IW104" s="12"/>
    </row>
    <row r="105" customFormat="false" ht="11.25" hidden="false" customHeight="false" outlineLevel="0" collapsed="false">
      <c r="A105" s="25" t="n">
        <f aca="false">DATE(YEAR(A104),MONTH(A104)+1,1)</f>
        <v>48914</v>
      </c>
      <c r="B105" s="21" t="n">
        <v>2.148</v>
      </c>
      <c r="C105" s="21" t="n">
        <v>2.188</v>
      </c>
      <c r="D105" s="25" t="n">
        <f aca="false">DATE(YEAR(D104),MONTH(D104)+1,1)</f>
        <v>48914</v>
      </c>
      <c r="E105" s="21" t="n">
        <v>18.796</v>
      </c>
      <c r="F105" s="21" t="n">
        <v>19.309</v>
      </c>
      <c r="G105" s="6"/>
      <c r="H105" s="22" t="n">
        <f aca="false">A105</f>
        <v>48914</v>
      </c>
      <c r="I105" s="23" t="n">
        <f aca="false">IF($J$1="bid",B105,C105)</f>
        <v>2.188</v>
      </c>
      <c r="J105" s="24" t="n">
        <f aca="false">D105</f>
        <v>48914</v>
      </c>
      <c r="K105" s="23" t="n">
        <f aca="false">IF($J$1="bid",E105,F105)</f>
        <v>19.309</v>
      </c>
      <c r="L105" s="11"/>
      <c r="M105" s="11"/>
      <c r="N105" s="11"/>
      <c r="O105" s="11"/>
      <c r="P105" s="11"/>
      <c r="Q105" s="11"/>
      <c r="R105" s="11"/>
      <c r="S105" s="11"/>
      <c r="T105" s="11"/>
      <c r="U105" s="11"/>
      <c r="V105" s="11"/>
      <c r="W105" s="11"/>
      <c r="X105" s="11"/>
      <c r="Y105" s="11"/>
      <c r="Z105" s="11"/>
      <c r="AA105" s="11"/>
      <c r="AB105" s="11"/>
      <c r="AC105" s="11"/>
      <c r="AD105" s="11"/>
      <c r="AE105" s="11"/>
      <c r="AF105" s="11"/>
      <c r="AG105" s="11"/>
      <c r="AH105" s="11"/>
      <c r="AI105" s="11"/>
      <c r="AJ105" s="11"/>
      <c r="AK105" s="11"/>
      <c r="AL105" s="11"/>
      <c r="AM105" s="11"/>
      <c r="AN105" s="11"/>
      <c r="AO105" s="11"/>
      <c r="AP105" s="11"/>
      <c r="AQ105" s="11"/>
      <c r="AR105" s="5"/>
      <c r="AS105" s="12"/>
      <c r="AT105" s="12"/>
      <c r="AU105" s="12"/>
      <c r="AV105" s="12"/>
      <c r="AW105" s="12"/>
      <c r="AX105" s="12"/>
      <c r="AY105" s="12"/>
      <c r="AZ105" s="12"/>
      <c r="BA105" s="12"/>
      <c r="BB105" s="12"/>
      <c r="BC105" s="12"/>
      <c r="BD105" s="12"/>
      <c r="BE105" s="12"/>
      <c r="BF105" s="12"/>
      <c r="BG105" s="12"/>
      <c r="BH105" s="12"/>
      <c r="BI105" s="12"/>
      <c r="BJ105" s="12"/>
      <c r="BK105" s="12"/>
      <c r="BL105" s="12"/>
      <c r="BM105" s="12"/>
      <c r="BN105" s="12"/>
      <c r="BO105" s="12"/>
      <c r="BP105" s="12"/>
      <c r="BQ105" s="12"/>
      <c r="BR105" s="12"/>
      <c r="BS105" s="12"/>
      <c r="BT105" s="12"/>
      <c r="BU105" s="12"/>
      <c r="BV105" s="12"/>
      <c r="BW105" s="12"/>
      <c r="BX105" s="12"/>
      <c r="BY105" s="12"/>
      <c r="BZ105" s="12"/>
      <c r="CA105" s="12"/>
      <c r="CB105" s="12"/>
      <c r="CC105" s="12"/>
      <c r="CD105" s="12"/>
      <c r="CE105" s="12"/>
      <c r="CF105" s="12"/>
      <c r="CG105" s="12"/>
      <c r="CH105" s="12"/>
      <c r="CI105" s="12"/>
      <c r="CJ105" s="12"/>
      <c r="CK105" s="12"/>
      <c r="CL105" s="12"/>
      <c r="CM105" s="12"/>
      <c r="CN105" s="12"/>
      <c r="CO105" s="12"/>
      <c r="CP105" s="12"/>
      <c r="CQ105" s="12"/>
      <c r="CR105" s="12"/>
      <c r="CS105" s="12"/>
      <c r="CT105" s="12"/>
      <c r="CU105" s="12"/>
      <c r="CV105" s="12"/>
      <c r="CW105" s="12"/>
      <c r="CX105" s="12"/>
      <c r="CY105" s="12"/>
      <c r="CZ105" s="12"/>
      <c r="DA105" s="12"/>
      <c r="DB105" s="12"/>
      <c r="DC105" s="12"/>
      <c r="DD105" s="12"/>
      <c r="DE105" s="12"/>
      <c r="DF105" s="12"/>
      <c r="DG105" s="12"/>
      <c r="DH105" s="12"/>
      <c r="DI105" s="12"/>
      <c r="DJ105" s="12"/>
      <c r="DK105" s="12"/>
      <c r="DL105" s="12"/>
      <c r="DM105" s="12"/>
      <c r="DN105" s="12"/>
      <c r="DO105" s="12"/>
      <c r="DP105" s="12"/>
      <c r="DQ105" s="12"/>
      <c r="DR105" s="12"/>
      <c r="DS105" s="12"/>
      <c r="DT105" s="12"/>
      <c r="DU105" s="12"/>
      <c r="DV105" s="12"/>
      <c r="DW105" s="12"/>
      <c r="DX105" s="12"/>
      <c r="DY105" s="12"/>
      <c r="DZ105" s="12"/>
      <c r="EA105" s="12"/>
      <c r="EB105" s="12"/>
      <c r="EC105" s="12"/>
      <c r="ED105" s="12"/>
      <c r="EE105" s="12"/>
      <c r="EF105" s="12"/>
      <c r="EG105" s="12"/>
      <c r="EH105" s="12"/>
      <c r="EI105" s="12"/>
      <c r="EJ105" s="12"/>
      <c r="EK105" s="12"/>
      <c r="EL105" s="12"/>
      <c r="EM105" s="12"/>
      <c r="EN105" s="12"/>
      <c r="EO105" s="12"/>
      <c r="EP105" s="12"/>
      <c r="EQ105" s="12"/>
      <c r="ER105" s="12"/>
      <c r="ES105" s="12"/>
      <c r="ET105" s="12"/>
      <c r="EU105" s="12"/>
      <c r="EV105" s="12"/>
      <c r="EW105" s="12"/>
      <c r="EX105" s="12"/>
      <c r="EY105" s="12"/>
      <c r="EZ105" s="12"/>
      <c r="FA105" s="12"/>
      <c r="FB105" s="12"/>
      <c r="FC105" s="12"/>
      <c r="FD105" s="12"/>
      <c r="FE105" s="12"/>
      <c r="FF105" s="12"/>
      <c r="FG105" s="12"/>
      <c r="FH105" s="12"/>
      <c r="FI105" s="12"/>
      <c r="FJ105" s="12"/>
      <c r="FK105" s="12"/>
      <c r="FL105" s="12"/>
      <c r="FM105" s="12"/>
      <c r="FN105" s="12"/>
      <c r="FO105" s="12"/>
      <c r="FP105" s="12"/>
      <c r="FQ105" s="12"/>
      <c r="FR105" s="12"/>
      <c r="FS105" s="12"/>
      <c r="FT105" s="12"/>
      <c r="FU105" s="12"/>
      <c r="FV105" s="12"/>
      <c r="FW105" s="12"/>
      <c r="FX105" s="12"/>
      <c r="FY105" s="12"/>
      <c r="FZ105" s="12"/>
      <c r="GA105" s="12"/>
      <c r="GB105" s="12"/>
      <c r="GC105" s="12"/>
      <c r="GD105" s="12"/>
      <c r="GE105" s="12"/>
      <c r="GF105" s="12"/>
      <c r="GG105" s="12"/>
      <c r="GH105" s="12"/>
      <c r="GI105" s="12"/>
      <c r="GJ105" s="12"/>
      <c r="GK105" s="12"/>
      <c r="GL105" s="12"/>
      <c r="GM105" s="12"/>
      <c r="GN105" s="12"/>
      <c r="GO105" s="12"/>
      <c r="GP105" s="12"/>
      <c r="GQ105" s="12"/>
      <c r="GR105" s="12"/>
      <c r="GS105" s="12"/>
      <c r="GT105" s="12"/>
      <c r="GU105" s="12"/>
      <c r="GV105" s="12"/>
      <c r="GW105" s="12"/>
      <c r="GX105" s="12"/>
      <c r="GY105" s="12"/>
      <c r="GZ105" s="12"/>
      <c r="HA105" s="12"/>
      <c r="HB105" s="12"/>
      <c r="HC105" s="12"/>
      <c r="HD105" s="12"/>
      <c r="HE105" s="12"/>
      <c r="HF105" s="12"/>
      <c r="HG105" s="12"/>
      <c r="HH105" s="12"/>
      <c r="HI105" s="12"/>
      <c r="HJ105" s="12"/>
      <c r="HK105" s="12"/>
      <c r="HL105" s="12"/>
      <c r="HM105" s="12"/>
      <c r="HN105" s="12"/>
      <c r="HO105" s="12"/>
      <c r="HP105" s="12"/>
      <c r="HQ105" s="12"/>
      <c r="HR105" s="12"/>
      <c r="HS105" s="12"/>
      <c r="HT105" s="12"/>
      <c r="HU105" s="12"/>
      <c r="HV105" s="12"/>
      <c r="HW105" s="12"/>
      <c r="HX105" s="12"/>
      <c r="HY105" s="12"/>
      <c r="HZ105" s="12"/>
      <c r="IA105" s="12"/>
      <c r="IB105" s="12"/>
      <c r="IC105" s="12"/>
      <c r="ID105" s="12"/>
      <c r="IE105" s="12"/>
      <c r="IF105" s="12"/>
      <c r="IG105" s="12"/>
      <c r="IH105" s="12"/>
      <c r="II105" s="12"/>
      <c r="IJ105" s="12"/>
      <c r="IK105" s="12"/>
      <c r="IL105" s="12"/>
      <c r="IM105" s="12"/>
      <c r="IN105" s="12"/>
      <c r="IO105" s="12"/>
      <c r="IP105" s="12"/>
      <c r="IQ105" s="12"/>
      <c r="IR105" s="12"/>
      <c r="IS105" s="12"/>
      <c r="IT105" s="12"/>
      <c r="IU105" s="12"/>
      <c r="IV105" s="12"/>
      <c r="IW105" s="12"/>
    </row>
    <row r="106" customFormat="false" ht="11.25" hidden="false" customHeight="false" outlineLevel="0" collapsed="false">
      <c r="A106" s="25" t="n">
        <f aca="false">DATE(YEAR(A105),MONTH(A105)+1,1)</f>
        <v>48945</v>
      </c>
      <c r="B106" s="21" t="n">
        <v>2.082</v>
      </c>
      <c r="C106" s="21" t="n">
        <v>2.122</v>
      </c>
      <c r="D106" s="25" t="n">
        <f aca="false">DATE(YEAR(D105),MONTH(D105)+1,1)</f>
        <v>48945</v>
      </c>
      <c r="E106" s="21" t="n">
        <v>18.805</v>
      </c>
      <c r="F106" s="21" t="n">
        <v>19.327</v>
      </c>
      <c r="G106" s="6"/>
      <c r="H106" s="22" t="n">
        <f aca="false">A106</f>
        <v>48945</v>
      </c>
      <c r="I106" s="23" t="n">
        <f aca="false">IF($J$1="bid",B106,C106)</f>
        <v>2.122</v>
      </c>
      <c r="J106" s="24" t="n">
        <f aca="false">D106</f>
        <v>48945</v>
      </c>
      <c r="K106" s="23" t="n">
        <f aca="false">IF($J$1="bid",E106,F106)</f>
        <v>19.327</v>
      </c>
      <c r="L106" s="11"/>
      <c r="M106" s="11"/>
      <c r="N106" s="11"/>
      <c r="O106" s="11"/>
      <c r="P106" s="11"/>
      <c r="Q106" s="11"/>
      <c r="R106" s="11"/>
      <c r="S106" s="11"/>
      <c r="T106" s="11"/>
      <c r="U106" s="11"/>
      <c r="V106" s="11"/>
      <c r="W106" s="11"/>
      <c r="X106" s="11"/>
      <c r="Y106" s="11"/>
      <c r="Z106" s="11"/>
      <c r="AA106" s="11"/>
      <c r="AB106" s="11"/>
      <c r="AC106" s="11"/>
      <c r="AD106" s="11"/>
      <c r="AE106" s="11"/>
      <c r="AF106" s="11"/>
      <c r="AG106" s="11"/>
      <c r="AH106" s="11"/>
      <c r="AI106" s="11"/>
      <c r="AJ106" s="11"/>
      <c r="AK106" s="11"/>
      <c r="AL106" s="11"/>
      <c r="AM106" s="11"/>
      <c r="AN106" s="11"/>
      <c r="AO106" s="11"/>
      <c r="AP106" s="11"/>
      <c r="AQ106" s="11"/>
      <c r="AR106" s="5"/>
      <c r="AS106" s="12"/>
      <c r="AT106" s="12"/>
      <c r="AU106" s="12"/>
      <c r="AV106" s="12"/>
      <c r="AW106" s="12"/>
      <c r="AX106" s="12"/>
      <c r="AY106" s="12"/>
      <c r="AZ106" s="12"/>
      <c r="BA106" s="12"/>
      <c r="BB106" s="12"/>
      <c r="BC106" s="12"/>
      <c r="BD106" s="12"/>
      <c r="BE106" s="12"/>
      <c r="BF106" s="12"/>
      <c r="BG106" s="12"/>
      <c r="BH106" s="12"/>
      <c r="BI106" s="12"/>
      <c r="BJ106" s="12"/>
      <c r="BK106" s="12"/>
      <c r="BL106" s="12"/>
      <c r="BM106" s="12"/>
      <c r="BN106" s="12"/>
      <c r="BO106" s="12"/>
      <c r="BP106" s="12"/>
      <c r="BQ106" s="12"/>
      <c r="BR106" s="12"/>
      <c r="BS106" s="12"/>
      <c r="BT106" s="12"/>
      <c r="BU106" s="12"/>
      <c r="BV106" s="12"/>
      <c r="BW106" s="12"/>
      <c r="BX106" s="12"/>
      <c r="BY106" s="12"/>
      <c r="BZ106" s="12"/>
      <c r="CA106" s="12"/>
      <c r="CB106" s="12"/>
      <c r="CC106" s="12"/>
      <c r="CD106" s="12"/>
      <c r="CE106" s="12"/>
      <c r="CF106" s="12"/>
      <c r="CG106" s="12"/>
      <c r="CH106" s="12"/>
      <c r="CI106" s="12"/>
      <c r="CJ106" s="12"/>
      <c r="CK106" s="12"/>
      <c r="CL106" s="12"/>
      <c r="CM106" s="12"/>
      <c r="CN106" s="12"/>
      <c r="CO106" s="12"/>
      <c r="CP106" s="12"/>
      <c r="CQ106" s="12"/>
      <c r="CR106" s="12"/>
      <c r="CS106" s="12"/>
      <c r="CT106" s="12"/>
      <c r="CU106" s="12"/>
      <c r="CV106" s="12"/>
      <c r="CW106" s="12"/>
      <c r="CX106" s="12"/>
      <c r="CY106" s="12"/>
      <c r="CZ106" s="12"/>
      <c r="DA106" s="12"/>
      <c r="DB106" s="12"/>
      <c r="DC106" s="12"/>
      <c r="DD106" s="12"/>
      <c r="DE106" s="12"/>
      <c r="DF106" s="12"/>
      <c r="DG106" s="12"/>
      <c r="DH106" s="12"/>
      <c r="DI106" s="12"/>
      <c r="DJ106" s="12"/>
      <c r="DK106" s="12"/>
      <c r="DL106" s="12"/>
      <c r="DM106" s="12"/>
      <c r="DN106" s="12"/>
      <c r="DO106" s="12"/>
      <c r="DP106" s="12"/>
      <c r="DQ106" s="12"/>
      <c r="DR106" s="12"/>
      <c r="DS106" s="12"/>
      <c r="DT106" s="12"/>
      <c r="DU106" s="12"/>
      <c r="DV106" s="12"/>
      <c r="DW106" s="12"/>
      <c r="DX106" s="12"/>
      <c r="DY106" s="12"/>
      <c r="DZ106" s="12"/>
      <c r="EA106" s="12"/>
      <c r="EB106" s="12"/>
      <c r="EC106" s="12"/>
      <c r="ED106" s="12"/>
      <c r="EE106" s="12"/>
      <c r="EF106" s="12"/>
      <c r="EG106" s="12"/>
      <c r="EH106" s="12"/>
      <c r="EI106" s="12"/>
      <c r="EJ106" s="12"/>
      <c r="EK106" s="12"/>
      <c r="EL106" s="12"/>
      <c r="EM106" s="12"/>
      <c r="EN106" s="12"/>
      <c r="EO106" s="12"/>
      <c r="EP106" s="12"/>
      <c r="EQ106" s="12"/>
      <c r="ER106" s="12"/>
      <c r="ES106" s="12"/>
      <c r="ET106" s="12"/>
      <c r="EU106" s="12"/>
      <c r="EV106" s="12"/>
      <c r="EW106" s="12"/>
      <c r="EX106" s="12"/>
      <c r="EY106" s="12"/>
      <c r="EZ106" s="12"/>
      <c r="FA106" s="12"/>
      <c r="FB106" s="12"/>
      <c r="FC106" s="12"/>
      <c r="FD106" s="12"/>
      <c r="FE106" s="12"/>
      <c r="FF106" s="12"/>
      <c r="FG106" s="12"/>
      <c r="FH106" s="12"/>
      <c r="FI106" s="12"/>
      <c r="FJ106" s="12"/>
      <c r="FK106" s="12"/>
      <c r="FL106" s="12"/>
      <c r="FM106" s="12"/>
      <c r="FN106" s="12"/>
      <c r="FO106" s="12"/>
      <c r="FP106" s="12"/>
      <c r="FQ106" s="12"/>
      <c r="FR106" s="12"/>
      <c r="FS106" s="12"/>
      <c r="FT106" s="12"/>
      <c r="FU106" s="12"/>
      <c r="FV106" s="12"/>
      <c r="FW106" s="12"/>
      <c r="FX106" s="12"/>
      <c r="FY106" s="12"/>
      <c r="FZ106" s="12"/>
      <c r="GA106" s="12"/>
      <c r="GB106" s="12"/>
      <c r="GC106" s="12"/>
      <c r="GD106" s="12"/>
      <c r="GE106" s="12"/>
      <c r="GF106" s="12"/>
      <c r="GG106" s="12"/>
      <c r="GH106" s="12"/>
      <c r="GI106" s="12"/>
      <c r="GJ106" s="12"/>
      <c r="GK106" s="12"/>
      <c r="GL106" s="12"/>
      <c r="GM106" s="12"/>
      <c r="GN106" s="12"/>
      <c r="GO106" s="12"/>
      <c r="GP106" s="12"/>
      <c r="GQ106" s="12"/>
      <c r="GR106" s="12"/>
      <c r="GS106" s="12"/>
      <c r="GT106" s="12"/>
      <c r="GU106" s="12"/>
      <c r="GV106" s="12"/>
      <c r="GW106" s="12"/>
      <c r="GX106" s="12"/>
      <c r="GY106" s="12"/>
      <c r="GZ106" s="12"/>
      <c r="HA106" s="12"/>
      <c r="HB106" s="12"/>
      <c r="HC106" s="12"/>
      <c r="HD106" s="12"/>
      <c r="HE106" s="12"/>
      <c r="HF106" s="12"/>
      <c r="HG106" s="12"/>
      <c r="HH106" s="12"/>
      <c r="HI106" s="12"/>
      <c r="HJ106" s="12"/>
      <c r="HK106" s="12"/>
      <c r="HL106" s="12"/>
      <c r="HM106" s="12"/>
      <c r="HN106" s="12"/>
      <c r="HO106" s="12"/>
      <c r="HP106" s="12"/>
      <c r="HQ106" s="12"/>
      <c r="HR106" s="12"/>
      <c r="HS106" s="12"/>
      <c r="HT106" s="12"/>
      <c r="HU106" s="12"/>
      <c r="HV106" s="12"/>
      <c r="HW106" s="12"/>
      <c r="HX106" s="12"/>
      <c r="HY106" s="12"/>
      <c r="HZ106" s="12"/>
      <c r="IA106" s="12"/>
      <c r="IB106" s="12"/>
      <c r="IC106" s="12"/>
      <c r="ID106" s="12"/>
      <c r="IE106" s="12"/>
      <c r="IF106" s="12"/>
      <c r="IG106" s="12"/>
      <c r="IH106" s="12"/>
      <c r="II106" s="12"/>
      <c r="IJ106" s="12"/>
      <c r="IK106" s="12"/>
      <c r="IL106" s="12"/>
      <c r="IM106" s="12"/>
      <c r="IN106" s="12"/>
      <c r="IO106" s="12"/>
      <c r="IP106" s="12"/>
      <c r="IQ106" s="12"/>
      <c r="IR106" s="12"/>
      <c r="IS106" s="12"/>
      <c r="IT106" s="12"/>
      <c r="IU106" s="12"/>
      <c r="IV106" s="12"/>
      <c r="IW106" s="12"/>
    </row>
    <row r="107" customFormat="false" ht="11.25" hidden="false" customHeight="false" outlineLevel="0" collapsed="false">
      <c r="A107" s="25" t="n">
        <f aca="false">DATE(YEAR(A106),MONTH(A106)+1,1)</f>
        <v>48976</v>
      </c>
      <c r="B107" s="21" t="n">
        <v>2.033</v>
      </c>
      <c r="C107" s="21" t="n">
        <v>2.073</v>
      </c>
      <c r="D107" s="25" t="n">
        <f aca="false">DATE(YEAR(D106),MONTH(D106)+1,1)</f>
        <v>48976</v>
      </c>
      <c r="E107" s="21" t="n">
        <v>18.814</v>
      </c>
      <c r="F107" s="21" t="n">
        <v>19.344</v>
      </c>
      <c r="G107" s="6"/>
      <c r="H107" s="22" t="n">
        <f aca="false">A107</f>
        <v>48976</v>
      </c>
      <c r="I107" s="23" t="n">
        <f aca="false">IF($J$1="bid",B107,C107)</f>
        <v>2.073</v>
      </c>
      <c r="J107" s="24" t="n">
        <f aca="false">D107</f>
        <v>48976</v>
      </c>
      <c r="K107" s="23" t="n">
        <f aca="false">IF($J$1="bid",E107,F107)</f>
        <v>19.344</v>
      </c>
      <c r="L107" s="11"/>
      <c r="M107" s="11"/>
      <c r="N107" s="11"/>
      <c r="O107" s="11"/>
      <c r="P107" s="11"/>
      <c r="Q107" s="11"/>
      <c r="R107" s="11"/>
      <c r="S107" s="11"/>
      <c r="T107" s="11"/>
      <c r="U107" s="11"/>
      <c r="V107" s="11"/>
      <c r="W107" s="11"/>
      <c r="X107" s="11"/>
      <c r="Y107" s="11"/>
      <c r="Z107" s="11"/>
      <c r="AA107" s="11"/>
      <c r="AB107" s="11"/>
      <c r="AC107" s="11"/>
      <c r="AD107" s="11"/>
      <c r="AE107" s="11"/>
      <c r="AF107" s="11"/>
      <c r="AG107" s="11"/>
      <c r="AH107" s="11"/>
      <c r="AI107" s="11"/>
      <c r="AJ107" s="11"/>
      <c r="AK107" s="11"/>
      <c r="AL107" s="11"/>
      <c r="AM107" s="11"/>
      <c r="AN107" s="11"/>
      <c r="AO107" s="11"/>
      <c r="AP107" s="11"/>
      <c r="AQ107" s="11"/>
      <c r="AR107" s="5"/>
      <c r="AS107" s="12"/>
      <c r="AT107" s="12"/>
      <c r="AU107" s="12"/>
      <c r="AV107" s="12"/>
      <c r="AW107" s="12"/>
      <c r="AX107" s="12"/>
      <c r="AY107" s="12"/>
      <c r="AZ107" s="12"/>
      <c r="BA107" s="12"/>
      <c r="BB107" s="12"/>
      <c r="BC107" s="12"/>
      <c r="BD107" s="12"/>
      <c r="BE107" s="12"/>
      <c r="BF107" s="12"/>
      <c r="BG107" s="12"/>
      <c r="BH107" s="12"/>
      <c r="BI107" s="12"/>
      <c r="BJ107" s="12"/>
      <c r="BK107" s="12"/>
      <c r="BL107" s="12"/>
      <c r="BM107" s="12"/>
      <c r="BN107" s="12"/>
      <c r="BO107" s="12"/>
      <c r="BP107" s="12"/>
      <c r="BQ107" s="12"/>
      <c r="BR107" s="12"/>
      <c r="BS107" s="12"/>
      <c r="BT107" s="12"/>
      <c r="BU107" s="12"/>
      <c r="BV107" s="12"/>
      <c r="BW107" s="12"/>
      <c r="BX107" s="12"/>
      <c r="BY107" s="12"/>
      <c r="BZ107" s="12"/>
      <c r="CA107" s="12"/>
      <c r="CB107" s="12"/>
      <c r="CC107" s="12"/>
      <c r="CD107" s="12"/>
      <c r="CE107" s="12"/>
      <c r="CF107" s="12"/>
      <c r="CG107" s="12"/>
      <c r="CH107" s="12"/>
      <c r="CI107" s="12"/>
      <c r="CJ107" s="12"/>
      <c r="CK107" s="12"/>
      <c r="CL107" s="12"/>
      <c r="CM107" s="12"/>
      <c r="CN107" s="12"/>
      <c r="CO107" s="12"/>
      <c r="CP107" s="12"/>
      <c r="CQ107" s="12"/>
      <c r="CR107" s="12"/>
      <c r="CS107" s="12"/>
      <c r="CT107" s="12"/>
      <c r="CU107" s="12"/>
      <c r="CV107" s="12"/>
      <c r="CW107" s="12"/>
      <c r="CX107" s="12"/>
      <c r="CY107" s="12"/>
      <c r="CZ107" s="12"/>
      <c r="DA107" s="12"/>
      <c r="DB107" s="12"/>
      <c r="DC107" s="12"/>
      <c r="DD107" s="12"/>
      <c r="DE107" s="12"/>
      <c r="DF107" s="12"/>
      <c r="DG107" s="12"/>
      <c r="DH107" s="12"/>
      <c r="DI107" s="12"/>
      <c r="DJ107" s="12"/>
      <c r="DK107" s="12"/>
      <c r="DL107" s="12"/>
      <c r="DM107" s="12"/>
      <c r="DN107" s="12"/>
      <c r="DO107" s="12"/>
      <c r="DP107" s="12"/>
      <c r="DQ107" s="12"/>
      <c r="DR107" s="12"/>
      <c r="DS107" s="12"/>
      <c r="DT107" s="12"/>
      <c r="DU107" s="12"/>
      <c r="DV107" s="12"/>
      <c r="DW107" s="12"/>
      <c r="DX107" s="12"/>
      <c r="DY107" s="12"/>
      <c r="DZ107" s="12"/>
      <c r="EA107" s="12"/>
      <c r="EB107" s="12"/>
      <c r="EC107" s="12"/>
      <c r="ED107" s="12"/>
      <c r="EE107" s="12"/>
      <c r="EF107" s="12"/>
      <c r="EG107" s="12"/>
      <c r="EH107" s="12"/>
      <c r="EI107" s="12"/>
      <c r="EJ107" s="12"/>
      <c r="EK107" s="12"/>
      <c r="EL107" s="12"/>
      <c r="EM107" s="12"/>
      <c r="EN107" s="12"/>
      <c r="EO107" s="12"/>
      <c r="EP107" s="12"/>
      <c r="EQ107" s="12"/>
      <c r="ER107" s="12"/>
      <c r="ES107" s="12"/>
      <c r="ET107" s="12"/>
      <c r="EU107" s="12"/>
      <c r="EV107" s="12"/>
      <c r="EW107" s="12"/>
      <c r="EX107" s="12"/>
      <c r="EY107" s="12"/>
      <c r="EZ107" s="12"/>
      <c r="FA107" s="12"/>
      <c r="FB107" s="12"/>
      <c r="FC107" s="12"/>
      <c r="FD107" s="12"/>
      <c r="FE107" s="12"/>
      <c r="FF107" s="12"/>
      <c r="FG107" s="12"/>
      <c r="FH107" s="12"/>
      <c r="FI107" s="12"/>
      <c r="FJ107" s="12"/>
      <c r="FK107" s="12"/>
      <c r="FL107" s="12"/>
      <c r="FM107" s="12"/>
      <c r="FN107" s="12"/>
      <c r="FO107" s="12"/>
      <c r="FP107" s="12"/>
      <c r="FQ107" s="12"/>
      <c r="FR107" s="12"/>
      <c r="FS107" s="12"/>
      <c r="FT107" s="12"/>
      <c r="FU107" s="12"/>
      <c r="FV107" s="12"/>
      <c r="FW107" s="12"/>
      <c r="FX107" s="12"/>
      <c r="FY107" s="12"/>
      <c r="FZ107" s="12"/>
      <c r="GA107" s="12"/>
      <c r="GB107" s="12"/>
      <c r="GC107" s="12"/>
      <c r="GD107" s="12"/>
      <c r="GE107" s="12"/>
      <c r="GF107" s="12"/>
      <c r="GG107" s="12"/>
      <c r="GH107" s="12"/>
      <c r="GI107" s="12"/>
      <c r="GJ107" s="12"/>
      <c r="GK107" s="12"/>
      <c r="GL107" s="12"/>
      <c r="GM107" s="12"/>
      <c r="GN107" s="12"/>
      <c r="GO107" s="12"/>
      <c r="GP107" s="12"/>
      <c r="GQ107" s="12"/>
      <c r="GR107" s="12"/>
      <c r="GS107" s="12"/>
      <c r="GT107" s="12"/>
      <c r="GU107" s="12"/>
      <c r="GV107" s="12"/>
      <c r="GW107" s="12"/>
      <c r="GX107" s="12"/>
      <c r="GY107" s="12"/>
      <c r="GZ107" s="12"/>
      <c r="HA107" s="12"/>
      <c r="HB107" s="12"/>
      <c r="HC107" s="12"/>
      <c r="HD107" s="12"/>
      <c r="HE107" s="12"/>
      <c r="HF107" s="12"/>
      <c r="HG107" s="12"/>
      <c r="HH107" s="12"/>
      <c r="HI107" s="12"/>
      <c r="HJ107" s="12"/>
      <c r="HK107" s="12"/>
      <c r="HL107" s="12"/>
      <c r="HM107" s="12"/>
      <c r="HN107" s="12"/>
      <c r="HO107" s="12"/>
      <c r="HP107" s="12"/>
      <c r="HQ107" s="12"/>
      <c r="HR107" s="12"/>
      <c r="HS107" s="12"/>
      <c r="HT107" s="12"/>
      <c r="HU107" s="12"/>
      <c r="HV107" s="12"/>
      <c r="HW107" s="12"/>
      <c r="HX107" s="12"/>
      <c r="HY107" s="12"/>
      <c r="HZ107" s="12"/>
      <c r="IA107" s="12"/>
      <c r="IB107" s="12"/>
      <c r="IC107" s="12"/>
      <c r="ID107" s="12"/>
      <c r="IE107" s="12"/>
      <c r="IF107" s="12"/>
      <c r="IG107" s="12"/>
      <c r="IH107" s="12"/>
      <c r="II107" s="12"/>
      <c r="IJ107" s="12"/>
      <c r="IK107" s="12"/>
      <c r="IL107" s="12"/>
      <c r="IM107" s="12"/>
      <c r="IN107" s="12"/>
      <c r="IO107" s="12"/>
      <c r="IP107" s="12"/>
      <c r="IQ107" s="12"/>
      <c r="IR107" s="12"/>
      <c r="IS107" s="12"/>
      <c r="IT107" s="12"/>
      <c r="IU107" s="12"/>
      <c r="IV107" s="12"/>
      <c r="IW107" s="12"/>
    </row>
    <row r="108" customFormat="false" ht="11.25" hidden="false" customHeight="false" outlineLevel="0" collapsed="false">
      <c r="A108" s="25" t="n">
        <f aca="false">DATE(YEAR(A107),MONTH(A107)+1,1)</f>
        <v>49004</v>
      </c>
      <c r="B108" s="21" t="n">
        <v>2.02</v>
      </c>
      <c r="C108" s="21" t="n">
        <v>2.06</v>
      </c>
      <c r="D108" s="25" t="n">
        <f aca="false">DATE(YEAR(D107),MONTH(D107)+1,1)</f>
        <v>49004</v>
      </c>
      <c r="E108" s="21" t="n">
        <v>18.823</v>
      </c>
      <c r="F108" s="21" t="n">
        <v>19.361</v>
      </c>
      <c r="G108" s="6"/>
      <c r="H108" s="22" t="n">
        <f aca="false">A108</f>
        <v>49004</v>
      </c>
      <c r="I108" s="23" t="n">
        <f aca="false">IF($J$1="bid",B108,C108)</f>
        <v>2.06</v>
      </c>
      <c r="J108" s="24" t="n">
        <f aca="false">D108</f>
        <v>49004</v>
      </c>
      <c r="K108" s="23" t="n">
        <f aca="false">IF($J$1="bid",E108,F108)</f>
        <v>19.361</v>
      </c>
      <c r="L108" s="11"/>
      <c r="M108" s="11"/>
      <c r="N108" s="11"/>
      <c r="O108" s="11"/>
      <c r="P108" s="11"/>
      <c r="Q108" s="11"/>
      <c r="R108" s="11"/>
      <c r="S108" s="11"/>
      <c r="T108" s="11"/>
      <c r="U108" s="11"/>
      <c r="V108" s="11"/>
      <c r="W108" s="11"/>
      <c r="X108" s="11"/>
      <c r="Y108" s="11"/>
      <c r="Z108" s="11"/>
      <c r="AA108" s="11"/>
      <c r="AB108" s="11"/>
      <c r="AC108" s="11"/>
      <c r="AD108" s="11"/>
      <c r="AE108" s="11"/>
      <c r="AF108" s="11"/>
      <c r="AG108" s="11"/>
      <c r="AH108" s="11"/>
      <c r="AI108" s="11"/>
      <c r="AJ108" s="11"/>
      <c r="AK108" s="11"/>
      <c r="AL108" s="11"/>
      <c r="AM108" s="11"/>
      <c r="AN108" s="11"/>
      <c r="AO108" s="11"/>
      <c r="AP108" s="11"/>
      <c r="AQ108" s="11"/>
      <c r="AR108" s="5"/>
      <c r="AS108" s="12"/>
      <c r="AT108" s="12"/>
      <c r="AU108" s="12"/>
      <c r="AV108" s="12"/>
      <c r="AW108" s="12"/>
      <c r="AX108" s="12"/>
      <c r="AY108" s="12"/>
      <c r="AZ108" s="12"/>
      <c r="BA108" s="12"/>
      <c r="BB108" s="12"/>
      <c r="BC108" s="12"/>
      <c r="BD108" s="12"/>
      <c r="BE108" s="12"/>
      <c r="BF108" s="12"/>
      <c r="BG108" s="12"/>
      <c r="BH108" s="12"/>
      <c r="BI108" s="12"/>
      <c r="BJ108" s="12"/>
      <c r="BK108" s="12"/>
      <c r="BL108" s="12"/>
      <c r="BM108" s="12"/>
      <c r="BN108" s="12"/>
      <c r="BO108" s="12"/>
      <c r="BP108" s="12"/>
      <c r="BQ108" s="12"/>
      <c r="BR108" s="12"/>
      <c r="BS108" s="12"/>
      <c r="BT108" s="12"/>
      <c r="BU108" s="12"/>
      <c r="BV108" s="12"/>
      <c r="BW108" s="12"/>
      <c r="BX108" s="12"/>
      <c r="BY108" s="12"/>
      <c r="BZ108" s="12"/>
      <c r="CA108" s="12"/>
      <c r="CB108" s="12"/>
      <c r="CC108" s="12"/>
      <c r="CD108" s="12"/>
      <c r="CE108" s="12"/>
      <c r="CF108" s="12"/>
      <c r="CG108" s="12"/>
      <c r="CH108" s="12"/>
      <c r="CI108" s="12"/>
      <c r="CJ108" s="12"/>
      <c r="CK108" s="12"/>
      <c r="CL108" s="12"/>
      <c r="CM108" s="12"/>
      <c r="CN108" s="12"/>
      <c r="CO108" s="12"/>
      <c r="CP108" s="12"/>
      <c r="CQ108" s="12"/>
      <c r="CR108" s="12"/>
      <c r="CS108" s="12"/>
      <c r="CT108" s="12"/>
      <c r="CU108" s="12"/>
      <c r="CV108" s="12"/>
      <c r="CW108" s="12"/>
      <c r="CX108" s="12"/>
      <c r="CY108" s="12"/>
      <c r="CZ108" s="12"/>
      <c r="DA108" s="12"/>
      <c r="DB108" s="12"/>
      <c r="DC108" s="12"/>
      <c r="DD108" s="12"/>
      <c r="DE108" s="12"/>
      <c r="DF108" s="12"/>
      <c r="DG108" s="12"/>
      <c r="DH108" s="12"/>
      <c r="DI108" s="12"/>
      <c r="DJ108" s="12"/>
      <c r="DK108" s="12"/>
      <c r="DL108" s="12"/>
      <c r="DM108" s="12"/>
      <c r="DN108" s="12"/>
      <c r="DO108" s="12"/>
      <c r="DP108" s="12"/>
      <c r="DQ108" s="12"/>
      <c r="DR108" s="12"/>
      <c r="DS108" s="12"/>
      <c r="DT108" s="12"/>
      <c r="DU108" s="12"/>
      <c r="DV108" s="12"/>
      <c r="DW108" s="12"/>
      <c r="DX108" s="12"/>
      <c r="DY108" s="12"/>
      <c r="DZ108" s="12"/>
      <c r="EA108" s="12"/>
      <c r="EB108" s="12"/>
      <c r="EC108" s="12"/>
      <c r="ED108" s="12"/>
      <c r="EE108" s="12"/>
      <c r="EF108" s="12"/>
      <c r="EG108" s="12"/>
      <c r="EH108" s="12"/>
      <c r="EI108" s="12"/>
      <c r="EJ108" s="12"/>
      <c r="EK108" s="12"/>
      <c r="EL108" s="12"/>
      <c r="EM108" s="12"/>
      <c r="EN108" s="12"/>
      <c r="EO108" s="12"/>
      <c r="EP108" s="12"/>
      <c r="EQ108" s="12"/>
      <c r="ER108" s="12"/>
      <c r="ES108" s="12"/>
      <c r="ET108" s="12"/>
      <c r="EU108" s="12"/>
      <c r="EV108" s="12"/>
      <c r="EW108" s="12"/>
      <c r="EX108" s="12"/>
      <c r="EY108" s="12"/>
      <c r="EZ108" s="12"/>
      <c r="FA108" s="12"/>
      <c r="FB108" s="12"/>
      <c r="FC108" s="12"/>
      <c r="FD108" s="12"/>
      <c r="FE108" s="12"/>
      <c r="FF108" s="12"/>
      <c r="FG108" s="12"/>
      <c r="FH108" s="12"/>
      <c r="FI108" s="12"/>
      <c r="FJ108" s="12"/>
      <c r="FK108" s="12"/>
      <c r="FL108" s="12"/>
      <c r="FM108" s="12"/>
      <c r="FN108" s="12"/>
      <c r="FO108" s="12"/>
      <c r="FP108" s="12"/>
      <c r="FQ108" s="12"/>
      <c r="FR108" s="12"/>
      <c r="FS108" s="12"/>
      <c r="FT108" s="12"/>
      <c r="FU108" s="12"/>
      <c r="FV108" s="12"/>
      <c r="FW108" s="12"/>
      <c r="FX108" s="12"/>
      <c r="FY108" s="12"/>
      <c r="FZ108" s="12"/>
      <c r="GA108" s="12"/>
      <c r="GB108" s="12"/>
      <c r="GC108" s="12"/>
      <c r="GD108" s="12"/>
      <c r="GE108" s="12"/>
      <c r="GF108" s="12"/>
      <c r="GG108" s="12"/>
      <c r="GH108" s="12"/>
      <c r="GI108" s="12"/>
      <c r="GJ108" s="12"/>
      <c r="GK108" s="12"/>
      <c r="GL108" s="12"/>
      <c r="GM108" s="12"/>
      <c r="GN108" s="12"/>
      <c r="GO108" s="12"/>
      <c r="GP108" s="12"/>
      <c r="GQ108" s="12"/>
      <c r="GR108" s="12"/>
      <c r="GS108" s="12"/>
      <c r="GT108" s="12"/>
      <c r="GU108" s="12"/>
      <c r="GV108" s="12"/>
      <c r="GW108" s="12"/>
      <c r="GX108" s="12"/>
      <c r="GY108" s="12"/>
      <c r="GZ108" s="12"/>
      <c r="HA108" s="12"/>
      <c r="HB108" s="12"/>
      <c r="HC108" s="12"/>
      <c r="HD108" s="12"/>
      <c r="HE108" s="12"/>
      <c r="HF108" s="12"/>
      <c r="HG108" s="12"/>
      <c r="HH108" s="12"/>
      <c r="HI108" s="12"/>
      <c r="HJ108" s="12"/>
      <c r="HK108" s="12"/>
      <c r="HL108" s="12"/>
      <c r="HM108" s="12"/>
      <c r="HN108" s="12"/>
      <c r="HO108" s="12"/>
      <c r="HP108" s="12"/>
      <c r="HQ108" s="12"/>
      <c r="HR108" s="12"/>
      <c r="HS108" s="12"/>
      <c r="HT108" s="12"/>
      <c r="HU108" s="12"/>
      <c r="HV108" s="12"/>
      <c r="HW108" s="12"/>
      <c r="HX108" s="12"/>
      <c r="HY108" s="12"/>
      <c r="HZ108" s="12"/>
      <c r="IA108" s="12"/>
      <c r="IB108" s="12"/>
      <c r="IC108" s="12"/>
      <c r="ID108" s="12"/>
      <c r="IE108" s="12"/>
      <c r="IF108" s="12"/>
      <c r="IG108" s="12"/>
      <c r="IH108" s="12"/>
      <c r="II108" s="12"/>
      <c r="IJ108" s="12"/>
      <c r="IK108" s="12"/>
      <c r="IL108" s="12"/>
      <c r="IM108" s="12"/>
      <c r="IN108" s="12"/>
      <c r="IO108" s="12"/>
      <c r="IP108" s="12"/>
      <c r="IQ108" s="12"/>
      <c r="IR108" s="12"/>
      <c r="IS108" s="12"/>
      <c r="IT108" s="12"/>
      <c r="IU108" s="12"/>
      <c r="IV108" s="12"/>
      <c r="IW108" s="12"/>
    </row>
    <row r="109" customFormat="false" ht="11.25" hidden="false" customHeight="false" outlineLevel="0" collapsed="false">
      <c r="A109" s="25" t="n">
        <f aca="false">DATE(YEAR(A108),MONTH(A108)+1,1)</f>
        <v>49035</v>
      </c>
      <c r="B109" s="21" t="n">
        <v>2.028</v>
      </c>
      <c r="C109" s="21" t="n">
        <v>2.068</v>
      </c>
      <c r="D109" s="25" t="n">
        <f aca="false">DATE(YEAR(D108),MONTH(D108)+1,1)</f>
        <v>49035</v>
      </c>
      <c r="E109" s="21" t="n">
        <v>18.833</v>
      </c>
      <c r="F109" s="21" t="n">
        <v>19.38</v>
      </c>
      <c r="G109" s="6"/>
      <c r="H109" s="22" t="n">
        <f aca="false">A109</f>
        <v>49035</v>
      </c>
      <c r="I109" s="23" t="n">
        <f aca="false">IF($J$1="bid",B109,C109)</f>
        <v>2.068</v>
      </c>
      <c r="J109" s="24" t="n">
        <f aca="false">D109</f>
        <v>49035</v>
      </c>
      <c r="K109" s="23" t="n">
        <f aca="false">IF($J$1="bid",E109,F109)</f>
        <v>19.38</v>
      </c>
      <c r="L109" s="11"/>
      <c r="M109" s="11"/>
      <c r="N109" s="11"/>
      <c r="O109" s="11"/>
      <c r="P109" s="11"/>
      <c r="Q109" s="11"/>
      <c r="R109" s="11"/>
      <c r="S109" s="11"/>
      <c r="T109" s="11"/>
      <c r="U109" s="11"/>
      <c r="V109" s="11"/>
      <c r="W109" s="11"/>
      <c r="X109" s="11"/>
      <c r="Y109" s="11"/>
      <c r="Z109" s="11"/>
      <c r="AA109" s="11"/>
      <c r="AB109" s="11"/>
      <c r="AC109" s="11"/>
      <c r="AD109" s="11"/>
      <c r="AE109" s="11"/>
      <c r="AF109" s="11"/>
      <c r="AG109" s="11"/>
      <c r="AH109" s="11"/>
      <c r="AI109" s="11"/>
      <c r="AJ109" s="11"/>
      <c r="AK109" s="11"/>
      <c r="AL109" s="11"/>
      <c r="AM109" s="11"/>
      <c r="AN109" s="11"/>
      <c r="AO109" s="11"/>
      <c r="AP109" s="11"/>
      <c r="AQ109" s="11"/>
      <c r="AR109" s="5"/>
      <c r="AS109" s="12"/>
      <c r="AT109" s="12"/>
      <c r="AU109" s="12"/>
      <c r="AV109" s="12"/>
      <c r="AW109" s="12"/>
      <c r="AX109" s="12"/>
      <c r="AY109" s="12"/>
      <c r="AZ109" s="12"/>
      <c r="BA109" s="12"/>
      <c r="BB109" s="12"/>
      <c r="BC109" s="12"/>
      <c r="BD109" s="12"/>
      <c r="BE109" s="12"/>
      <c r="BF109" s="12"/>
      <c r="BG109" s="12"/>
      <c r="BH109" s="12"/>
      <c r="BI109" s="12"/>
      <c r="BJ109" s="12"/>
      <c r="BK109" s="12"/>
      <c r="BL109" s="12"/>
      <c r="BM109" s="12"/>
      <c r="BN109" s="12"/>
      <c r="BO109" s="12"/>
      <c r="BP109" s="12"/>
      <c r="BQ109" s="12"/>
      <c r="BR109" s="12"/>
      <c r="BS109" s="12"/>
      <c r="BT109" s="12"/>
      <c r="BU109" s="12"/>
      <c r="BV109" s="12"/>
      <c r="BW109" s="12"/>
      <c r="BX109" s="12"/>
      <c r="BY109" s="12"/>
      <c r="BZ109" s="12"/>
      <c r="CA109" s="12"/>
      <c r="CB109" s="12"/>
      <c r="CC109" s="12"/>
      <c r="CD109" s="12"/>
      <c r="CE109" s="12"/>
      <c r="CF109" s="12"/>
      <c r="CG109" s="12"/>
      <c r="CH109" s="12"/>
      <c r="CI109" s="12"/>
      <c r="CJ109" s="12"/>
      <c r="CK109" s="12"/>
      <c r="CL109" s="12"/>
      <c r="CM109" s="12"/>
      <c r="CN109" s="12"/>
      <c r="CO109" s="12"/>
      <c r="CP109" s="12"/>
      <c r="CQ109" s="12"/>
      <c r="CR109" s="12"/>
      <c r="CS109" s="12"/>
      <c r="CT109" s="12"/>
      <c r="CU109" s="12"/>
      <c r="CV109" s="12"/>
      <c r="CW109" s="12"/>
      <c r="CX109" s="12"/>
      <c r="CY109" s="12"/>
      <c r="CZ109" s="12"/>
      <c r="DA109" s="12"/>
      <c r="DB109" s="12"/>
      <c r="DC109" s="12"/>
      <c r="DD109" s="12"/>
      <c r="DE109" s="12"/>
      <c r="DF109" s="12"/>
      <c r="DG109" s="12"/>
      <c r="DH109" s="12"/>
      <c r="DI109" s="12"/>
      <c r="DJ109" s="12"/>
      <c r="DK109" s="12"/>
      <c r="DL109" s="12"/>
      <c r="DM109" s="12"/>
      <c r="DN109" s="12"/>
      <c r="DO109" s="12"/>
      <c r="DP109" s="12"/>
      <c r="DQ109" s="12"/>
      <c r="DR109" s="12"/>
      <c r="DS109" s="12"/>
      <c r="DT109" s="12"/>
      <c r="DU109" s="12"/>
      <c r="DV109" s="12"/>
      <c r="DW109" s="12"/>
      <c r="DX109" s="12"/>
      <c r="DY109" s="12"/>
      <c r="DZ109" s="12"/>
      <c r="EA109" s="12"/>
      <c r="EB109" s="12"/>
      <c r="EC109" s="12"/>
      <c r="ED109" s="12"/>
      <c r="EE109" s="12"/>
      <c r="EF109" s="12"/>
      <c r="EG109" s="12"/>
      <c r="EH109" s="12"/>
      <c r="EI109" s="12"/>
      <c r="EJ109" s="12"/>
      <c r="EK109" s="12"/>
      <c r="EL109" s="12"/>
      <c r="EM109" s="12"/>
      <c r="EN109" s="12"/>
      <c r="EO109" s="12"/>
      <c r="EP109" s="12"/>
      <c r="EQ109" s="12"/>
      <c r="ER109" s="12"/>
      <c r="ES109" s="12"/>
      <c r="ET109" s="12"/>
      <c r="EU109" s="12"/>
      <c r="EV109" s="12"/>
      <c r="EW109" s="12"/>
      <c r="EX109" s="12"/>
      <c r="EY109" s="12"/>
      <c r="EZ109" s="12"/>
      <c r="FA109" s="12"/>
      <c r="FB109" s="12"/>
      <c r="FC109" s="12"/>
      <c r="FD109" s="12"/>
      <c r="FE109" s="12"/>
      <c r="FF109" s="12"/>
      <c r="FG109" s="12"/>
      <c r="FH109" s="12"/>
      <c r="FI109" s="12"/>
      <c r="FJ109" s="12"/>
      <c r="FK109" s="12"/>
      <c r="FL109" s="12"/>
      <c r="FM109" s="12"/>
      <c r="FN109" s="12"/>
      <c r="FO109" s="12"/>
      <c r="FP109" s="12"/>
      <c r="FQ109" s="12"/>
      <c r="FR109" s="12"/>
      <c r="FS109" s="12"/>
      <c r="FT109" s="12"/>
      <c r="FU109" s="12"/>
      <c r="FV109" s="12"/>
      <c r="FW109" s="12"/>
      <c r="FX109" s="12"/>
      <c r="FY109" s="12"/>
      <c r="FZ109" s="12"/>
      <c r="GA109" s="12"/>
      <c r="GB109" s="12"/>
      <c r="GC109" s="12"/>
      <c r="GD109" s="12"/>
      <c r="GE109" s="12"/>
      <c r="GF109" s="12"/>
      <c r="GG109" s="12"/>
      <c r="GH109" s="12"/>
      <c r="GI109" s="12"/>
      <c r="GJ109" s="12"/>
      <c r="GK109" s="12"/>
      <c r="GL109" s="12"/>
      <c r="GM109" s="12"/>
      <c r="GN109" s="12"/>
      <c r="GO109" s="12"/>
      <c r="GP109" s="12"/>
      <c r="GQ109" s="12"/>
      <c r="GR109" s="12"/>
      <c r="GS109" s="12"/>
      <c r="GT109" s="12"/>
      <c r="GU109" s="12"/>
      <c r="GV109" s="12"/>
      <c r="GW109" s="12"/>
      <c r="GX109" s="12"/>
      <c r="GY109" s="12"/>
      <c r="GZ109" s="12"/>
      <c r="HA109" s="12"/>
      <c r="HB109" s="12"/>
      <c r="HC109" s="12"/>
      <c r="HD109" s="12"/>
      <c r="HE109" s="12"/>
      <c r="HF109" s="12"/>
      <c r="HG109" s="12"/>
      <c r="HH109" s="12"/>
      <c r="HI109" s="12"/>
      <c r="HJ109" s="12"/>
      <c r="HK109" s="12"/>
      <c r="HL109" s="12"/>
      <c r="HM109" s="12"/>
      <c r="HN109" s="12"/>
      <c r="HO109" s="12"/>
      <c r="HP109" s="12"/>
      <c r="HQ109" s="12"/>
      <c r="HR109" s="12"/>
      <c r="HS109" s="12"/>
      <c r="HT109" s="12"/>
      <c r="HU109" s="12"/>
      <c r="HV109" s="12"/>
      <c r="HW109" s="12"/>
      <c r="HX109" s="12"/>
      <c r="HY109" s="12"/>
      <c r="HZ109" s="12"/>
      <c r="IA109" s="12"/>
      <c r="IB109" s="12"/>
      <c r="IC109" s="12"/>
      <c r="ID109" s="12"/>
      <c r="IE109" s="12"/>
      <c r="IF109" s="12"/>
      <c r="IG109" s="12"/>
      <c r="IH109" s="12"/>
      <c r="II109" s="12"/>
      <c r="IJ109" s="12"/>
      <c r="IK109" s="12"/>
      <c r="IL109" s="12"/>
      <c r="IM109" s="12"/>
      <c r="IN109" s="12"/>
      <c r="IO109" s="12"/>
      <c r="IP109" s="12"/>
      <c r="IQ109" s="12"/>
      <c r="IR109" s="12"/>
      <c r="IS109" s="12"/>
      <c r="IT109" s="12"/>
      <c r="IU109" s="12"/>
      <c r="IV109" s="12"/>
      <c r="IW109" s="12"/>
    </row>
    <row r="110" customFormat="false" ht="11.25" hidden="false" customHeight="false" outlineLevel="0" collapsed="false">
      <c r="A110" s="25" t="n">
        <f aca="false">DATE(YEAR(A109),MONTH(A109)+1,1)</f>
        <v>49065</v>
      </c>
      <c r="B110" s="21" t="n">
        <v>2.02</v>
      </c>
      <c r="C110" s="21" t="n">
        <v>2.06</v>
      </c>
      <c r="D110" s="25" t="n">
        <f aca="false">DATE(YEAR(D109),MONTH(D109)+1,1)</f>
        <v>49065</v>
      </c>
      <c r="E110" s="21" t="n">
        <v>18.841</v>
      </c>
      <c r="F110" s="21" t="n">
        <v>19.396</v>
      </c>
      <c r="G110" s="6"/>
      <c r="H110" s="22" t="n">
        <f aca="false">A110</f>
        <v>49065</v>
      </c>
      <c r="I110" s="23" t="n">
        <f aca="false">IF($J$1="bid",B110,C110)</f>
        <v>2.06</v>
      </c>
      <c r="J110" s="24" t="n">
        <f aca="false">D110</f>
        <v>49065</v>
      </c>
      <c r="K110" s="23" t="n">
        <f aca="false">IF($J$1="bid",E110,F110)</f>
        <v>19.396</v>
      </c>
      <c r="L110" s="11"/>
      <c r="M110" s="11"/>
      <c r="N110" s="11"/>
      <c r="O110" s="11"/>
      <c r="P110" s="11"/>
      <c r="Q110" s="11"/>
      <c r="R110" s="11"/>
      <c r="S110" s="11"/>
      <c r="T110" s="11"/>
      <c r="U110" s="11"/>
      <c r="V110" s="11"/>
      <c r="W110" s="11"/>
      <c r="X110" s="11"/>
      <c r="Y110" s="11"/>
      <c r="Z110" s="11"/>
      <c r="AA110" s="11"/>
      <c r="AB110" s="11"/>
      <c r="AC110" s="11"/>
      <c r="AD110" s="11"/>
      <c r="AE110" s="11"/>
      <c r="AF110" s="11"/>
      <c r="AG110" s="11"/>
      <c r="AH110" s="11"/>
      <c r="AI110" s="11"/>
      <c r="AJ110" s="11"/>
      <c r="AK110" s="11"/>
      <c r="AL110" s="11"/>
      <c r="AM110" s="11"/>
      <c r="AN110" s="11"/>
      <c r="AO110" s="11"/>
      <c r="AP110" s="11"/>
      <c r="AQ110" s="11"/>
      <c r="AR110" s="5"/>
      <c r="AS110" s="12"/>
      <c r="AT110" s="12"/>
      <c r="AU110" s="12"/>
      <c r="AV110" s="12"/>
      <c r="AW110" s="12"/>
      <c r="AX110" s="12"/>
      <c r="AY110" s="12"/>
      <c r="AZ110" s="12"/>
      <c r="BA110" s="12"/>
      <c r="BB110" s="12"/>
      <c r="BC110" s="12"/>
      <c r="BD110" s="12"/>
      <c r="BE110" s="12"/>
      <c r="BF110" s="12"/>
      <c r="BG110" s="12"/>
      <c r="BH110" s="12"/>
      <c r="BI110" s="12"/>
      <c r="BJ110" s="12"/>
      <c r="BK110" s="12"/>
      <c r="BL110" s="12"/>
      <c r="BM110" s="12"/>
      <c r="BN110" s="12"/>
      <c r="BO110" s="12"/>
      <c r="BP110" s="12"/>
      <c r="BQ110" s="12"/>
      <c r="BR110" s="12"/>
      <c r="BS110" s="12"/>
      <c r="BT110" s="12"/>
      <c r="BU110" s="12"/>
      <c r="BV110" s="12"/>
      <c r="BW110" s="12"/>
      <c r="BX110" s="12"/>
      <c r="BY110" s="12"/>
      <c r="BZ110" s="12"/>
      <c r="CA110" s="12"/>
      <c r="CB110" s="12"/>
      <c r="CC110" s="12"/>
      <c r="CD110" s="12"/>
      <c r="CE110" s="12"/>
      <c r="CF110" s="12"/>
      <c r="CG110" s="12"/>
      <c r="CH110" s="12"/>
      <c r="CI110" s="12"/>
      <c r="CJ110" s="12"/>
      <c r="CK110" s="12"/>
      <c r="CL110" s="12"/>
      <c r="CM110" s="12"/>
      <c r="CN110" s="12"/>
      <c r="CO110" s="12"/>
      <c r="CP110" s="12"/>
      <c r="CQ110" s="12"/>
      <c r="CR110" s="12"/>
      <c r="CS110" s="12"/>
      <c r="CT110" s="12"/>
      <c r="CU110" s="12"/>
      <c r="CV110" s="12"/>
      <c r="CW110" s="12"/>
      <c r="CX110" s="12"/>
      <c r="CY110" s="12"/>
      <c r="CZ110" s="12"/>
      <c r="DA110" s="12"/>
      <c r="DB110" s="12"/>
      <c r="DC110" s="12"/>
      <c r="DD110" s="12"/>
      <c r="DE110" s="12"/>
      <c r="DF110" s="12"/>
      <c r="DG110" s="12"/>
      <c r="DH110" s="12"/>
      <c r="DI110" s="12"/>
      <c r="DJ110" s="12"/>
      <c r="DK110" s="12"/>
      <c r="DL110" s="12"/>
      <c r="DM110" s="12"/>
      <c r="DN110" s="12"/>
      <c r="DO110" s="12"/>
      <c r="DP110" s="12"/>
      <c r="DQ110" s="12"/>
      <c r="DR110" s="12"/>
      <c r="DS110" s="12"/>
      <c r="DT110" s="12"/>
      <c r="DU110" s="12"/>
      <c r="DV110" s="12"/>
      <c r="DW110" s="12"/>
      <c r="DX110" s="12"/>
      <c r="DY110" s="12"/>
      <c r="DZ110" s="12"/>
      <c r="EA110" s="12"/>
      <c r="EB110" s="12"/>
      <c r="EC110" s="12"/>
      <c r="ED110" s="12"/>
      <c r="EE110" s="12"/>
      <c r="EF110" s="12"/>
      <c r="EG110" s="12"/>
      <c r="EH110" s="12"/>
      <c r="EI110" s="12"/>
      <c r="EJ110" s="12"/>
      <c r="EK110" s="12"/>
      <c r="EL110" s="12"/>
      <c r="EM110" s="12"/>
      <c r="EN110" s="12"/>
      <c r="EO110" s="12"/>
      <c r="EP110" s="12"/>
      <c r="EQ110" s="12"/>
      <c r="ER110" s="12"/>
      <c r="ES110" s="12"/>
      <c r="ET110" s="12"/>
      <c r="EU110" s="12"/>
      <c r="EV110" s="12"/>
      <c r="EW110" s="12"/>
      <c r="EX110" s="12"/>
      <c r="EY110" s="12"/>
      <c r="EZ110" s="12"/>
      <c r="FA110" s="12"/>
      <c r="FB110" s="12"/>
      <c r="FC110" s="12"/>
      <c r="FD110" s="12"/>
      <c r="FE110" s="12"/>
      <c r="FF110" s="12"/>
      <c r="FG110" s="12"/>
      <c r="FH110" s="12"/>
      <c r="FI110" s="12"/>
      <c r="FJ110" s="12"/>
      <c r="FK110" s="12"/>
      <c r="FL110" s="12"/>
      <c r="FM110" s="12"/>
      <c r="FN110" s="12"/>
      <c r="FO110" s="12"/>
      <c r="FP110" s="12"/>
      <c r="FQ110" s="12"/>
      <c r="FR110" s="12"/>
      <c r="FS110" s="12"/>
      <c r="FT110" s="12"/>
      <c r="FU110" s="12"/>
      <c r="FV110" s="12"/>
      <c r="FW110" s="12"/>
      <c r="FX110" s="12"/>
      <c r="FY110" s="12"/>
      <c r="FZ110" s="12"/>
      <c r="GA110" s="12"/>
      <c r="GB110" s="12"/>
      <c r="GC110" s="12"/>
      <c r="GD110" s="12"/>
      <c r="GE110" s="12"/>
      <c r="GF110" s="12"/>
      <c r="GG110" s="12"/>
      <c r="GH110" s="12"/>
      <c r="GI110" s="12"/>
      <c r="GJ110" s="12"/>
      <c r="GK110" s="12"/>
      <c r="GL110" s="12"/>
      <c r="GM110" s="12"/>
      <c r="GN110" s="12"/>
      <c r="GO110" s="12"/>
      <c r="GP110" s="12"/>
      <c r="GQ110" s="12"/>
      <c r="GR110" s="12"/>
      <c r="GS110" s="12"/>
      <c r="GT110" s="12"/>
      <c r="GU110" s="12"/>
      <c r="GV110" s="12"/>
      <c r="GW110" s="12"/>
      <c r="GX110" s="12"/>
      <c r="GY110" s="12"/>
      <c r="GZ110" s="12"/>
      <c r="HA110" s="12"/>
      <c r="HB110" s="12"/>
      <c r="HC110" s="12"/>
      <c r="HD110" s="12"/>
      <c r="HE110" s="12"/>
      <c r="HF110" s="12"/>
      <c r="HG110" s="12"/>
      <c r="HH110" s="12"/>
      <c r="HI110" s="12"/>
      <c r="HJ110" s="12"/>
      <c r="HK110" s="12"/>
      <c r="HL110" s="12"/>
      <c r="HM110" s="12"/>
      <c r="HN110" s="12"/>
      <c r="HO110" s="12"/>
      <c r="HP110" s="12"/>
      <c r="HQ110" s="12"/>
      <c r="HR110" s="12"/>
      <c r="HS110" s="12"/>
      <c r="HT110" s="12"/>
      <c r="HU110" s="12"/>
      <c r="HV110" s="12"/>
      <c r="HW110" s="12"/>
      <c r="HX110" s="12"/>
      <c r="HY110" s="12"/>
      <c r="HZ110" s="12"/>
      <c r="IA110" s="12"/>
      <c r="IB110" s="12"/>
      <c r="IC110" s="12"/>
      <c r="ID110" s="12"/>
      <c r="IE110" s="12"/>
      <c r="IF110" s="12"/>
      <c r="IG110" s="12"/>
      <c r="IH110" s="12"/>
      <c r="II110" s="12"/>
      <c r="IJ110" s="12"/>
      <c r="IK110" s="12"/>
      <c r="IL110" s="12"/>
      <c r="IM110" s="12"/>
      <c r="IN110" s="12"/>
      <c r="IO110" s="12"/>
      <c r="IP110" s="12"/>
      <c r="IQ110" s="12"/>
      <c r="IR110" s="12"/>
      <c r="IS110" s="12"/>
      <c r="IT110" s="12"/>
      <c r="IU110" s="12"/>
      <c r="IV110" s="12"/>
      <c r="IW110" s="12"/>
    </row>
    <row r="111" customFormat="false" ht="11.25" hidden="false" customHeight="false" outlineLevel="0" collapsed="false">
      <c r="A111" s="25" t="n">
        <f aca="false">DATE(YEAR(A110),MONTH(A110)+1,1)</f>
        <v>49096</v>
      </c>
      <c r="B111" s="21" t="n">
        <v>2.02</v>
      </c>
      <c r="C111" s="21" t="n">
        <v>2.06</v>
      </c>
      <c r="D111" s="25" t="n">
        <f aca="false">DATE(YEAR(D110),MONTH(D110)+1,1)</f>
        <v>49096</v>
      </c>
      <c r="E111" s="21" t="n">
        <v>18.851</v>
      </c>
      <c r="F111" s="21" t="n">
        <v>19.414</v>
      </c>
      <c r="G111" s="6"/>
      <c r="H111" s="22" t="n">
        <f aca="false">A111</f>
        <v>49096</v>
      </c>
      <c r="I111" s="23" t="n">
        <f aca="false">IF($J$1="bid",B111,C111)</f>
        <v>2.06</v>
      </c>
      <c r="J111" s="24" t="n">
        <f aca="false">D111</f>
        <v>49096</v>
      </c>
      <c r="K111" s="23" t="n">
        <f aca="false">IF($J$1="bid",E111,F111)</f>
        <v>19.414</v>
      </c>
      <c r="L111" s="11"/>
      <c r="M111" s="11"/>
      <c r="N111" s="11"/>
      <c r="O111" s="11"/>
      <c r="P111" s="11"/>
      <c r="Q111" s="11"/>
      <c r="R111" s="11"/>
      <c r="S111" s="11"/>
      <c r="T111" s="11"/>
      <c r="U111" s="11"/>
      <c r="V111" s="11"/>
      <c r="W111" s="11"/>
      <c r="X111" s="11"/>
      <c r="Y111" s="11"/>
      <c r="Z111" s="11"/>
      <c r="AA111" s="11"/>
      <c r="AB111" s="11"/>
      <c r="AC111" s="11"/>
      <c r="AD111" s="11"/>
      <c r="AE111" s="11"/>
      <c r="AF111" s="11"/>
      <c r="AG111" s="11"/>
      <c r="AH111" s="11"/>
      <c r="AI111" s="11"/>
      <c r="AJ111" s="11"/>
      <c r="AK111" s="11"/>
      <c r="AL111" s="11"/>
      <c r="AM111" s="11"/>
      <c r="AN111" s="11"/>
      <c r="AO111" s="11"/>
      <c r="AP111" s="11"/>
      <c r="AQ111" s="11"/>
      <c r="AR111" s="5"/>
      <c r="AS111" s="12"/>
      <c r="AT111" s="12"/>
      <c r="AU111" s="12"/>
      <c r="AV111" s="12"/>
      <c r="AW111" s="12"/>
      <c r="AX111" s="12"/>
      <c r="AY111" s="12"/>
      <c r="AZ111" s="12"/>
      <c r="BA111" s="12"/>
      <c r="BB111" s="12"/>
      <c r="BC111" s="12"/>
      <c r="BD111" s="12"/>
      <c r="BE111" s="12"/>
      <c r="BF111" s="12"/>
      <c r="BG111" s="12"/>
      <c r="BH111" s="12"/>
      <c r="BI111" s="12"/>
      <c r="BJ111" s="12"/>
      <c r="BK111" s="12"/>
      <c r="BL111" s="12"/>
      <c r="BM111" s="12"/>
      <c r="BN111" s="12"/>
      <c r="BO111" s="12"/>
      <c r="BP111" s="12"/>
      <c r="BQ111" s="12"/>
      <c r="BR111" s="12"/>
      <c r="BS111" s="12"/>
      <c r="BT111" s="12"/>
      <c r="BU111" s="12"/>
      <c r="BV111" s="12"/>
      <c r="BW111" s="12"/>
      <c r="BX111" s="12"/>
      <c r="BY111" s="12"/>
      <c r="BZ111" s="12"/>
      <c r="CA111" s="12"/>
      <c r="CB111" s="12"/>
      <c r="CC111" s="12"/>
      <c r="CD111" s="12"/>
      <c r="CE111" s="12"/>
      <c r="CF111" s="12"/>
      <c r="CG111" s="12"/>
      <c r="CH111" s="12"/>
      <c r="CI111" s="12"/>
      <c r="CJ111" s="12"/>
      <c r="CK111" s="12"/>
      <c r="CL111" s="12"/>
      <c r="CM111" s="12"/>
      <c r="CN111" s="12"/>
      <c r="CO111" s="12"/>
      <c r="CP111" s="12"/>
      <c r="CQ111" s="12"/>
      <c r="CR111" s="12"/>
      <c r="CS111" s="12"/>
      <c r="CT111" s="12"/>
      <c r="CU111" s="12"/>
      <c r="CV111" s="12"/>
      <c r="CW111" s="12"/>
      <c r="CX111" s="12"/>
      <c r="CY111" s="12"/>
      <c r="CZ111" s="12"/>
      <c r="DA111" s="12"/>
      <c r="DB111" s="12"/>
      <c r="DC111" s="12"/>
      <c r="DD111" s="12"/>
      <c r="DE111" s="12"/>
      <c r="DF111" s="12"/>
      <c r="DG111" s="12"/>
      <c r="DH111" s="12"/>
      <c r="DI111" s="12"/>
      <c r="DJ111" s="12"/>
      <c r="DK111" s="12"/>
      <c r="DL111" s="12"/>
      <c r="DM111" s="12"/>
      <c r="DN111" s="12"/>
      <c r="DO111" s="12"/>
      <c r="DP111" s="12"/>
      <c r="DQ111" s="12"/>
      <c r="DR111" s="12"/>
      <c r="DS111" s="12"/>
      <c r="DT111" s="12"/>
      <c r="DU111" s="12"/>
      <c r="DV111" s="12"/>
      <c r="DW111" s="12"/>
      <c r="DX111" s="12"/>
      <c r="DY111" s="12"/>
      <c r="DZ111" s="12"/>
      <c r="EA111" s="12"/>
      <c r="EB111" s="12"/>
      <c r="EC111" s="12"/>
      <c r="ED111" s="12"/>
      <c r="EE111" s="12"/>
      <c r="EF111" s="12"/>
      <c r="EG111" s="12"/>
      <c r="EH111" s="12"/>
      <c r="EI111" s="12"/>
      <c r="EJ111" s="12"/>
      <c r="EK111" s="12"/>
      <c r="EL111" s="12"/>
      <c r="EM111" s="12"/>
      <c r="EN111" s="12"/>
      <c r="EO111" s="12"/>
      <c r="EP111" s="12"/>
      <c r="EQ111" s="12"/>
      <c r="ER111" s="12"/>
      <c r="ES111" s="12"/>
      <c r="ET111" s="12"/>
      <c r="EU111" s="12"/>
      <c r="EV111" s="12"/>
      <c r="EW111" s="12"/>
      <c r="EX111" s="12"/>
      <c r="EY111" s="12"/>
      <c r="EZ111" s="12"/>
      <c r="FA111" s="12"/>
      <c r="FB111" s="12"/>
      <c r="FC111" s="12"/>
      <c r="FD111" s="12"/>
      <c r="FE111" s="12"/>
      <c r="FF111" s="12"/>
      <c r="FG111" s="12"/>
      <c r="FH111" s="12"/>
      <c r="FI111" s="12"/>
      <c r="FJ111" s="12"/>
      <c r="FK111" s="12"/>
      <c r="FL111" s="12"/>
      <c r="FM111" s="12"/>
      <c r="FN111" s="12"/>
      <c r="FO111" s="12"/>
      <c r="FP111" s="12"/>
      <c r="FQ111" s="12"/>
      <c r="FR111" s="12"/>
      <c r="FS111" s="12"/>
      <c r="FT111" s="12"/>
      <c r="FU111" s="12"/>
      <c r="FV111" s="12"/>
      <c r="FW111" s="12"/>
      <c r="FX111" s="12"/>
      <c r="FY111" s="12"/>
      <c r="FZ111" s="12"/>
      <c r="GA111" s="12"/>
      <c r="GB111" s="12"/>
      <c r="GC111" s="12"/>
      <c r="GD111" s="12"/>
      <c r="GE111" s="12"/>
      <c r="GF111" s="12"/>
      <c r="GG111" s="12"/>
      <c r="GH111" s="12"/>
      <c r="GI111" s="12"/>
      <c r="GJ111" s="12"/>
      <c r="GK111" s="12"/>
      <c r="GL111" s="12"/>
      <c r="GM111" s="12"/>
      <c r="GN111" s="12"/>
      <c r="GO111" s="12"/>
      <c r="GP111" s="12"/>
      <c r="GQ111" s="12"/>
      <c r="GR111" s="12"/>
      <c r="GS111" s="12"/>
      <c r="GT111" s="12"/>
      <c r="GU111" s="12"/>
      <c r="GV111" s="12"/>
      <c r="GW111" s="12"/>
      <c r="GX111" s="12"/>
      <c r="GY111" s="12"/>
      <c r="GZ111" s="12"/>
      <c r="HA111" s="12"/>
      <c r="HB111" s="12"/>
      <c r="HC111" s="12"/>
      <c r="HD111" s="12"/>
      <c r="HE111" s="12"/>
      <c r="HF111" s="12"/>
      <c r="HG111" s="12"/>
      <c r="HH111" s="12"/>
      <c r="HI111" s="12"/>
      <c r="HJ111" s="12"/>
      <c r="HK111" s="12"/>
      <c r="HL111" s="12"/>
      <c r="HM111" s="12"/>
      <c r="HN111" s="12"/>
      <c r="HO111" s="12"/>
      <c r="HP111" s="12"/>
      <c r="HQ111" s="12"/>
      <c r="HR111" s="12"/>
      <c r="HS111" s="12"/>
      <c r="HT111" s="12"/>
      <c r="HU111" s="12"/>
      <c r="HV111" s="12"/>
      <c r="HW111" s="12"/>
      <c r="HX111" s="12"/>
      <c r="HY111" s="12"/>
      <c r="HZ111" s="12"/>
      <c r="IA111" s="12"/>
      <c r="IB111" s="12"/>
      <c r="IC111" s="12"/>
      <c r="ID111" s="12"/>
      <c r="IE111" s="12"/>
      <c r="IF111" s="12"/>
      <c r="IG111" s="12"/>
      <c r="IH111" s="12"/>
      <c r="II111" s="12"/>
      <c r="IJ111" s="12"/>
      <c r="IK111" s="12"/>
      <c r="IL111" s="12"/>
      <c r="IM111" s="12"/>
      <c r="IN111" s="12"/>
      <c r="IO111" s="12"/>
      <c r="IP111" s="12"/>
      <c r="IQ111" s="12"/>
      <c r="IR111" s="12"/>
      <c r="IS111" s="12"/>
      <c r="IT111" s="12"/>
      <c r="IU111" s="12"/>
      <c r="IV111" s="12"/>
      <c r="IW111" s="12"/>
    </row>
    <row r="112" customFormat="false" ht="11.25" hidden="false" customHeight="false" outlineLevel="0" collapsed="false">
      <c r="A112" s="25" t="n">
        <f aca="false">DATE(YEAR(A111),MONTH(A111)+1,1)</f>
        <v>49126</v>
      </c>
      <c r="B112" s="21" t="n">
        <v>2.02</v>
      </c>
      <c r="C112" s="21" t="n">
        <v>2.06</v>
      </c>
      <c r="D112" s="25" t="n">
        <f aca="false">DATE(YEAR(D111),MONTH(D111)+1,1)</f>
        <v>49126</v>
      </c>
      <c r="E112" s="21" t="n">
        <v>18.861</v>
      </c>
      <c r="F112" s="21" t="n">
        <v>19.433</v>
      </c>
      <c r="G112" s="6"/>
      <c r="H112" s="22" t="n">
        <f aca="false">A112</f>
        <v>49126</v>
      </c>
      <c r="I112" s="23" t="n">
        <f aca="false">IF($J$1="bid",B112,C112)</f>
        <v>2.06</v>
      </c>
      <c r="J112" s="24" t="n">
        <f aca="false">D112</f>
        <v>49126</v>
      </c>
      <c r="K112" s="23" t="n">
        <f aca="false">IF($J$1="bid",E112,F112)</f>
        <v>19.433</v>
      </c>
      <c r="L112" s="11"/>
      <c r="M112" s="11"/>
      <c r="N112" s="11"/>
      <c r="O112" s="11"/>
      <c r="P112" s="11"/>
      <c r="Q112" s="11"/>
      <c r="R112" s="11"/>
      <c r="S112" s="11"/>
      <c r="T112" s="11"/>
      <c r="U112" s="11"/>
      <c r="V112" s="11"/>
      <c r="W112" s="11"/>
      <c r="X112" s="11"/>
      <c r="Y112" s="11"/>
      <c r="Z112" s="11"/>
      <c r="AA112" s="11"/>
      <c r="AB112" s="11"/>
      <c r="AC112" s="11"/>
      <c r="AD112" s="11"/>
      <c r="AE112" s="11"/>
      <c r="AF112" s="11"/>
      <c r="AG112" s="11"/>
      <c r="AH112" s="11"/>
      <c r="AI112" s="11"/>
      <c r="AJ112" s="11"/>
      <c r="AK112" s="11"/>
      <c r="AL112" s="11"/>
      <c r="AM112" s="11"/>
      <c r="AN112" s="11"/>
      <c r="AO112" s="11"/>
      <c r="AP112" s="11"/>
      <c r="AQ112" s="11"/>
      <c r="AR112" s="5"/>
      <c r="AS112" s="12"/>
      <c r="AT112" s="12"/>
      <c r="AU112" s="12"/>
      <c r="AV112" s="12"/>
      <c r="AW112" s="12"/>
      <c r="AX112" s="12"/>
      <c r="AY112" s="12"/>
      <c r="AZ112" s="12"/>
      <c r="BA112" s="12"/>
      <c r="BB112" s="12"/>
      <c r="BC112" s="12"/>
      <c r="BD112" s="12"/>
      <c r="BE112" s="12"/>
      <c r="BF112" s="12"/>
      <c r="BG112" s="12"/>
      <c r="BH112" s="12"/>
      <c r="BI112" s="12"/>
      <c r="BJ112" s="12"/>
      <c r="BK112" s="12"/>
      <c r="BL112" s="12"/>
      <c r="BM112" s="12"/>
      <c r="BN112" s="12"/>
      <c r="BO112" s="12"/>
      <c r="BP112" s="12"/>
      <c r="BQ112" s="12"/>
      <c r="BR112" s="12"/>
      <c r="BS112" s="12"/>
      <c r="BT112" s="12"/>
      <c r="BU112" s="12"/>
      <c r="BV112" s="12"/>
      <c r="BW112" s="12"/>
      <c r="BX112" s="12"/>
      <c r="BY112" s="12"/>
      <c r="BZ112" s="12"/>
      <c r="CA112" s="12"/>
      <c r="CB112" s="12"/>
      <c r="CC112" s="12"/>
      <c r="CD112" s="12"/>
      <c r="CE112" s="12"/>
      <c r="CF112" s="12"/>
      <c r="CG112" s="12"/>
      <c r="CH112" s="12"/>
      <c r="CI112" s="12"/>
      <c r="CJ112" s="12"/>
      <c r="CK112" s="12"/>
      <c r="CL112" s="12"/>
      <c r="CM112" s="12"/>
      <c r="CN112" s="12"/>
      <c r="CO112" s="12"/>
      <c r="CP112" s="12"/>
      <c r="CQ112" s="12"/>
      <c r="CR112" s="12"/>
      <c r="CS112" s="12"/>
      <c r="CT112" s="12"/>
      <c r="CU112" s="12"/>
      <c r="CV112" s="12"/>
      <c r="CW112" s="12"/>
      <c r="CX112" s="12"/>
      <c r="CY112" s="12"/>
      <c r="CZ112" s="12"/>
      <c r="DA112" s="12"/>
      <c r="DB112" s="12"/>
      <c r="DC112" s="12"/>
      <c r="DD112" s="12"/>
      <c r="DE112" s="12"/>
      <c r="DF112" s="12"/>
      <c r="DG112" s="12"/>
      <c r="DH112" s="12"/>
      <c r="DI112" s="12"/>
      <c r="DJ112" s="12"/>
      <c r="DK112" s="12"/>
      <c r="DL112" s="12"/>
      <c r="DM112" s="12"/>
      <c r="DN112" s="12"/>
      <c r="DO112" s="12"/>
      <c r="DP112" s="12"/>
      <c r="DQ112" s="12"/>
      <c r="DR112" s="12"/>
      <c r="DS112" s="12"/>
      <c r="DT112" s="12"/>
      <c r="DU112" s="12"/>
      <c r="DV112" s="12"/>
      <c r="DW112" s="12"/>
      <c r="DX112" s="12"/>
      <c r="DY112" s="12"/>
      <c r="DZ112" s="12"/>
      <c r="EA112" s="12"/>
      <c r="EB112" s="12"/>
      <c r="EC112" s="12"/>
      <c r="ED112" s="12"/>
      <c r="EE112" s="12"/>
      <c r="EF112" s="12"/>
      <c r="EG112" s="12"/>
      <c r="EH112" s="12"/>
      <c r="EI112" s="12"/>
      <c r="EJ112" s="12"/>
      <c r="EK112" s="12"/>
      <c r="EL112" s="12"/>
      <c r="EM112" s="12"/>
      <c r="EN112" s="12"/>
      <c r="EO112" s="12"/>
      <c r="EP112" s="12"/>
      <c r="EQ112" s="12"/>
      <c r="ER112" s="12"/>
      <c r="ES112" s="12"/>
      <c r="ET112" s="12"/>
      <c r="EU112" s="12"/>
      <c r="EV112" s="12"/>
      <c r="EW112" s="12"/>
      <c r="EX112" s="12"/>
      <c r="EY112" s="12"/>
      <c r="EZ112" s="12"/>
      <c r="FA112" s="12"/>
      <c r="FB112" s="12"/>
      <c r="FC112" s="12"/>
      <c r="FD112" s="12"/>
      <c r="FE112" s="12"/>
      <c r="FF112" s="12"/>
      <c r="FG112" s="12"/>
      <c r="FH112" s="12"/>
      <c r="FI112" s="12"/>
      <c r="FJ112" s="12"/>
      <c r="FK112" s="12"/>
      <c r="FL112" s="12"/>
      <c r="FM112" s="12"/>
      <c r="FN112" s="12"/>
      <c r="FO112" s="12"/>
      <c r="FP112" s="12"/>
      <c r="FQ112" s="12"/>
      <c r="FR112" s="12"/>
      <c r="FS112" s="12"/>
      <c r="FT112" s="12"/>
      <c r="FU112" s="12"/>
      <c r="FV112" s="12"/>
      <c r="FW112" s="12"/>
      <c r="FX112" s="12"/>
      <c r="FY112" s="12"/>
      <c r="FZ112" s="12"/>
      <c r="GA112" s="12"/>
      <c r="GB112" s="12"/>
      <c r="GC112" s="12"/>
      <c r="GD112" s="12"/>
      <c r="GE112" s="12"/>
      <c r="GF112" s="12"/>
      <c r="GG112" s="12"/>
      <c r="GH112" s="12"/>
      <c r="GI112" s="12"/>
      <c r="GJ112" s="12"/>
      <c r="GK112" s="12"/>
      <c r="GL112" s="12"/>
      <c r="GM112" s="12"/>
      <c r="GN112" s="12"/>
      <c r="GO112" s="12"/>
      <c r="GP112" s="12"/>
      <c r="GQ112" s="12"/>
      <c r="GR112" s="12"/>
      <c r="GS112" s="12"/>
      <c r="GT112" s="12"/>
      <c r="GU112" s="12"/>
      <c r="GV112" s="12"/>
      <c r="GW112" s="12"/>
      <c r="GX112" s="12"/>
      <c r="GY112" s="12"/>
      <c r="GZ112" s="12"/>
      <c r="HA112" s="12"/>
      <c r="HB112" s="12"/>
      <c r="HC112" s="12"/>
      <c r="HD112" s="12"/>
      <c r="HE112" s="12"/>
      <c r="HF112" s="12"/>
      <c r="HG112" s="12"/>
      <c r="HH112" s="12"/>
      <c r="HI112" s="12"/>
      <c r="HJ112" s="12"/>
      <c r="HK112" s="12"/>
      <c r="HL112" s="12"/>
      <c r="HM112" s="12"/>
      <c r="HN112" s="12"/>
      <c r="HO112" s="12"/>
      <c r="HP112" s="12"/>
      <c r="HQ112" s="12"/>
      <c r="HR112" s="12"/>
      <c r="HS112" s="12"/>
      <c r="HT112" s="12"/>
      <c r="HU112" s="12"/>
      <c r="HV112" s="12"/>
      <c r="HW112" s="12"/>
      <c r="HX112" s="12"/>
      <c r="HY112" s="12"/>
      <c r="HZ112" s="12"/>
      <c r="IA112" s="12"/>
      <c r="IB112" s="12"/>
      <c r="IC112" s="12"/>
      <c r="ID112" s="12"/>
      <c r="IE112" s="12"/>
      <c r="IF112" s="12"/>
      <c r="IG112" s="12"/>
      <c r="IH112" s="12"/>
      <c r="II112" s="12"/>
      <c r="IJ112" s="12"/>
      <c r="IK112" s="12"/>
      <c r="IL112" s="12"/>
      <c r="IM112" s="12"/>
      <c r="IN112" s="12"/>
      <c r="IO112" s="12"/>
      <c r="IP112" s="12"/>
      <c r="IQ112" s="12"/>
      <c r="IR112" s="12"/>
      <c r="IS112" s="12"/>
      <c r="IT112" s="12"/>
      <c r="IU112" s="12"/>
      <c r="IV112" s="12"/>
      <c r="IW112" s="12"/>
    </row>
    <row r="113" customFormat="false" ht="11.25" hidden="false" customHeight="false" outlineLevel="0" collapsed="false">
      <c r="A113" s="25" t="n">
        <f aca="false">DATE(YEAR(A112),MONTH(A112)+1,1)</f>
        <v>49157</v>
      </c>
      <c r="B113" s="21" t="n">
        <v>2.02</v>
      </c>
      <c r="C113" s="21" t="n">
        <v>2.06</v>
      </c>
      <c r="D113" s="25" t="n">
        <f aca="false">DATE(YEAR(D112),MONTH(D112)+1,1)</f>
        <v>49157</v>
      </c>
      <c r="E113" s="21" t="n">
        <v>18.869</v>
      </c>
      <c r="F113" s="21" t="n">
        <v>19.449</v>
      </c>
      <c r="G113" s="6"/>
      <c r="H113" s="22" t="n">
        <f aca="false">A113</f>
        <v>49157</v>
      </c>
      <c r="I113" s="23" t="n">
        <f aca="false">IF($J$1="bid",B113,C113)</f>
        <v>2.06</v>
      </c>
      <c r="J113" s="24" t="n">
        <f aca="false">D113</f>
        <v>49157</v>
      </c>
      <c r="K113" s="23" t="n">
        <f aca="false">IF($J$1="bid",E113,F113)</f>
        <v>19.449</v>
      </c>
      <c r="L113" s="11"/>
      <c r="M113" s="11"/>
      <c r="N113" s="11"/>
      <c r="O113" s="11"/>
      <c r="P113" s="11"/>
      <c r="Q113" s="11"/>
      <c r="R113" s="11"/>
      <c r="S113" s="11"/>
      <c r="T113" s="11"/>
      <c r="U113" s="11"/>
      <c r="V113" s="11"/>
      <c r="W113" s="11"/>
      <c r="X113" s="11"/>
      <c r="Y113" s="11"/>
      <c r="Z113" s="11"/>
      <c r="AA113" s="11"/>
      <c r="AB113" s="11"/>
      <c r="AC113" s="11"/>
      <c r="AD113" s="11"/>
      <c r="AE113" s="11"/>
      <c r="AF113" s="11"/>
      <c r="AG113" s="11"/>
      <c r="AH113" s="11"/>
      <c r="AI113" s="11"/>
      <c r="AJ113" s="11"/>
      <c r="AK113" s="11"/>
      <c r="AL113" s="11"/>
      <c r="AM113" s="11"/>
      <c r="AN113" s="11"/>
      <c r="AO113" s="11"/>
      <c r="AP113" s="11"/>
      <c r="AQ113" s="11"/>
      <c r="AR113" s="5"/>
      <c r="AS113" s="12"/>
      <c r="AT113" s="12"/>
      <c r="AU113" s="12"/>
      <c r="AV113" s="12"/>
      <c r="AW113" s="12"/>
      <c r="AX113" s="12"/>
      <c r="AY113" s="12"/>
      <c r="AZ113" s="12"/>
      <c r="BA113" s="12"/>
      <c r="BB113" s="12"/>
      <c r="BC113" s="12"/>
      <c r="BD113" s="12"/>
      <c r="BE113" s="12"/>
      <c r="BF113" s="12"/>
      <c r="BG113" s="12"/>
      <c r="BH113" s="12"/>
      <c r="BI113" s="12"/>
      <c r="BJ113" s="12"/>
      <c r="BK113" s="12"/>
      <c r="BL113" s="12"/>
      <c r="BM113" s="12"/>
      <c r="BN113" s="12"/>
      <c r="BO113" s="12"/>
      <c r="BP113" s="12"/>
      <c r="BQ113" s="12"/>
      <c r="BR113" s="12"/>
      <c r="BS113" s="12"/>
      <c r="BT113" s="12"/>
      <c r="BU113" s="12"/>
      <c r="BV113" s="12"/>
      <c r="BW113" s="12"/>
      <c r="BX113" s="12"/>
      <c r="BY113" s="12"/>
      <c r="BZ113" s="12"/>
      <c r="CA113" s="12"/>
      <c r="CB113" s="12"/>
      <c r="CC113" s="12"/>
      <c r="CD113" s="12"/>
      <c r="CE113" s="12"/>
      <c r="CF113" s="12"/>
      <c r="CG113" s="12"/>
      <c r="CH113" s="12"/>
      <c r="CI113" s="12"/>
      <c r="CJ113" s="12"/>
      <c r="CK113" s="12"/>
      <c r="CL113" s="12"/>
      <c r="CM113" s="12"/>
      <c r="CN113" s="12"/>
      <c r="CO113" s="12"/>
      <c r="CP113" s="12"/>
      <c r="CQ113" s="12"/>
      <c r="CR113" s="12"/>
      <c r="CS113" s="12"/>
      <c r="CT113" s="12"/>
      <c r="CU113" s="12"/>
      <c r="CV113" s="12"/>
      <c r="CW113" s="12"/>
      <c r="CX113" s="12"/>
      <c r="CY113" s="12"/>
      <c r="CZ113" s="12"/>
      <c r="DA113" s="12"/>
      <c r="DB113" s="12"/>
      <c r="DC113" s="12"/>
      <c r="DD113" s="12"/>
      <c r="DE113" s="12"/>
      <c r="DF113" s="12"/>
      <c r="DG113" s="12"/>
      <c r="DH113" s="12"/>
      <c r="DI113" s="12"/>
      <c r="DJ113" s="12"/>
      <c r="DK113" s="12"/>
      <c r="DL113" s="12"/>
      <c r="DM113" s="12"/>
      <c r="DN113" s="12"/>
      <c r="DO113" s="12"/>
      <c r="DP113" s="12"/>
      <c r="DQ113" s="12"/>
      <c r="DR113" s="12"/>
      <c r="DS113" s="12"/>
      <c r="DT113" s="12"/>
      <c r="DU113" s="12"/>
      <c r="DV113" s="12"/>
      <c r="DW113" s="12"/>
      <c r="DX113" s="12"/>
      <c r="DY113" s="12"/>
      <c r="DZ113" s="12"/>
      <c r="EA113" s="12"/>
      <c r="EB113" s="12"/>
      <c r="EC113" s="12"/>
      <c r="ED113" s="12"/>
      <c r="EE113" s="12"/>
      <c r="EF113" s="12"/>
      <c r="EG113" s="12"/>
      <c r="EH113" s="12"/>
      <c r="EI113" s="12"/>
      <c r="EJ113" s="12"/>
      <c r="EK113" s="12"/>
      <c r="EL113" s="12"/>
      <c r="EM113" s="12"/>
      <c r="EN113" s="12"/>
      <c r="EO113" s="12"/>
      <c r="EP113" s="12"/>
      <c r="EQ113" s="12"/>
      <c r="ER113" s="12"/>
      <c r="ES113" s="12"/>
      <c r="ET113" s="12"/>
      <c r="EU113" s="12"/>
      <c r="EV113" s="12"/>
      <c r="EW113" s="12"/>
      <c r="EX113" s="12"/>
      <c r="EY113" s="12"/>
      <c r="EZ113" s="12"/>
      <c r="FA113" s="12"/>
      <c r="FB113" s="12"/>
      <c r="FC113" s="12"/>
      <c r="FD113" s="12"/>
      <c r="FE113" s="12"/>
      <c r="FF113" s="12"/>
      <c r="FG113" s="12"/>
      <c r="FH113" s="12"/>
      <c r="FI113" s="12"/>
      <c r="FJ113" s="12"/>
      <c r="FK113" s="12"/>
      <c r="FL113" s="12"/>
      <c r="FM113" s="12"/>
      <c r="FN113" s="12"/>
      <c r="FO113" s="12"/>
      <c r="FP113" s="12"/>
      <c r="FQ113" s="12"/>
      <c r="FR113" s="12"/>
      <c r="FS113" s="12"/>
      <c r="FT113" s="12"/>
      <c r="FU113" s="12"/>
      <c r="FV113" s="12"/>
      <c r="FW113" s="12"/>
      <c r="FX113" s="12"/>
      <c r="FY113" s="12"/>
      <c r="FZ113" s="12"/>
      <c r="GA113" s="12"/>
      <c r="GB113" s="12"/>
      <c r="GC113" s="12"/>
      <c r="GD113" s="12"/>
      <c r="GE113" s="12"/>
      <c r="GF113" s="12"/>
      <c r="GG113" s="12"/>
      <c r="GH113" s="12"/>
      <c r="GI113" s="12"/>
      <c r="GJ113" s="12"/>
      <c r="GK113" s="12"/>
      <c r="GL113" s="12"/>
      <c r="GM113" s="12"/>
      <c r="GN113" s="12"/>
      <c r="GO113" s="12"/>
      <c r="GP113" s="12"/>
      <c r="GQ113" s="12"/>
      <c r="GR113" s="12"/>
      <c r="GS113" s="12"/>
      <c r="GT113" s="12"/>
      <c r="GU113" s="12"/>
      <c r="GV113" s="12"/>
      <c r="GW113" s="12"/>
      <c r="GX113" s="12"/>
      <c r="GY113" s="12"/>
      <c r="GZ113" s="12"/>
      <c r="HA113" s="12"/>
      <c r="HB113" s="12"/>
      <c r="HC113" s="12"/>
      <c r="HD113" s="12"/>
      <c r="HE113" s="12"/>
      <c r="HF113" s="12"/>
      <c r="HG113" s="12"/>
      <c r="HH113" s="12"/>
      <c r="HI113" s="12"/>
      <c r="HJ113" s="12"/>
      <c r="HK113" s="12"/>
      <c r="HL113" s="12"/>
      <c r="HM113" s="12"/>
      <c r="HN113" s="12"/>
      <c r="HO113" s="12"/>
      <c r="HP113" s="12"/>
      <c r="HQ113" s="12"/>
      <c r="HR113" s="12"/>
      <c r="HS113" s="12"/>
      <c r="HT113" s="12"/>
      <c r="HU113" s="12"/>
      <c r="HV113" s="12"/>
      <c r="HW113" s="12"/>
      <c r="HX113" s="12"/>
      <c r="HY113" s="12"/>
      <c r="HZ113" s="12"/>
      <c r="IA113" s="12"/>
      <c r="IB113" s="12"/>
      <c r="IC113" s="12"/>
      <c r="ID113" s="12"/>
      <c r="IE113" s="12"/>
      <c r="IF113" s="12"/>
      <c r="IG113" s="12"/>
      <c r="IH113" s="12"/>
      <c r="II113" s="12"/>
      <c r="IJ113" s="12"/>
      <c r="IK113" s="12"/>
      <c r="IL113" s="12"/>
      <c r="IM113" s="12"/>
      <c r="IN113" s="12"/>
      <c r="IO113" s="12"/>
      <c r="IP113" s="12"/>
      <c r="IQ113" s="12"/>
      <c r="IR113" s="12"/>
      <c r="IS113" s="12"/>
      <c r="IT113" s="12"/>
      <c r="IU113" s="12"/>
      <c r="IV113" s="12"/>
      <c r="IW113" s="12"/>
    </row>
    <row r="114" customFormat="false" ht="11.25" hidden="false" customHeight="false" outlineLevel="0" collapsed="false">
      <c r="A114" s="25" t="n">
        <f aca="false">DATE(YEAR(A113),MONTH(A113)+1,1)</f>
        <v>49188</v>
      </c>
      <c r="B114" s="21" t="n">
        <v>2.094</v>
      </c>
      <c r="C114" s="21" t="n">
        <v>2.134</v>
      </c>
      <c r="D114" s="25" t="n">
        <f aca="false">DATE(YEAR(D113),MONTH(D113)+1,1)</f>
        <v>49188</v>
      </c>
      <c r="E114" s="21" t="n">
        <v>18.878</v>
      </c>
      <c r="F114" s="21" t="n">
        <v>19.466</v>
      </c>
      <c r="G114" s="6"/>
      <c r="H114" s="22" t="n">
        <f aca="false">A114</f>
        <v>49188</v>
      </c>
      <c r="I114" s="23" t="n">
        <f aca="false">IF($J$1="bid",B114,C114)</f>
        <v>2.134</v>
      </c>
      <c r="J114" s="24" t="n">
        <f aca="false">D114</f>
        <v>49188</v>
      </c>
      <c r="K114" s="23" t="n">
        <f aca="false">IF($J$1="bid",E114,F114)</f>
        <v>19.466</v>
      </c>
      <c r="L114" s="11"/>
      <c r="M114" s="11"/>
      <c r="N114" s="11"/>
      <c r="O114" s="11"/>
      <c r="P114" s="11"/>
      <c r="Q114" s="11"/>
      <c r="R114" s="11"/>
      <c r="S114" s="11"/>
      <c r="T114" s="11"/>
      <c r="U114" s="11"/>
      <c r="V114" s="11"/>
      <c r="W114" s="11"/>
      <c r="X114" s="11"/>
      <c r="Y114" s="11"/>
      <c r="Z114" s="11"/>
      <c r="AA114" s="11"/>
      <c r="AB114" s="11"/>
      <c r="AC114" s="11"/>
      <c r="AD114" s="11"/>
      <c r="AE114" s="11"/>
      <c r="AF114" s="11"/>
      <c r="AG114" s="11"/>
      <c r="AH114" s="11"/>
      <c r="AI114" s="11"/>
      <c r="AJ114" s="11"/>
      <c r="AK114" s="11"/>
      <c r="AL114" s="11"/>
      <c r="AM114" s="11"/>
      <c r="AN114" s="11"/>
      <c r="AO114" s="11"/>
      <c r="AP114" s="11"/>
      <c r="AQ114" s="11"/>
      <c r="AR114" s="5"/>
      <c r="AS114" s="12"/>
      <c r="AT114" s="12"/>
      <c r="AU114" s="12"/>
      <c r="AV114" s="12"/>
      <c r="AW114" s="12"/>
      <c r="AX114" s="12"/>
      <c r="AY114" s="12"/>
      <c r="AZ114" s="12"/>
      <c r="BA114" s="12"/>
      <c r="BB114" s="12"/>
      <c r="BC114" s="12"/>
      <c r="BD114" s="12"/>
      <c r="BE114" s="12"/>
      <c r="BF114" s="12"/>
      <c r="BG114" s="12"/>
      <c r="BH114" s="12"/>
      <c r="BI114" s="12"/>
      <c r="BJ114" s="12"/>
      <c r="BK114" s="12"/>
      <c r="BL114" s="12"/>
      <c r="BM114" s="12"/>
      <c r="BN114" s="12"/>
      <c r="BO114" s="12"/>
      <c r="BP114" s="12"/>
      <c r="BQ114" s="12"/>
      <c r="BR114" s="12"/>
      <c r="BS114" s="12"/>
      <c r="BT114" s="12"/>
      <c r="BU114" s="12"/>
      <c r="BV114" s="12"/>
      <c r="BW114" s="12"/>
      <c r="BX114" s="12"/>
      <c r="BY114" s="12"/>
      <c r="BZ114" s="12"/>
      <c r="CA114" s="12"/>
      <c r="CB114" s="12"/>
      <c r="CC114" s="12"/>
      <c r="CD114" s="12"/>
      <c r="CE114" s="12"/>
      <c r="CF114" s="12"/>
      <c r="CG114" s="12"/>
      <c r="CH114" s="12"/>
      <c r="CI114" s="12"/>
      <c r="CJ114" s="12"/>
      <c r="CK114" s="12"/>
      <c r="CL114" s="12"/>
      <c r="CM114" s="12"/>
      <c r="CN114" s="12"/>
      <c r="CO114" s="12"/>
      <c r="CP114" s="12"/>
      <c r="CQ114" s="12"/>
      <c r="CR114" s="12"/>
      <c r="CS114" s="12"/>
      <c r="CT114" s="12"/>
      <c r="CU114" s="12"/>
      <c r="CV114" s="12"/>
      <c r="CW114" s="12"/>
      <c r="CX114" s="12"/>
      <c r="CY114" s="12"/>
      <c r="CZ114" s="12"/>
      <c r="DA114" s="12"/>
      <c r="DB114" s="12"/>
      <c r="DC114" s="12"/>
      <c r="DD114" s="12"/>
      <c r="DE114" s="12"/>
      <c r="DF114" s="12"/>
      <c r="DG114" s="12"/>
      <c r="DH114" s="12"/>
      <c r="DI114" s="12"/>
      <c r="DJ114" s="12"/>
      <c r="DK114" s="12"/>
      <c r="DL114" s="12"/>
      <c r="DM114" s="12"/>
      <c r="DN114" s="12"/>
      <c r="DO114" s="12"/>
      <c r="DP114" s="12"/>
      <c r="DQ114" s="12"/>
      <c r="DR114" s="12"/>
      <c r="DS114" s="12"/>
      <c r="DT114" s="12"/>
      <c r="DU114" s="12"/>
      <c r="DV114" s="12"/>
      <c r="DW114" s="12"/>
      <c r="DX114" s="12"/>
      <c r="DY114" s="12"/>
      <c r="DZ114" s="12"/>
      <c r="EA114" s="12"/>
      <c r="EB114" s="12"/>
      <c r="EC114" s="12"/>
      <c r="ED114" s="12"/>
      <c r="EE114" s="12"/>
      <c r="EF114" s="12"/>
      <c r="EG114" s="12"/>
      <c r="EH114" s="12"/>
      <c r="EI114" s="12"/>
      <c r="EJ114" s="12"/>
      <c r="EK114" s="12"/>
      <c r="EL114" s="12"/>
      <c r="EM114" s="12"/>
      <c r="EN114" s="12"/>
      <c r="EO114" s="12"/>
      <c r="EP114" s="12"/>
      <c r="EQ114" s="12"/>
      <c r="ER114" s="12"/>
      <c r="ES114" s="12"/>
      <c r="ET114" s="12"/>
      <c r="EU114" s="12"/>
      <c r="EV114" s="12"/>
      <c r="EW114" s="12"/>
      <c r="EX114" s="12"/>
      <c r="EY114" s="12"/>
      <c r="EZ114" s="12"/>
      <c r="FA114" s="12"/>
      <c r="FB114" s="12"/>
      <c r="FC114" s="12"/>
      <c r="FD114" s="12"/>
      <c r="FE114" s="12"/>
      <c r="FF114" s="12"/>
      <c r="FG114" s="12"/>
      <c r="FH114" s="12"/>
      <c r="FI114" s="12"/>
      <c r="FJ114" s="12"/>
      <c r="FK114" s="12"/>
      <c r="FL114" s="12"/>
      <c r="FM114" s="12"/>
      <c r="FN114" s="12"/>
      <c r="FO114" s="12"/>
      <c r="FP114" s="12"/>
      <c r="FQ114" s="12"/>
      <c r="FR114" s="12"/>
      <c r="FS114" s="12"/>
      <c r="FT114" s="12"/>
      <c r="FU114" s="12"/>
      <c r="FV114" s="12"/>
      <c r="FW114" s="12"/>
      <c r="FX114" s="12"/>
      <c r="FY114" s="12"/>
      <c r="FZ114" s="12"/>
      <c r="GA114" s="12"/>
      <c r="GB114" s="12"/>
      <c r="GC114" s="12"/>
      <c r="GD114" s="12"/>
      <c r="GE114" s="12"/>
      <c r="GF114" s="12"/>
      <c r="GG114" s="12"/>
      <c r="GH114" s="12"/>
      <c r="GI114" s="12"/>
      <c r="GJ114" s="12"/>
      <c r="GK114" s="12"/>
      <c r="GL114" s="12"/>
      <c r="GM114" s="12"/>
      <c r="GN114" s="12"/>
      <c r="GO114" s="12"/>
      <c r="GP114" s="12"/>
      <c r="GQ114" s="12"/>
      <c r="GR114" s="12"/>
      <c r="GS114" s="12"/>
      <c r="GT114" s="12"/>
      <c r="GU114" s="12"/>
      <c r="GV114" s="12"/>
      <c r="GW114" s="12"/>
      <c r="GX114" s="12"/>
      <c r="GY114" s="12"/>
      <c r="GZ114" s="12"/>
      <c r="HA114" s="12"/>
      <c r="HB114" s="12"/>
      <c r="HC114" s="12"/>
      <c r="HD114" s="12"/>
      <c r="HE114" s="12"/>
      <c r="HF114" s="12"/>
      <c r="HG114" s="12"/>
      <c r="HH114" s="12"/>
      <c r="HI114" s="12"/>
      <c r="HJ114" s="12"/>
      <c r="HK114" s="12"/>
      <c r="HL114" s="12"/>
      <c r="HM114" s="12"/>
      <c r="HN114" s="12"/>
      <c r="HO114" s="12"/>
      <c r="HP114" s="12"/>
      <c r="HQ114" s="12"/>
      <c r="HR114" s="12"/>
      <c r="HS114" s="12"/>
      <c r="HT114" s="12"/>
      <c r="HU114" s="12"/>
      <c r="HV114" s="12"/>
      <c r="HW114" s="12"/>
      <c r="HX114" s="12"/>
      <c r="HY114" s="12"/>
      <c r="HZ114" s="12"/>
      <c r="IA114" s="12"/>
      <c r="IB114" s="12"/>
      <c r="IC114" s="12"/>
      <c r="ID114" s="12"/>
      <c r="IE114" s="12"/>
      <c r="IF114" s="12"/>
      <c r="IG114" s="12"/>
      <c r="IH114" s="12"/>
      <c r="II114" s="12"/>
      <c r="IJ114" s="12"/>
      <c r="IK114" s="12"/>
      <c r="IL114" s="12"/>
      <c r="IM114" s="12"/>
      <c r="IN114" s="12"/>
      <c r="IO114" s="12"/>
      <c r="IP114" s="12"/>
      <c r="IQ114" s="12"/>
      <c r="IR114" s="12"/>
      <c r="IS114" s="12"/>
      <c r="IT114" s="12"/>
      <c r="IU114" s="12"/>
      <c r="IV114" s="12"/>
      <c r="IW114" s="12"/>
    </row>
    <row r="115" customFormat="false" ht="11.25" hidden="false" customHeight="false" outlineLevel="0" collapsed="false">
      <c r="A115" s="25" t="n">
        <f aca="false">DATE(YEAR(A114),MONTH(A114)+1,1)</f>
        <v>49218</v>
      </c>
      <c r="B115" s="21" t="n">
        <v>2.212</v>
      </c>
      <c r="C115" s="21" t="n">
        <v>2.252</v>
      </c>
      <c r="D115" s="25" t="n">
        <f aca="false">DATE(YEAR(D114),MONTH(D114)+1,1)</f>
        <v>49218</v>
      </c>
      <c r="E115" s="21" t="n">
        <v>18.888</v>
      </c>
      <c r="F115" s="21" t="n">
        <v>19.485</v>
      </c>
      <c r="G115" s="6"/>
      <c r="H115" s="22" t="n">
        <f aca="false">A115</f>
        <v>49218</v>
      </c>
      <c r="I115" s="23" t="n">
        <f aca="false">IF($J$1="bid",B115,C115)</f>
        <v>2.252</v>
      </c>
      <c r="J115" s="24" t="n">
        <f aca="false">D115</f>
        <v>49218</v>
      </c>
      <c r="K115" s="23" t="n">
        <f aca="false">IF($J$1="bid",E115,F115)</f>
        <v>19.485</v>
      </c>
      <c r="L115" s="11"/>
      <c r="M115" s="11"/>
      <c r="N115" s="11"/>
      <c r="O115" s="11"/>
      <c r="P115" s="11"/>
      <c r="Q115" s="11"/>
      <c r="R115" s="11"/>
      <c r="S115" s="11"/>
      <c r="T115" s="11"/>
      <c r="U115" s="11"/>
      <c r="V115" s="11"/>
      <c r="W115" s="11"/>
      <c r="X115" s="11"/>
      <c r="Y115" s="11"/>
      <c r="Z115" s="11"/>
      <c r="AA115" s="11"/>
      <c r="AB115" s="11"/>
      <c r="AC115" s="11"/>
      <c r="AD115" s="11"/>
      <c r="AE115" s="11"/>
      <c r="AF115" s="11"/>
      <c r="AG115" s="11"/>
      <c r="AH115" s="11"/>
      <c r="AI115" s="11"/>
      <c r="AJ115" s="11"/>
      <c r="AK115" s="11"/>
      <c r="AL115" s="11"/>
      <c r="AM115" s="11"/>
      <c r="AN115" s="11"/>
      <c r="AO115" s="11"/>
      <c r="AP115" s="11"/>
      <c r="AQ115" s="11"/>
      <c r="AR115" s="5"/>
      <c r="AS115" s="12"/>
      <c r="AT115" s="12"/>
      <c r="AU115" s="12"/>
      <c r="AV115" s="12"/>
      <c r="AW115" s="12"/>
      <c r="AX115" s="12"/>
      <c r="AY115" s="12"/>
      <c r="AZ115" s="12"/>
      <c r="BA115" s="12"/>
      <c r="BB115" s="12"/>
      <c r="BC115" s="12"/>
      <c r="BD115" s="12"/>
      <c r="BE115" s="12"/>
      <c r="BF115" s="12"/>
      <c r="BG115" s="12"/>
      <c r="BH115" s="12"/>
      <c r="BI115" s="12"/>
      <c r="BJ115" s="12"/>
      <c r="BK115" s="12"/>
      <c r="BL115" s="12"/>
      <c r="BM115" s="12"/>
      <c r="BN115" s="12"/>
      <c r="BO115" s="12"/>
      <c r="BP115" s="12"/>
      <c r="BQ115" s="12"/>
      <c r="BR115" s="12"/>
      <c r="BS115" s="12"/>
      <c r="BT115" s="12"/>
      <c r="BU115" s="12"/>
      <c r="BV115" s="12"/>
      <c r="BW115" s="12"/>
      <c r="BX115" s="12"/>
      <c r="BY115" s="12"/>
      <c r="BZ115" s="12"/>
      <c r="CA115" s="12"/>
      <c r="CB115" s="12"/>
      <c r="CC115" s="12"/>
      <c r="CD115" s="12"/>
      <c r="CE115" s="12"/>
      <c r="CF115" s="12"/>
      <c r="CG115" s="12"/>
      <c r="CH115" s="12"/>
      <c r="CI115" s="12"/>
      <c r="CJ115" s="12"/>
      <c r="CK115" s="12"/>
      <c r="CL115" s="12"/>
      <c r="CM115" s="12"/>
      <c r="CN115" s="12"/>
      <c r="CO115" s="12"/>
      <c r="CP115" s="12"/>
      <c r="CQ115" s="12"/>
      <c r="CR115" s="12"/>
      <c r="CS115" s="12"/>
      <c r="CT115" s="12"/>
      <c r="CU115" s="12"/>
      <c r="CV115" s="12"/>
      <c r="CW115" s="12"/>
      <c r="CX115" s="12"/>
      <c r="CY115" s="12"/>
      <c r="CZ115" s="12"/>
      <c r="DA115" s="12"/>
      <c r="DB115" s="12"/>
      <c r="DC115" s="12"/>
      <c r="DD115" s="12"/>
      <c r="DE115" s="12"/>
      <c r="DF115" s="12"/>
      <c r="DG115" s="12"/>
      <c r="DH115" s="12"/>
      <c r="DI115" s="12"/>
      <c r="DJ115" s="12"/>
      <c r="DK115" s="12"/>
      <c r="DL115" s="12"/>
      <c r="DM115" s="12"/>
      <c r="DN115" s="12"/>
      <c r="DO115" s="12"/>
      <c r="DP115" s="12"/>
      <c r="DQ115" s="12"/>
      <c r="DR115" s="12"/>
      <c r="DS115" s="12"/>
      <c r="DT115" s="12"/>
      <c r="DU115" s="12"/>
      <c r="DV115" s="12"/>
      <c r="DW115" s="12"/>
      <c r="DX115" s="12"/>
      <c r="DY115" s="12"/>
      <c r="DZ115" s="12"/>
      <c r="EA115" s="12"/>
      <c r="EB115" s="12"/>
      <c r="EC115" s="12"/>
      <c r="ED115" s="12"/>
      <c r="EE115" s="12"/>
      <c r="EF115" s="12"/>
      <c r="EG115" s="12"/>
      <c r="EH115" s="12"/>
      <c r="EI115" s="12"/>
      <c r="EJ115" s="12"/>
      <c r="EK115" s="12"/>
      <c r="EL115" s="12"/>
      <c r="EM115" s="12"/>
      <c r="EN115" s="12"/>
      <c r="EO115" s="12"/>
      <c r="EP115" s="12"/>
      <c r="EQ115" s="12"/>
      <c r="ER115" s="12"/>
      <c r="ES115" s="12"/>
      <c r="ET115" s="12"/>
      <c r="EU115" s="12"/>
      <c r="EV115" s="12"/>
      <c r="EW115" s="12"/>
      <c r="EX115" s="12"/>
      <c r="EY115" s="12"/>
      <c r="EZ115" s="12"/>
      <c r="FA115" s="12"/>
      <c r="FB115" s="12"/>
      <c r="FC115" s="12"/>
      <c r="FD115" s="12"/>
      <c r="FE115" s="12"/>
      <c r="FF115" s="12"/>
      <c r="FG115" s="12"/>
      <c r="FH115" s="12"/>
      <c r="FI115" s="12"/>
      <c r="FJ115" s="12"/>
      <c r="FK115" s="12"/>
      <c r="FL115" s="12"/>
      <c r="FM115" s="12"/>
      <c r="FN115" s="12"/>
      <c r="FO115" s="12"/>
      <c r="FP115" s="12"/>
      <c r="FQ115" s="12"/>
      <c r="FR115" s="12"/>
      <c r="FS115" s="12"/>
      <c r="FT115" s="12"/>
      <c r="FU115" s="12"/>
      <c r="FV115" s="12"/>
      <c r="FW115" s="12"/>
      <c r="FX115" s="12"/>
      <c r="FY115" s="12"/>
      <c r="FZ115" s="12"/>
      <c r="GA115" s="12"/>
      <c r="GB115" s="12"/>
      <c r="GC115" s="12"/>
      <c r="GD115" s="12"/>
      <c r="GE115" s="12"/>
      <c r="GF115" s="12"/>
      <c r="GG115" s="12"/>
      <c r="GH115" s="12"/>
      <c r="GI115" s="12"/>
      <c r="GJ115" s="12"/>
      <c r="GK115" s="12"/>
      <c r="GL115" s="12"/>
      <c r="GM115" s="12"/>
      <c r="GN115" s="12"/>
      <c r="GO115" s="12"/>
      <c r="GP115" s="12"/>
      <c r="GQ115" s="12"/>
      <c r="GR115" s="12"/>
      <c r="GS115" s="12"/>
      <c r="GT115" s="12"/>
      <c r="GU115" s="12"/>
      <c r="GV115" s="12"/>
      <c r="GW115" s="12"/>
      <c r="GX115" s="12"/>
      <c r="GY115" s="12"/>
      <c r="GZ115" s="12"/>
      <c r="HA115" s="12"/>
      <c r="HB115" s="12"/>
      <c r="HC115" s="12"/>
      <c r="HD115" s="12"/>
      <c r="HE115" s="12"/>
      <c r="HF115" s="12"/>
      <c r="HG115" s="12"/>
      <c r="HH115" s="12"/>
      <c r="HI115" s="12"/>
      <c r="HJ115" s="12"/>
      <c r="HK115" s="12"/>
      <c r="HL115" s="12"/>
      <c r="HM115" s="12"/>
      <c r="HN115" s="12"/>
      <c r="HO115" s="12"/>
      <c r="HP115" s="12"/>
      <c r="HQ115" s="12"/>
      <c r="HR115" s="12"/>
      <c r="HS115" s="12"/>
      <c r="HT115" s="12"/>
      <c r="HU115" s="12"/>
      <c r="HV115" s="12"/>
      <c r="HW115" s="12"/>
      <c r="HX115" s="12"/>
      <c r="HY115" s="12"/>
      <c r="HZ115" s="12"/>
      <c r="IA115" s="12"/>
      <c r="IB115" s="12"/>
      <c r="IC115" s="12"/>
      <c r="ID115" s="12"/>
      <c r="IE115" s="12"/>
      <c r="IF115" s="12"/>
      <c r="IG115" s="12"/>
      <c r="IH115" s="12"/>
      <c r="II115" s="12"/>
      <c r="IJ115" s="12"/>
      <c r="IK115" s="12"/>
      <c r="IL115" s="12"/>
      <c r="IM115" s="12"/>
      <c r="IN115" s="12"/>
      <c r="IO115" s="12"/>
      <c r="IP115" s="12"/>
      <c r="IQ115" s="12"/>
      <c r="IR115" s="12"/>
      <c r="IS115" s="12"/>
      <c r="IT115" s="12"/>
      <c r="IU115" s="12"/>
      <c r="IV115" s="12"/>
      <c r="IW115" s="12"/>
    </row>
    <row r="116" customFormat="false" ht="11.25" hidden="false" customHeight="false" outlineLevel="0" collapsed="false">
      <c r="A116" s="25" t="n">
        <f aca="false">DATE(YEAR(A115),MONTH(A115)+1,1)</f>
        <v>49249</v>
      </c>
      <c r="B116" s="21" t="n">
        <v>2.293</v>
      </c>
      <c r="C116" s="21" t="n">
        <v>2.343</v>
      </c>
      <c r="D116" s="25" t="n">
        <f aca="false">DATE(YEAR(D115),MONTH(D115)+1,1)</f>
        <v>49249</v>
      </c>
      <c r="E116" s="21" t="n">
        <v>18.897</v>
      </c>
      <c r="F116" s="21" t="n">
        <v>19.502</v>
      </c>
      <c r="G116" s="6"/>
      <c r="H116" s="22" t="n">
        <f aca="false">A116</f>
        <v>49249</v>
      </c>
      <c r="I116" s="23" t="n">
        <f aca="false">IF($J$1="bid",B116,C116)</f>
        <v>2.343</v>
      </c>
      <c r="J116" s="24" t="n">
        <f aca="false">D116</f>
        <v>49249</v>
      </c>
      <c r="K116" s="23" t="n">
        <f aca="false">IF($J$1="bid",E116,F116)</f>
        <v>19.502</v>
      </c>
      <c r="L116" s="11"/>
      <c r="M116" s="11"/>
      <c r="N116" s="11"/>
      <c r="O116" s="11"/>
      <c r="P116" s="11"/>
      <c r="Q116" s="11"/>
      <c r="R116" s="11"/>
      <c r="S116" s="11"/>
      <c r="T116" s="11"/>
      <c r="U116" s="11"/>
      <c r="V116" s="11"/>
      <c r="W116" s="11"/>
      <c r="X116" s="11"/>
      <c r="Y116" s="11"/>
      <c r="Z116" s="11"/>
      <c r="AA116" s="11"/>
      <c r="AB116" s="11"/>
      <c r="AC116" s="11"/>
      <c r="AD116" s="11"/>
      <c r="AE116" s="11"/>
      <c r="AF116" s="11"/>
      <c r="AG116" s="11"/>
      <c r="AH116" s="11"/>
      <c r="AI116" s="11"/>
      <c r="AJ116" s="11"/>
      <c r="AK116" s="11"/>
      <c r="AL116" s="11"/>
      <c r="AM116" s="11"/>
      <c r="AN116" s="11"/>
      <c r="AO116" s="11"/>
      <c r="AP116" s="11"/>
      <c r="AQ116" s="11"/>
      <c r="AR116" s="5"/>
      <c r="AS116" s="12"/>
      <c r="AT116" s="12"/>
      <c r="AU116" s="12"/>
      <c r="AV116" s="12"/>
      <c r="AW116" s="12"/>
      <c r="AX116" s="12"/>
      <c r="AY116" s="12"/>
      <c r="AZ116" s="12"/>
      <c r="BA116" s="12"/>
      <c r="BB116" s="12"/>
      <c r="BC116" s="12"/>
      <c r="BD116" s="12"/>
      <c r="BE116" s="12"/>
      <c r="BF116" s="12"/>
      <c r="BG116" s="12"/>
      <c r="BH116" s="12"/>
      <c r="BI116" s="12"/>
      <c r="BJ116" s="12"/>
      <c r="BK116" s="12"/>
      <c r="BL116" s="12"/>
      <c r="BM116" s="12"/>
      <c r="BN116" s="12"/>
      <c r="BO116" s="12"/>
      <c r="BP116" s="12"/>
      <c r="BQ116" s="12"/>
      <c r="BR116" s="12"/>
      <c r="BS116" s="12"/>
      <c r="BT116" s="12"/>
      <c r="BU116" s="12"/>
      <c r="BV116" s="12"/>
      <c r="BW116" s="12"/>
      <c r="BX116" s="12"/>
      <c r="BY116" s="12"/>
      <c r="BZ116" s="12"/>
      <c r="CA116" s="12"/>
      <c r="CB116" s="12"/>
      <c r="CC116" s="12"/>
      <c r="CD116" s="12"/>
      <c r="CE116" s="12"/>
      <c r="CF116" s="12"/>
      <c r="CG116" s="12"/>
      <c r="CH116" s="12"/>
      <c r="CI116" s="12"/>
      <c r="CJ116" s="12"/>
      <c r="CK116" s="12"/>
      <c r="CL116" s="12"/>
      <c r="CM116" s="12"/>
      <c r="CN116" s="12"/>
      <c r="CO116" s="12"/>
      <c r="CP116" s="12"/>
      <c r="CQ116" s="12"/>
      <c r="CR116" s="12"/>
      <c r="CS116" s="12"/>
      <c r="CT116" s="12"/>
      <c r="CU116" s="12"/>
      <c r="CV116" s="12"/>
      <c r="CW116" s="12"/>
      <c r="CX116" s="12"/>
      <c r="CY116" s="12"/>
      <c r="CZ116" s="12"/>
      <c r="DA116" s="12"/>
      <c r="DB116" s="12"/>
      <c r="DC116" s="12"/>
      <c r="DD116" s="12"/>
      <c r="DE116" s="12"/>
      <c r="DF116" s="12"/>
      <c r="DG116" s="12"/>
      <c r="DH116" s="12"/>
      <c r="DI116" s="12"/>
      <c r="DJ116" s="12"/>
      <c r="DK116" s="12"/>
      <c r="DL116" s="12"/>
      <c r="DM116" s="12"/>
      <c r="DN116" s="12"/>
      <c r="DO116" s="12"/>
      <c r="DP116" s="12"/>
      <c r="DQ116" s="12"/>
      <c r="DR116" s="12"/>
      <c r="DS116" s="12"/>
      <c r="DT116" s="12"/>
      <c r="DU116" s="12"/>
      <c r="DV116" s="12"/>
      <c r="DW116" s="12"/>
      <c r="DX116" s="12"/>
      <c r="DY116" s="12"/>
      <c r="DZ116" s="12"/>
      <c r="EA116" s="12"/>
      <c r="EB116" s="12"/>
      <c r="EC116" s="12"/>
      <c r="ED116" s="12"/>
      <c r="EE116" s="12"/>
      <c r="EF116" s="12"/>
      <c r="EG116" s="12"/>
      <c r="EH116" s="12"/>
      <c r="EI116" s="12"/>
      <c r="EJ116" s="12"/>
      <c r="EK116" s="12"/>
      <c r="EL116" s="12"/>
      <c r="EM116" s="12"/>
      <c r="EN116" s="12"/>
      <c r="EO116" s="12"/>
      <c r="EP116" s="12"/>
      <c r="EQ116" s="12"/>
      <c r="ER116" s="12"/>
      <c r="ES116" s="12"/>
      <c r="ET116" s="12"/>
      <c r="EU116" s="12"/>
      <c r="EV116" s="12"/>
      <c r="EW116" s="12"/>
      <c r="EX116" s="12"/>
      <c r="EY116" s="12"/>
      <c r="EZ116" s="12"/>
      <c r="FA116" s="12"/>
      <c r="FB116" s="12"/>
      <c r="FC116" s="12"/>
      <c r="FD116" s="12"/>
      <c r="FE116" s="12"/>
      <c r="FF116" s="12"/>
      <c r="FG116" s="12"/>
      <c r="FH116" s="12"/>
      <c r="FI116" s="12"/>
      <c r="FJ116" s="12"/>
      <c r="FK116" s="12"/>
      <c r="FL116" s="12"/>
      <c r="FM116" s="12"/>
      <c r="FN116" s="12"/>
      <c r="FO116" s="12"/>
      <c r="FP116" s="12"/>
      <c r="FQ116" s="12"/>
      <c r="FR116" s="12"/>
      <c r="FS116" s="12"/>
      <c r="FT116" s="12"/>
      <c r="FU116" s="12"/>
      <c r="FV116" s="12"/>
      <c r="FW116" s="12"/>
      <c r="FX116" s="12"/>
      <c r="FY116" s="12"/>
      <c r="FZ116" s="12"/>
      <c r="GA116" s="12"/>
      <c r="GB116" s="12"/>
      <c r="GC116" s="12"/>
      <c r="GD116" s="12"/>
      <c r="GE116" s="12"/>
      <c r="GF116" s="12"/>
      <c r="GG116" s="12"/>
      <c r="GH116" s="12"/>
      <c r="GI116" s="12"/>
      <c r="GJ116" s="12"/>
      <c r="GK116" s="12"/>
      <c r="GL116" s="12"/>
      <c r="GM116" s="12"/>
      <c r="GN116" s="12"/>
      <c r="GO116" s="12"/>
      <c r="GP116" s="12"/>
      <c r="GQ116" s="12"/>
      <c r="GR116" s="12"/>
      <c r="GS116" s="12"/>
      <c r="GT116" s="12"/>
      <c r="GU116" s="12"/>
      <c r="GV116" s="12"/>
      <c r="GW116" s="12"/>
      <c r="GX116" s="12"/>
      <c r="GY116" s="12"/>
      <c r="GZ116" s="12"/>
      <c r="HA116" s="12"/>
      <c r="HB116" s="12"/>
      <c r="HC116" s="12"/>
      <c r="HD116" s="12"/>
      <c r="HE116" s="12"/>
      <c r="HF116" s="12"/>
      <c r="HG116" s="12"/>
      <c r="HH116" s="12"/>
      <c r="HI116" s="12"/>
      <c r="HJ116" s="12"/>
      <c r="HK116" s="12"/>
      <c r="HL116" s="12"/>
      <c r="HM116" s="12"/>
      <c r="HN116" s="12"/>
      <c r="HO116" s="12"/>
      <c r="HP116" s="12"/>
      <c r="HQ116" s="12"/>
      <c r="HR116" s="12"/>
      <c r="HS116" s="12"/>
      <c r="HT116" s="12"/>
      <c r="HU116" s="12"/>
      <c r="HV116" s="12"/>
      <c r="HW116" s="12"/>
      <c r="HX116" s="12"/>
      <c r="HY116" s="12"/>
      <c r="HZ116" s="12"/>
      <c r="IA116" s="12"/>
      <c r="IB116" s="12"/>
      <c r="IC116" s="12"/>
      <c r="ID116" s="12"/>
      <c r="IE116" s="12"/>
      <c r="IF116" s="12"/>
      <c r="IG116" s="12"/>
      <c r="IH116" s="12"/>
      <c r="II116" s="12"/>
      <c r="IJ116" s="12"/>
      <c r="IK116" s="12"/>
      <c r="IL116" s="12"/>
      <c r="IM116" s="12"/>
      <c r="IN116" s="12"/>
      <c r="IO116" s="12"/>
      <c r="IP116" s="12"/>
      <c r="IQ116" s="12"/>
      <c r="IR116" s="12"/>
      <c r="IS116" s="12"/>
      <c r="IT116" s="12"/>
      <c r="IU116" s="12"/>
      <c r="IV116" s="12"/>
      <c r="IW116" s="12"/>
    </row>
    <row r="117" customFormat="false" ht="11.25" hidden="false" customHeight="false" outlineLevel="0" collapsed="false">
      <c r="A117" s="25" t="n">
        <f aca="false">DATE(YEAR(A116),MONTH(A116)+1,1)</f>
        <v>49279</v>
      </c>
      <c r="B117" s="21" t="n">
        <v>2.208</v>
      </c>
      <c r="C117" s="21" t="n">
        <v>2.258</v>
      </c>
      <c r="D117" s="25" t="n">
        <f aca="false">DATE(YEAR(D116),MONTH(D116)+1,1)</f>
        <v>49279</v>
      </c>
      <c r="E117" s="21" t="n">
        <v>18.906</v>
      </c>
      <c r="F117" s="21" t="n">
        <v>19.519</v>
      </c>
      <c r="G117" s="6"/>
      <c r="H117" s="22" t="n">
        <f aca="false">A117</f>
        <v>49279</v>
      </c>
      <c r="I117" s="23" t="n">
        <f aca="false">IF($J$1="bid",B117,C117)</f>
        <v>2.258</v>
      </c>
      <c r="J117" s="24" t="n">
        <f aca="false">D117</f>
        <v>49279</v>
      </c>
      <c r="K117" s="23" t="n">
        <f aca="false">IF($J$1="bid",E117,F117)</f>
        <v>19.519</v>
      </c>
      <c r="L117" s="11"/>
      <c r="M117" s="11"/>
      <c r="N117" s="11"/>
      <c r="O117" s="11"/>
      <c r="P117" s="11"/>
      <c r="Q117" s="11"/>
      <c r="R117" s="11"/>
      <c r="S117" s="11"/>
      <c r="T117" s="11"/>
      <c r="U117" s="11"/>
      <c r="V117" s="11"/>
      <c r="W117" s="11"/>
      <c r="X117" s="11"/>
      <c r="Y117" s="11"/>
      <c r="Z117" s="11"/>
      <c r="AA117" s="11"/>
      <c r="AB117" s="11"/>
      <c r="AC117" s="11"/>
      <c r="AD117" s="11"/>
      <c r="AE117" s="11"/>
      <c r="AF117" s="11"/>
      <c r="AG117" s="11"/>
      <c r="AH117" s="11"/>
      <c r="AI117" s="11"/>
      <c r="AJ117" s="11"/>
      <c r="AK117" s="11"/>
      <c r="AL117" s="11"/>
      <c r="AM117" s="11"/>
      <c r="AN117" s="11"/>
      <c r="AO117" s="11"/>
      <c r="AP117" s="11"/>
      <c r="AQ117" s="11"/>
      <c r="AR117" s="5"/>
      <c r="AS117" s="12"/>
      <c r="AT117" s="12"/>
      <c r="AU117" s="12"/>
      <c r="AV117" s="12"/>
      <c r="AW117" s="12"/>
      <c r="AX117" s="12"/>
      <c r="AY117" s="12"/>
      <c r="AZ117" s="12"/>
      <c r="BA117" s="12"/>
      <c r="BB117" s="12"/>
      <c r="BC117" s="12"/>
      <c r="BD117" s="12"/>
      <c r="BE117" s="12"/>
      <c r="BF117" s="12"/>
      <c r="BG117" s="12"/>
      <c r="BH117" s="12"/>
      <c r="BI117" s="12"/>
      <c r="BJ117" s="12"/>
      <c r="BK117" s="12"/>
      <c r="BL117" s="12"/>
      <c r="BM117" s="12"/>
      <c r="BN117" s="12"/>
      <c r="BO117" s="12"/>
      <c r="BP117" s="12"/>
      <c r="BQ117" s="12"/>
      <c r="BR117" s="12"/>
      <c r="BS117" s="12"/>
      <c r="BT117" s="12"/>
      <c r="BU117" s="12"/>
      <c r="BV117" s="12"/>
      <c r="BW117" s="12"/>
      <c r="BX117" s="12"/>
      <c r="BY117" s="12"/>
      <c r="BZ117" s="12"/>
      <c r="CA117" s="12"/>
      <c r="CB117" s="12"/>
      <c r="CC117" s="12"/>
      <c r="CD117" s="12"/>
      <c r="CE117" s="12"/>
      <c r="CF117" s="12"/>
      <c r="CG117" s="12"/>
      <c r="CH117" s="12"/>
      <c r="CI117" s="12"/>
      <c r="CJ117" s="12"/>
      <c r="CK117" s="12"/>
      <c r="CL117" s="12"/>
      <c r="CM117" s="12"/>
      <c r="CN117" s="12"/>
      <c r="CO117" s="12"/>
      <c r="CP117" s="12"/>
      <c r="CQ117" s="12"/>
      <c r="CR117" s="12"/>
      <c r="CS117" s="12"/>
      <c r="CT117" s="12"/>
      <c r="CU117" s="12"/>
      <c r="CV117" s="12"/>
      <c r="CW117" s="12"/>
      <c r="CX117" s="12"/>
      <c r="CY117" s="12"/>
      <c r="CZ117" s="12"/>
      <c r="DA117" s="12"/>
      <c r="DB117" s="12"/>
      <c r="DC117" s="12"/>
      <c r="DD117" s="12"/>
      <c r="DE117" s="12"/>
      <c r="DF117" s="12"/>
      <c r="DG117" s="12"/>
      <c r="DH117" s="12"/>
      <c r="DI117" s="12"/>
      <c r="DJ117" s="12"/>
      <c r="DK117" s="12"/>
      <c r="DL117" s="12"/>
      <c r="DM117" s="12"/>
      <c r="DN117" s="12"/>
      <c r="DO117" s="12"/>
      <c r="DP117" s="12"/>
      <c r="DQ117" s="12"/>
      <c r="DR117" s="12"/>
      <c r="DS117" s="12"/>
      <c r="DT117" s="12"/>
      <c r="DU117" s="12"/>
      <c r="DV117" s="12"/>
      <c r="DW117" s="12"/>
      <c r="DX117" s="12"/>
      <c r="DY117" s="12"/>
      <c r="DZ117" s="12"/>
      <c r="EA117" s="12"/>
      <c r="EB117" s="12"/>
      <c r="EC117" s="12"/>
      <c r="ED117" s="12"/>
      <c r="EE117" s="12"/>
      <c r="EF117" s="12"/>
      <c r="EG117" s="12"/>
      <c r="EH117" s="12"/>
      <c r="EI117" s="12"/>
      <c r="EJ117" s="12"/>
      <c r="EK117" s="12"/>
      <c r="EL117" s="12"/>
      <c r="EM117" s="12"/>
      <c r="EN117" s="12"/>
      <c r="EO117" s="12"/>
      <c r="EP117" s="12"/>
      <c r="EQ117" s="12"/>
      <c r="ER117" s="12"/>
      <c r="ES117" s="12"/>
      <c r="ET117" s="12"/>
      <c r="EU117" s="12"/>
      <c r="EV117" s="12"/>
      <c r="EW117" s="12"/>
      <c r="EX117" s="12"/>
      <c r="EY117" s="12"/>
      <c r="EZ117" s="12"/>
      <c r="FA117" s="12"/>
      <c r="FB117" s="12"/>
      <c r="FC117" s="12"/>
      <c r="FD117" s="12"/>
      <c r="FE117" s="12"/>
      <c r="FF117" s="12"/>
      <c r="FG117" s="12"/>
      <c r="FH117" s="12"/>
      <c r="FI117" s="12"/>
      <c r="FJ117" s="12"/>
      <c r="FK117" s="12"/>
      <c r="FL117" s="12"/>
      <c r="FM117" s="12"/>
      <c r="FN117" s="12"/>
      <c r="FO117" s="12"/>
      <c r="FP117" s="12"/>
      <c r="FQ117" s="12"/>
      <c r="FR117" s="12"/>
      <c r="FS117" s="12"/>
      <c r="FT117" s="12"/>
      <c r="FU117" s="12"/>
      <c r="FV117" s="12"/>
      <c r="FW117" s="12"/>
      <c r="FX117" s="12"/>
      <c r="FY117" s="12"/>
      <c r="FZ117" s="12"/>
      <c r="GA117" s="12"/>
      <c r="GB117" s="12"/>
      <c r="GC117" s="12"/>
      <c r="GD117" s="12"/>
      <c r="GE117" s="12"/>
      <c r="GF117" s="12"/>
      <c r="GG117" s="12"/>
      <c r="GH117" s="12"/>
      <c r="GI117" s="12"/>
      <c r="GJ117" s="12"/>
      <c r="GK117" s="12"/>
      <c r="GL117" s="12"/>
      <c r="GM117" s="12"/>
      <c r="GN117" s="12"/>
      <c r="GO117" s="12"/>
      <c r="GP117" s="12"/>
      <c r="GQ117" s="12"/>
      <c r="GR117" s="12"/>
      <c r="GS117" s="12"/>
      <c r="GT117" s="12"/>
      <c r="GU117" s="12"/>
      <c r="GV117" s="12"/>
      <c r="GW117" s="12"/>
      <c r="GX117" s="12"/>
      <c r="GY117" s="12"/>
      <c r="GZ117" s="12"/>
      <c r="HA117" s="12"/>
      <c r="HB117" s="12"/>
      <c r="HC117" s="12"/>
      <c r="HD117" s="12"/>
      <c r="HE117" s="12"/>
      <c r="HF117" s="12"/>
      <c r="HG117" s="12"/>
      <c r="HH117" s="12"/>
      <c r="HI117" s="12"/>
      <c r="HJ117" s="12"/>
      <c r="HK117" s="12"/>
      <c r="HL117" s="12"/>
      <c r="HM117" s="12"/>
      <c r="HN117" s="12"/>
      <c r="HO117" s="12"/>
      <c r="HP117" s="12"/>
      <c r="HQ117" s="12"/>
      <c r="HR117" s="12"/>
      <c r="HS117" s="12"/>
      <c r="HT117" s="12"/>
      <c r="HU117" s="12"/>
      <c r="HV117" s="12"/>
      <c r="HW117" s="12"/>
      <c r="HX117" s="12"/>
      <c r="HY117" s="12"/>
      <c r="HZ117" s="12"/>
      <c r="IA117" s="12"/>
      <c r="IB117" s="12"/>
      <c r="IC117" s="12"/>
      <c r="ID117" s="12"/>
      <c r="IE117" s="12"/>
      <c r="IF117" s="12"/>
      <c r="IG117" s="12"/>
      <c r="IH117" s="12"/>
      <c r="II117" s="12"/>
      <c r="IJ117" s="12"/>
      <c r="IK117" s="12"/>
      <c r="IL117" s="12"/>
      <c r="IM117" s="12"/>
      <c r="IN117" s="12"/>
      <c r="IO117" s="12"/>
      <c r="IP117" s="12"/>
      <c r="IQ117" s="12"/>
      <c r="IR117" s="12"/>
      <c r="IS117" s="12"/>
      <c r="IT117" s="12"/>
      <c r="IU117" s="12"/>
      <c r="IV117" s="12"/>
      <c r="IW117" s="12"/>
    </row>
    <row r="118" customFormat="false" ht="11.25" hidden="false" customHeight="false" outlineLevel="0" collapsed="false">
      <c r="A118" s="25" t="n">
        <f aca="false">DATE(YEAR(A117),MONTH(A117)+1,1)</f>
        <v>49310</v>
      </c>
      <c r="B118" s="21" t="n">
        <v>2.142</v>
      </c>
      <c r="C118" s="21" t="n">
        <v>2.192</v>
      </c>
      <c r="D118" s="25" t="n">
        <f aca="false">DATE(YEAR(D117),MONTH(D117)+1,1)</f>
        <v>49310</v>
      </c>
      <c r="E118" s="21" t="n">
        <v>18.915</v>
      </c>
      <c r="F118" s="21" t="n">
        <v>19.537</v>
      </c>
      <c r="G118" s="6"/>
      <c r="H118" s="22" t="n">
        <f aca="false">A118</f>
        <v>49310</v>
      </c>
      <c r="I118" s="23" t="n">
        <f aca="false">IF($J$1="bid",B118,C118)</f>
        <v>2.192</v>
      </c>
      <c r="J118" s="24" t="n">
        <f aca="false">D118</f>
        <v>49310</v>
      </c>
      <c r="K118" s="23" t="n">
        <f aca="false">IF($J$1="bid",E118,F118)</f>
        <v>19.537</v>
      </c>
      <c r="L118" s="11"/>
      <c r="M118" s="11"/>
      <c r="N118" s="11"/>
      <c r="O118" s="11"/>
      <c r="P118" s="11"/>
      <c r="Q118" s="11"/>
      <c r="R118" s="11"/>
      <c r="S118" s="11"/>
      <c r="T118" s="11"/>
      <c r="U118" s="11"/>
      <c r="V118" s="11"/>
      <c r="W118" s="11"/>
      <c r="X118" s="11"/>
      <c r="Y118" s="11"/>
      <c r="Z118" s="11"/>
      <c r="AA118" s="11"/>
      <c r="AB118" s="11"/>
      <c r="AC118" s="11"/>
      <c r="AD118" s="11"/>
      <c r="AE118" s="11"/>
      <c r="AF118" s="11"/>
      <c r="AG118" s="11"/>
      <c r="AH118" s="11"/>
      <c r="AI118" s="11"/>
      <c r="AJ118" s="11"/>
      <c r="AK118" s="11"/>
      <c r="AL118" s="11"/>
      <c r="AM118" s="11"/>
      <c r="AN118" s="11"/>
      <c r="AO118" s="11"/>
      <c r="AP118" s="11"/>
      <c r="AQ118" s="11"/>
      <c r="AR118" s="5"/>
      <c r="AS118" s="12"/>
      <c r="AT118" s="12"/>
      <c r="AU118" s="12"/>
      <c r="AV118" s="12"/>
      <c r="AW118" s="12"/>
      <c r="AX118" s="12"/>
      <c r="AY118" s="12"/>
      <c r="AZ118" s="12"/>
      <c r="BA118" s="12"/>
      <c r="BB118" s="12"/>
      <c r="BC118" s="12"/>
      <c r="BD118" s="12"/>
      <c r="BE118" s="12"/>
      <c r="BF118" s="12"/>
      <c r="BG118" s="12"/>
      <c r="BH118" s="12"/>
      <c r="BI118" s="12"/>
      <c r="BJ118" s="12"/>
      <c r="BK118" s="12"/>
      <c r="BL118" s="12"/>
      <c r="BM118" s="12"/>
      <c r="BN118" s="12"/>
      <c r="BO118" s="12"/>
      <c r="BP118" s="12"/>
      <c r="BQ118" s="12"/>
      <c r="BR118" s="12"/>
      <c r="BS118" s="12"/>
      <c r="BT118" s="12"/>
      <c r="BU118" s="12"/>
      <c r="BV118" s="12"/>
      <c r="BW118" s="12"/>
      <c r="BX118" s="12"/>
      <c r="BY118" s="12"/>
      <c r="BZ118" s="12"/>
      <c r="CA118" s="12"/>
      <c r="CB118" s="12"/>
      <c r="CC118" s="12"/>
      <c r="CD118" s="12"/>
      <c r="CE118" s="12"/>
      <c r="CF118" s="12"/>
      <c r="CG118" s="12"/>
      <c r="CH118" s="12"/>
      <c r="CI118" s="12"/>
      <c r="CJ118" s="12"/>
      <c r="CK118" s="12"/>
      <c r="CL118" s="12"/>
      <c r="CM118" s="12"/>
      <c r="CN118" s="12"/>
      <c r="CO118" s="12"/>
      <c r="CP118" s="12"/>
      <c r="CQ118" s="12"/>
      <c r="CR118" s="12"/>
      <c r="CS118" s="12"/>
      <c r="CT118" s="12"/>
      <c r="CU118" s="12"/>
      <c r="CV118" s="12"/>
      <c r="CW118" s="12"/>
      <c r="CX118" s="12"/>
      <c r="CY118" s="12"/>
      <c r="CZ118" s="12"/>
      <c r="DA118" s="12"/>
      <c r="DB118" s="12"/>
      <c r="DC118" s="12"/>
      <c r="DD118" s="12"/>
      <c r="DE118" s="12"/>
      <c r="DF118" s="12"/>
      <c r="DG118" s="12"/>
      <c r="DH118" s="12"/>
      <c r="DI118" s="12"/>
      <c r="DJ118" s="12"/>
      <c r="DK118" s="12"/>
      <c r="DL118" s="12"/>
      <c r="DM118" s="12"/>
      <c r="DN118" s="12"/>
      <c r="DO118" s="12"/>
      <c r="DP118" s="12"/>
      <c r="DQ118" s="12"/>
      <c r="DR118" s="12"/>
      <c r="DS118" s="12"/>
      <c r="DT118" s="12"/>
      <c r="DU118" s="12"/>
      <c r="DV118" s="12"/>
      <c r="DW118" s="12"/>
      <c r="DX118" s="12"/>
      <c r="DY118" s="12"/>
      <c r="DZ118" s="12"/>
      <c r="EA118" s="12"/>
      <c r="EB118" s="12"/>
      <c r="EC118" s="12"/>
      <c r="ED118" s="12"/>
      <c r="EE118" s="12"/>
      <c r="EF118" s="12"/>
      <c r="EG118" s="12"/>
      <c r="EH118" s="12"/>
      <c r="EI118" s="12"/>
      <c r="EJ118" s="12"/>
      <c r="EK118" s="12"/>
      <c r="EL118" s="12"/>
      <c r="EM118" s="12"/>
      <c r="EN118" s="12"/>
      <c r="EO118" s="12"/>
      <c r="EP118" s="12"/>
      <c r="EQ118" s="12"/>
      <c r="ER118" s="12"/>
      <c r="ES118" s="12"/>
      <c r="ET118" s="12"/>
      <c r="EU118" s="12"/>
      <c r="EV118" s="12"/>
      <c r="EW118" s="12"/>
      <c r="EX118" s="12"/>
      <c r="EY118" s="12"/>
      <c r="EZ118" s="12"/>
      <c r="FA118" s="12"/>
      <c r="FB118" s="12"/>
      <c r="FC118" s="12"/>
      <c r="FD118" s="12"/>
      <c r="FE118" s="12"/>
      <c r="FF118" s="12"/>
      <c r="FG118" s="12"/>
      <c r="FH118" s="12"/>
      <c r="FI118" s="12"/>
      <c r="FJ118" s="12"/>
      <c r="FK118" s="12"/>
      <c r="FL118" s="12"/>
      <c r="FM118" s="12"/>
      <c r="FN118" s="12"/>
      <c r="FO118" s="12"/>
      <c r="FP118" s="12"/>
      <c r="FQ118" s="12"/>
      <c r="FR118" s="12"/>
      <c r="FS118" s="12"/>
      <c r="FT118" s="12"/>
      <c r="FU118" s="12"/>
      <c r="FV118" s="12"/>
      <c r="FW118" s="12"/>
      <c r="FX118" s="12"/>
      <c r="FY118" s="12"/>
      <c r="FZ118" s="12"/>
      <c r="GA118" s="12"/>
      <c r="GB118" s="12"/>
      <c r="GC118" s="12"/>
      <c r="GD118" s="12"/>
      <c r="GE118" s="12"/>
      <c r="GF118" s="12"/>
      <c r="GG118" s="12"/>
      <c r="GH118" s="12"/>
      <c r="GI118" s="12"/>
      <c r="GJ118" s="12"/>
      <c r="GK118" s="12"/>
      <c r="GL118" s="12"/>
      <c r="GM118" s="12"/>
      <c r="GN118" s="12"/>
      <c r="GO118" s="12"/>
      <c r="GP118" s="12"/>
      <c r="GQ118" s="12"/>
      <c r="GR118" s="12"/>
      <c r="GS118" s="12"/>
      <c r="GT118" s="12"/>
      <c r="GU118" s="12"/>
      <c r="GV118" s="12"/>
      <c r="GW118" s="12"/>
      <c r="GX118" s="12"/>
      <c r="GY118" s="12"/>
      <c r="GZ118" s="12"/>
      <c r="HA118" s="12"/>
      <c r="HB118" s="12"/>
      <c r="HC118" s="12"/>
      <c r="HD118" s="12"/>
      <c r="HE118" s="12"/>
      <c r="HF118" s="12"/>
      <c r="HG118" s="12"/>
      <c r="HH118" s="12"/>
      <c r="HI118" s="12"/>
      <c r="HJ118" s="12"/>
      <c r="HK118" s="12"/>
      <c r="HL118" s="12"/>
      <c r="HM118" s="12"/>
      <c r="HN118" s="12"/>
      <c r="HO118" s="12"/>
      <c r="HP118" s="12"/>
      <c r="HQ118" s="12"/>
      <c r="HR118" s="12"/>
      <c r="HS118" s="12"/>
      <c r="HT118" s="12"/>
      <c r="HU118" s="12"/>
      <c r="HV118" s="12"/>
      <c r="HW118" s="12"/>
      <c r="HX118" s="12"/>
      <c r="HY118" s="12"/>
      <c r="HZ118" s="12"/>
      <c r="IA118" s="12"/>
      <c r="IB118" s="12"/>
      <c r="IC118" s="12"/>
      <c r="ID118" s="12"/>
      <c r="IE118" s="12"/>
      <c r="IF118" s="12"/>
      <c r="IG118" s="12"/>
      <c r="IH118" s="12"/>
      <c r="II118" s="12"/>
      <c r="IJ118" s="12"/>
      <c r="IK118" s="12"/>
      <c r="IL118" s="12"/>
      <c r="IM118" s="12"/>
      <c r="IN118" s="12"/>
      <c r="IO118" s="12"/>
      <c r="IP118" s="12"/>
      <c r="IQ118" s="12"/>
      <c r="IR118" s="12"/>
      <c r="IS118" s="12"/>
      <c r="IT118" s="12"/>
      <c r="IU118" s="12"/>
      <c r="IV118" s="12"/>
      <c r="IW118" s="12"/>
    </row>
    <row r="119" customFormat="false" ht="11.25" hidden="false" customHeight="false" outlineLevel="0" collapsed="false">
      <c r="A119" s="25" t="n">
        <f aca="false">DATE(YEAR(A118),MONTH(A118)+1,1)</f>
        <v>49341</v>
      </c>
      <c r="B119" s="21" t="n">
        <v>2.093</v>
      </c>
      <c r="C119" s="21" t="n">
        <v>2.143</v>
      </c>
      <c r="D119" s="25" t="n">
        <f aca="false">DATE(YEAR(D118),MONTH(D118)+1,1)</f>
        <v>49341</v>
      </c>
      <c r="E119" s="21" t="n">
        <v>18.924</v>
      </c>
      <c r="F119" s="21" t="n">
        <v>19.554</v>
      </c>
      <c r="G119" s="6"/>
      <c r="H119" s="22" t="n">
        <f aca="false">A119</f>
        <v>49341</v>
      </c>
      <c r="I119" s="23" t="n">
        <f aca="false">IF($J$1="bid",B119,C119)</f>
        <v>2.143</v>
      </c>
      <c r="J119" s="24" t="n">
        <f aca="false">D119</f>
        <v>49341</v>
      </c>
      <c r="K119" s="23" t="n">
        <f aca="false">IF($J$1="bid",E119,F119)</f>
        <v>19.554</v>
      </c>
      <c r="L119" s="11"/>
      <c r="M119" s="11"/>
      <c r="N119" s="11"/>
      <c r="O119" s="11"/>
      <c r="P119" s="11"/>
      <c r="Q119" s="11"/>
      <c r="R119" s="11"/>
      <c r="S119" s="11"/>
      <c r="T119" s="11"/>
      <c r="U119" s="11"/>
      <c r="V119" s="11"/>
      <c r="W119" s="11"/>
      <c r="X119" s="11"/>
      <c r="Y119" s="11"/>
      <c r="Z119" s="11"/>
      <c r="AA119" s="11"/>
      <c r="AB119" s="11"/>
      <c r="AC119" s="11"/>
      <c r="AD119" s="11"/>
      <c r="AE119" s="11"/>
      <c r="AF119" s="11"/>
      <c r="AG119" s="11"/>
      <c r="AH119" s="11"/>
      <c r="AI119" s="11"/>
      <c r="AJ119" s="11"/>
      <c r="AK119" s="11"/>
      <c r="AL119" s="11"/>
      <c r="AM119" s="11"/>
      <c r="AN119" s="11"/>
      <c r="AO119" s="11"/>
      <c r="AP119" s="11"/>
      <c r="AQ119" s="11"/>
      <c r="AR119" s="5"/>
      <c r="AS119" s="12"/>
      <c r="AT119" s="12"/>
      <c r="AU119" s="12"/>
      <c r="AV119" s="12"/>
      <c r="AW119" s="12"/>
      <c r="AX119" s="12"/>
      <c r="AY119" s="12"/>
      <c r="AZ119" s="12"/>
      <c r="BA119" s="12"/>
      <c r="BB119" s="12"/>
      <c r="BC119" s="12"/>
      <c r="BD119" s="12"/>
      <c r="BE119" s="12"/>
      <c r="BF119" s="12"/>
      <c r="BG119" s="12"/>
      <c r="BH119" s="12"/>
      <c r="BI119" s="12"/>
      <c r="BJ119" s="12"/>
      <c r="BK119" s="12"/>
      <c r="BL119" s="12"/>
      <c r="BM119" s="12"/>
      <c r="BN119" s="12"/>
      <c r="BO119" s="12"/>
      <c r="BP119" s="12"/>
      <c r="BQ119" s="12"/>
      <c r="BR119" s="12"/>
      <c r="BS119" s="12"/>
      <c r="BT119" s="12"/>
      <c r="BU119" s="12"/>
      <c r="BV119" s="12"/>
      <c r="BW119" s="12"/>
      <c r="BX119" s="12"/>
      <c r="BY119" s="12"/>
      <c r="BZ119" s="12"/>
      <c r="CA119" s="12"/>
      <c r="CB119" s="12"/>
      <c r="CC119" s="12"/>
      <c r="CD119" s="12"/>
      <c r="CE119" s="12"/>
      <c r="CF119" s="12"/>
      <c r="CG119" s="12"/>
      <c r="CH119" s="12"/>
      <c r="CI119" s="12"/>
      <c r="CJ119" s="12"/>
      <c r="CK119" s="12"/>
      <c r="CL119" s="12"/>
      <c r="CM119" s="12"/>
      <c r="CN119" s="12"/>
      <c r="CO119" s="12"/>
      <c r="CP119" s="12"/>
      <c r="CQ119" s="12"/>
      <c r="CR119" s="12"/>
      <c r="CS119" s="12"/>
      <c r="CT119" s="12"/>
      <c r="CU119" s="12"/>
      <c r="CV119" s="12"/>
      <c r="CW119" s="12"/>
      <c r="CX119" s="12"/>
      <c r="CY119" s="12"/>
      <c r="CZ119" s="12"/>
      <c r="DA119" s="12"/>
      <c r="DB119" s="12"/>
      <c r="DC119" s="12"/>
      <c r="DD119" s="12"/>
      <c r="DE119" s="12"/>
      <c r="DF119" s="12"/>
      <c r="DG119" s="12"/>
      <c r="DH119" s="12"/>
      <c r="DI119" s="12"/>
      <c r="DJ119" s="12"/>
      <c r="DK119" s="12"/>
      <c r="DL119" s="12"/>
      <c r="DM119" s="12"/>
      <c r="DN119" s="12"/>
      <c r="DO119" s="12"/>
      <c r="DP119" s="12"/>
      <c r="DQ119" s="12"/>
      <c r="DR119" s="12"/>
      <c r="DS119" s="12"/>
      <c r="DT119" s="12"/>
      <c r="DU119" s="12"/>
      <c r="DV119" s="12"/>
      <c r="DW119" s="12"/>
      <c r="DX119" s="12"/>
      <c r="DY119" s="12"/>
      <c r="DZ119" s="12"/>
      <c r="EA119" s="12"/>
      <c r="EB119" s="12"/>
      <c r="EC119" s="12"/>
      <c r="ED119" s="12"/>
      <c r="EE119" s="12"/>
      <c r="EF119" s="12"/>
      <c r="EG119" s="12"/>
      <c r="EH119" s="12"/>
      <c r="EI119" s="12"/>
      <c r="EJ119" s="12"/>
      <c r="EK119" s="12"/>
      <c r="EL119" s="12"/>
      <c r="EM119" s="12"/>
      <c r="EN119" s="12"/>
      <c r="EO119" s="12"/>
      <c r="EP119" s="12"/>
      <c r="EQ119" s="12"/>
      <c r="ER119" s="12"/>
      <c r="ES119" s="12"/>
      <c r="ET119" s="12"/>
      <c r="EU119" s="12"/>
      <c r="EV119" s="12"/>
      <c r="EW119" s="12"/>
      <c r="EX119" s="12"/>
      <c r="EY119" s="12"/>
      <c r="EZ119" s="12"/>
      <c r="FA119" s="12"/>
      <c r="FB119" s="12"/>
      <c r="FC119" s="12"/>
      <c r="FD119" s="12"/>
      <c r="FE119" s="12"/>
      <c r="FF119" s="12"/>
      <c r="FG119" s="12"/>
      <c r="FH119" s="12"/>
      <c r="FI119" s="12"/>
      <c r="FJ119" s="12"/>
      <c r="FK119" s="12"/>
      <c r="FL119" s="12"/>
      <c r="FM119" s="12"/>
      <c r="FN119" s="12"/>
      <c r="FO119" s="12"/>
      <c r="FP119" s="12"/>
      <c r="FQ119" s="12"/>
      <c r="FR119" s="12"/>
      <c r="FS119" s="12"/>
      <c r="FT119" s="12"/>
      <c r="FU119" s="12"/>
      <c r="FV119" s="12"/>
      <c r="FW119" s="12"/>
      <c r="FX119" s="12"/>
      <c r="FY119" s="12"/>
      <c r="FZ119" s="12"/>
      <c r="GA119" s="12"/>
      <c r="GB119" s="12"/>
      <c r="GC119" s="12"/>
      <c r="GD119" s="12"/>
      <c r="GE119" s="12"/>
      <c r="GF119" s="12"/>
      <c r="GG119" s="12"/>
      <c r="GH119" s="12"/>
      <c r="GI119" s="12"/>
      <c r="GJ119" s="12"/>
      <c r="GK119" s="12"/>
      <c r="GL119" s="12"/>
      <c r="GM119" s="12"/>
      <c r="GN119" s="12"/>
      <c r="GO119" s="12"/>
      <c r="GP119" s="12"/>
      <c r="GQ119" s="12"/>
      <c r="GR119" s="12"/>
      <c r="GS119" s="12"/>
      <c r="GT119" s="12"/>
      <c r="GU119" s="12"/>
      <c r="GV119" s="12"/>
      <c r="GW119" s="12"/>
      <c r="GX119" s="12"/>
      <c r="GY119" s="12"/>
      <c r="GZ119" s="12"/>
      <c r="HA119" s="12"/>
      <c r="HB119" s="12"/>
      <c r="HC119" s="12"/>
      <c r="HD119" s="12"/>
      <c r="HE119" s="12"/>
      <c r="HF119" s="12"/>
      <c r="HG119" s="12"/>
      <c r="HH119" s="12"/>
      <c r="HI119" s="12"/>
      <c r="HJ119" s="12"/>
      <c r="HK119" s="12"/>
      <c r="HL119" s="12"/>
      <c r="HM119" s="12"/>
      <c r="HN119" s="12"/>
      <c r="HO119" s="12"/>
      <c r="HP119" s="12"/>
      <c r="HQ119" s="12"/>
      <c r="HR119" s="12"/>
      <c r="HS119" s="12"/>
      <c r="HT119" s="12"/>
      <c r="HU119" s="12"/>
      <c r="HV119" s="12"/>
      <c r="HW119" s="12"/>
      <c r="HX119" s="12"/>
      <c r="HY119" s="12"/>
      <c r="HZ119" s="12"/>
      <c r="IA119" s="12"/>
      <c r="IB119" s="12"/>
      <c r="IC119" s="12"/>
      <c r="ID119" s="12"/>
      <c r="IE119" s="12"/>
      <c r="IF119" s="12"/>
      <c r="IG119" s="12"/>
      <c r="IH119" s="12"/>
      <c r="II119" s="12"/>
      <c r="IJ119" s="12"/>
      <c r="IK119" s="12"/>
      <c r="IL119" s="12"/>
      <c r="IM119" s="12"/>
      <c r="IN119" s="12"/>
      <c r="IO119" s="12"/>
      <c r="IP119" s="12"/>
      <c r="IQ119" s="12"/>
      <c r="IR119" s="12"/>
      <c r="IS119" s="12"/>
      <c r="IT119" s="12"/>
      <c r="IU119" s="12"/>
      <c r="IV119" s="12"/>
      <c r="IW119" s="12"/>
    </row>
    <row r="120" customFormat="false" ht="11.25" hidden="false" customHeight="false" outlineLevel="0" collapsed="false">
      <c r="A120" s="25" t="n">
        <f aca="false">DATE(YEAR(A119),MONTH(A119)+1,1)</f>
        <v>49369</v>
      </c>
      <c r="B120" s="21" t="n">
        <v>2.08</v>
      </c>
      <c r="C120" s="21" t="n">
        <v>2.13</v>
      </c>
      <c r="D120" s="25" t="n">
        <f aca="false">DATE(YEAR(D119),MONTH(D119)+1,1)</f>
        <v>49369</v>
      </c>
      <c r="E120" s="21" t="n">
        <v>18.933</v>
      </c>
      <c r="F120" s="21" t="n">
        <v>19.571</v>
      </c>
      <c r="G120" s="6"/>
      <c r="H120" s="22" t="n">
        <f aca="false">A120</f>
        <v>49369</v>
      </c>
      <c r="I120" s="23" t="n">
        <f aca="false">IF($J$1="bid",B120,C120)</f>
        <v>2.13</v>
      </c>
      <c r="J120" s="24" t="n">
        <f aca="false">D120</f>
        <v>49369</v>
      </c>
      <c r="K120" s="23" t="n">
        <f aca="false">IF($J$1="bid",E120,F120)</f>
        <v>19.571</v>
      </c>
      <c r="L120" s="11"/>
      <c r="M120" s="11"/>
      <c r="N120" s="11"/>
      <c r="O120" s="11"/>
      <c r="P120" s="11"/>
      <c r="Q120" s="11"/>
      <c r="R120" s="11"/>
      <c r="S120" s="11"/>
      <c r="T120" s="11"/>
      <c r="U120" s="11"/>
      <c r="V120" s="11"/>
      <c r="W120" s="11"/>
      <c r="X120" s="11"/>
      <c r="Y120" s="11"/>
      <c r="Z120" s="11"/>
      <c r="AA120" s="11"/>
      <c r="AB120" s="11"/>
      <c r="AC120" s="11"/>
      <c r="AD120" s="11"/>
      <c r="AE120" s="11"/>
      <c r="AF120" s="11"/>
      <c r="AG120" s="11"/>
      <c r="AH120" s="11"/>
      <c r="AI120" s="11"/>
      <c r="AJ120" s="11"/>
      <c r="AK120" s="11"/>
      <c r="AL120" s="11"/>
      <c r="AM120" s="11"/>
      <c r="AN120" s="11"/>
      <c r="AO120" s="11"/>
      <c r="AP120" s="11"/>
      <c r="AQ120" s="11"/>
      <c r="AR120" s="5"/>
      <c r="AS120" s="12"/>
      <c r="AT120" s="12"/>
      <c r="AU120" s="12"/>
      <c r="AV120" s="12"/>
      <c r="AW120" s="12"/>
      <c r="AX120" s="12"/>
      <c r="AY120" s="12"/>
      <c r="AZ120" s="12"/>
      <c r="BA120" s="12"/>
      <c r="BB120" s="12"/>
      <c r="BC120" s="12"/>
      <c r="BD120" s="12"/>
      <c r="BE120" s="12"/>
      <c r="BF120" s="12"/>
      <c r="BG120" s="12"/>
      <c r="BH120" s="12"/>
      <c r="BI120" s="12"/>
      <c r="BJ120" s="12"/>
      <c r="BK120" s="12"/>
      <c r="BL120" s="12"/>
      <c r="BM120" s="12"/>
      <c r="BN120" s="12"/>
      <c r="BO120" s="12"/>
      <c r="BP120" s="12"/>
      <c r="BQ120" s="12"/>
      <c r="BR120" s="12"/>
      <c r="BS120" s="12"/>
      <c r="BT120" s="12"/>
      <c r="BU120" s="12"/>
      <c r="BV120" s="12"/>
      <c r="BW120" s="12"/>
      <c r="BX120" s="12"/>
      <c r="BY120" s="12"/>
      <c r="BZ120" s="12"/>
      <c r="CA120" s="12"/>
      <c r="CB120" s="12"/>
      <c r="CC120" s="12"/>
      <c r="CD120" s="12"/>
      <c r="CE120" s="12"/>
      <c r="CF120" s="12"/>
      <c r="CG120" s="12"/>
      <c r="CH120" s="12"/>
      <c r="CI120" s="12"/>
      <c r="CJ120" s="12"/>
      <c r="CK120" s="12"/>
      <c r="CL120" s="12"/>
      <c r="CM120" s="12"/>
      <c r="CN120" s="12"/>
      <c r="CO120" s="12"/>
      <c r="CP120" s="12"/>
      <c r="CQ120" s="12"/>
      <c r="CR120" s="12"/>
      <c r="CS120" s="12"/>
      <c r="CT120" s="12"/>
      <c r="CU120" s="12"/>
      <c r="CV120" s="12"/>
      <c r="CW120" s="12"/>
      <c r="CX120" s="12"/>
      <c r="CY120" s="12"/>
      <c r="CZ120" s="12"/>
      <c r="DA120" s="12"/>
      <c r="DB120" s="12"/>
      <c r="DC120" s="12"/>
      <c r="DD120" s="12"/>
      <c r="DE120" s="12"/>
      <c r="DF120" s="12"/>
      <c r="DG120" s="12"/>
      <c r="DH120" s="12"/>
      <c r="DI120" s="12"/>
      <c r="DJ120" s="12"/>
      <c r="DK120" s="12"/>
      <c r="DL120" s="12"/>
      <c r="DM120" s="12"/>
      <c r="DN120" s="12"/>
      <c r="DO120" s="12"/>
      <c r="DP120" s="12"/>
      <c r="DQ120" s="12"/>
      <c r="DR120" s="12"/>
      <c r="DS120" s="12"/>
      <c r="DT120" s="12"/>
      <c r="DU120" s="12"/>
      <c r="DV120" s="12"/>
      <c r="DW120" s="12"/>
      <c r="DX120" s="12"/>
      <c r="DY120" s="12"/>
      <c r="DZ120" s="12"/>
      <c r="EA120" s="12"/>
      <c r="EB120" s="12"/>
      <c r="EC120" s="12"/>
      <c r="ED120" s="12"/>
      <c r="EE120" s="12"/>
      <c r="EF120" s="12"/>
      <c r="EG120" s="12"/>
      <c r="EH120" s="12"/>
      <c r="EI120" s="12"/>
      <c r="EJ120" s="12"/>
      <c r="EK120" s="12"/>
      <c r="EL120" s="12"/>
      <c r="EM120" s="12"/>
      <c r="EN120" s="12"/>
      <c r="EO120" s="12"/>
      <c r="EP120" s="12"/>
      <c r="EQ120" s="12"/>
      <c r="ER120" s="12"/>
      <c r="ES120" s="12"/>
      <c r="ET120" s="12"/>
      <c r="EU120" s="12"/>
      <c r="EV120" s="12"/>
      <c r="EW120" s="12"/>
      <c r="EX120" s="12"/>
      <c r="EY120" s="12"/>
      <c r="EZ120" s="12"/>
      <c r="FA120" s="12"/>
      <c r="FB120" s="12"/>
      <c r="FC120" s="12"/>
      <c r="FD120" s="12"/>
      <c r="FE120" s="12"/>
      <c r="FF120" s="12"/>
      <c r="FG120" s="12"/>
      <c r="FH120" s="12"/>
      <c r="FI120" s="12"/>
      <c r="FJ120" s="12"/>
      <c r="FK120" s="12"/>
      <c r="FL120" s="12"/>
      <c r="FM120" s="12"/>
      <c r="FN120" s="12"/>
      <c r="FO120" s="12"/>
      <c r="FP120" s="12"/>
      <c r="FQ120" s="12"/>
      <c r="FR120" s="12"/>
      <c r="FS120" s="12"/>
      <c r="FT120" s="12"/>
      <c r="FU120" s="12"/>
      <c r="FV120" s="12"/>
      <c r="FW120" s="12"/>
      <c r="FX120" s="12"/>
      <c r="FY120" s="12"/>
      <c r="FZ120" s="12"/>
      <c r="GA120" s="12"/>
      <c r="GB120" s="12"/>
      <c r="GC120" s="12"/>
      <c r="GD120" s="12"/>
      <c r="GE120" s="12"/>
      <c r="GF120" s="12"/>
      <c r="GG120" s="12"/>
      <c r="GH120" s="12"/>
      <c r="GI120" s="12"/>
      <c r="GJ120" s="12"/>
      <c r="GK120" s="12"/>
      <c r="GL120" s="12"/>
      <c r="GM120" s="12"/>
      <c r="GN120" s="12"/>
      <c r="GO120" s="12"/>
      <c r="GP120" s="12"/>
      <c r="GQ120" s="12"/>
      <c r="GR120" s="12"/>
      <c r="GS120" s="12"/>
      <c r="GT120" s="12"/>
      <c r="GU120" s="12"/>
      <c r="GV120" s="12"/>
      <c r="GW120" s="12"/>
      <c r="GX120" s="12"/>
      <c r="GY120" s="12"/>
      <c r="GZ120" s="12"/>
      <c r="HA120" s="12"/>
      <c r="HB120" s="12"/>
      <c r="HC120" s="12"/>
      <c r="HD120" s="12"/>
      <c r="HE120" s="12"/>
      <c r="HF120" s="12"/>
      <c r="HG120" s="12"/>
      <c r="HH120" s="12"/>
      <c r="HI120" s="12"/>
      <c r="HJ120" s="12"/>
      <c r="HK120" s="12"/>
      <c r="HL120" s="12"/>
      <c r="HM120" s="12"/>
      <c r="HN120" s="12"/>
      <c r="HO120" s="12"/>
      <c r="HP120" s="12"/>
      <c r="HQ120" s="12"/>
      <c r="HR120" s="12"/>
      <c r="HS120" s="12"/>
      <c r="HT120" s="12"/>
      <c r="HU120" s="12"/>
      <c r="HV120" s="12"/>
      <c r="HW120" s="12"/>
      <c r="HX120" s="12"/>
      <c r="HY120" s="12"/>
      <c r="HZ120" s="12"/>
      <c r="IA120" s="12"/>
      <c r="IB120" s="12"/>
      <c r="IC120" s="12"/>
      <c r="ID120" s="12"/>
      <c r="IE120" s="12"/>
      <c r="IF120" s="12"/>
      <c r="IG120" s="12"/>
      <c r="IH120" s="12"/>
      <c r="II120" s="12"/>
      <c r="IJ120" s="12"/>
      <c r="IK120" s="12"/>
      <c r="IL120" s="12"/>
      <c r="IM120" s="12"/>
      <c r="IN120" s="12"/>
      <c r="IO120" s="12"/>
      <c r="IP120" s="12"/>
      <c r="IQ120" s="12"/>
      <c r="IR120" s="12"/>
      <c r="IS120" s="12"/>
      <c r="IT120" s="12"/>
      <c r="IU120" s="12"/>
      <c r="IV120" s="12"/>
      <c r="IW120" s="12"/>
    </row>
    <row r="121" customFormat="false" ht="11.25" hidden="false" customHeight="false" outlineLevel="0" collapsed="false">
      <c r="A121" s="25" t="n">
        <f aca="false">DATE(YEAR(A120),MONTH(A120)+1,1)</f>
        <v>49400</v>
      </c>
      <c r="B121" s="21" t="n">
        <v>2.088</v>
      </c>
      <c r="C121" s="21" t="n">
        <v>2.138</v>
      </c>
      <c r="D121" s="25" t="n">
        <f aca="false">DATE(YEAR(D120),MONTH(D120)+1,1)</f>
        <v>49400</v>
      </c>
      <c r="E121" s="21" t="n">
        <v>18.943</v>
      </c>
      <c r="F121" s="21" t="n">
        <v>19.59</v>
      </c>
      <c r="G121" s="6"/>
      <c r="H121" s="22" t="n">
        <f aca="false">A121</f>
        <v>49400</v>
      </c>
      <c r="I121" s="23" t="n">
        <f aca="false">IF($J$1="bid",B121,C121)</f>
        <v>2.138</v>
      </c>
      <c r="J121" s="24" t="n">
        <f aca="false">D121</f>
        <v>49400</v>
      </c>
      <c r="K121" s="23" t="n">
        <f aca="false">IF($J$1="bid",E121,F121)</f>
        <v>19.59</v>
      </c>
      <c r="L121" s="11"/>
      <c r="M121" s="11"/>
      <c r="N121" s="11"/>
      <c r="O121" s="11"/>
      <c r="P121" s="11"/>
      <c r="Q121" s="11"/>
      <c r="R121" s="11"/>
      <c r="S121" s="11"/>
      <c r="T121" s="11"/>
      <c r="U121" s="11"/>
      <c r="V121" s="11"/>
      <c r="W121" s="11"/>
      <c r="X121" s="11"/>
      <c r="Y121" s="11"/>
      <c r="Z121" s="11"/>
      <c r="AA121" s="11"/>
      <c r="AB121" s="11"/>
      <c r="AC121" s="11"/>
      <c r="AD121" s="11"/>
      <c r="AE121" s="11"/>
      <c r="AF121" s="11"/>
      <c r="AG121" s="11"/>
      <c r="AH121" s="11"/>
      <c r="AI121" s="11"/>
      <c r="AJ121" s="11"/>
      <c r="AK121" s="11"/>
      <c r="AL121" s="11"/>
      <c r="AM121" s="11"/>
      <c r="AN121" s="11"/>
      <c r="AO121" s="11"/>
      <c r="AP121" s="11"/>
      <c r="AQ121" s="11"/>
      <c r="AR121" s="5"/>
      <c r="AS121" s="12"/>
      <c r="AT121" s="12"/>
      <c r="AU121" s="12"/>
      <c r="AV121" s="12"/>
      <c r="AW121" s="12"/>
      <c r="AX121" s="12"/>
      <c r="AY121" s="12"/>
      <c r="AZ121" s="12"/>
      <c r="BA121" s="12"/>
      <c r="BB121" s="12"/>
      <c r="BC121" s="12"/>
      <c r="BD121" s="12"/>
      <c r="BE121" s="12"/>
      <c r="BF121" s="12"/>
      <c r="BG121" s="12"/>
      <c r="BH121" s="12"/>
      <c r="BI121" s="12"/>
      <c r="BJ121" s="12"/>
      <c r="BK121" s="12"/>
      <c r="BL121" s="12"/>
      <c r="BM121" s="12"/>
      <c r="BN121" s="12"/>
      <c r="BO121" s="12"/>
      <c r="BP121" s="12"/>
      <c r="BQ121" s="12"/>
      <c r="BR121" s="12"/>
      <c r="BS121" s="12"/>
      <c r="BT121" s="12"/>
      <c r="BU121" s="12"/>
      <c r="BV121" s="12"/>
      <c r="BW121" s="12"/>
      <c r="BX121" s="12"/>
      <c r="BY121" s="12"/>
      <c r="BZ121" s="12"/>
      <c r="CA121" s="12"/>
      <c r="CB121" s="12"/>
      <c r="CC121" s="12"/>
      <c r="CD121" s="12"/>
      <c r="CE121" s="12"/>
      <c r="CF121" s="12"/>
      <c r="CG121" s="12"/>
      <c r="CH121" s="12"/>
      <c r="CI121" s="12"/>
      <c r="CJ121" s="12"/>
      <c r="CK121" s="12"/>
      <c r="CL121" s="12"/>
      <c r="CM121" s="12"/>
      <c r="CN121" s="12"/>
      <c r="CO121" s="12"/>
      <c r="CP121" s="12"/>
      <c r="CQ121" s="12"/>
      <c r="CR121" s="12"/>
      <c r="CS121" s="12"/>
      <c r="CT121" s="12"/>
      <c r="CU121" s="12"/>
      <c r="CV121" s="12"/>
      <c r="CW121" s="12"/>
      <c r="CX121" s="12"/>
      <c r="CY121" s="12"/>
      <c r="CZ121" s="12"/>
      <c r="DA121" s="12"/>
      <c r="DB121" s="12"/>
      <c r="DC121" s="12"/>
      <c r="DD121" s="12"/>
      <c r="DE121" s="12"/>
      <c r="DF121" s="12"/>
      <c r="DG121" s="12"/>
      <c r="DH121" s="12"/>
      <c r="DI121" s="12"/>
      <c r="DJ121" s="12"/>
      <c r="DK121" s="12"/>
      <c r="DL121" s="12"/>
      <c r="DM121" s="12"/>
      <c r="DN121" s="12"/>
      <c r="DO121" s="12"/>
      <c r="DP121" s="12"/>
      <c r="DQ121" s="12"/>
      <c r="DR121" s="12"/>
      <c r="DS121" s="12"/>
      <c r="DT121" s="12"/>
      <c r="DU121" s="12"/>
      <c r="DV121" s="12"/>
      <c r="DW121" s="12"/>
      <c r="DX121" s="12"/>
      <c r="DY121" s="12"/>
      <c r="DZ121" s="12"/>
      <c r="EA121" s="12"/>
      <c r="EB121" s="12"/>
      <c r="EC121" s="12"/>
      <c r="ED121" s="12"/>
      <c r="EE121" s="12"/>
      <c r="EF121" s="12"/>
      <c r="EG121" s="12"/>
      <c r="EH121" s="12"/>
      <c r="EI121" s="12"/>
      <c r="EJ121" s="12"/>
      <c r="EK121" s="12"/>
      <c r="EL121" s="12"/>
      <c r="EM121" s="12"/>
      <c r="EN121" s="12"/>
      <c r="EO121" s="12"/>
      <c r="EP121" s="12"/>
      <c r="EQ121" s="12"/>
      <c r="ER121" s="12"/>
      <c r="ES121" s="12"/>
      <c r="ET121" s="12"/>
      <c r="EU121" s="12"/>
      <c r="EV121" s="12"/>
      <c r="EW121" s="12"/>
      <c r="EX121" s="12"/>
      <c r="EY121" s="12"/>
      <c r="EZ121" s="12"/>
      <c r="FA121" s="12"/>
      <c r="FB121" s="12"/>
      <c r="FC121" s="12"/>
      <c r="FD121" s="12"/>
      <c r="FE121" s="12"/>
      <c r="FF121" s="12"/>
      <c r="FG121" s="12"/>
      <c r="FH121" s="12"/>
      <c r="FI121" s="12"/>
      <c r="FJ121" s="12"/>
      <c r="FK121" s="12"/>
      <c r="FL121" s="12"/>
      <c r="FM121" s="12"/>
      <c r="FN121" s="12"/>
      <c r="FO121" s="12"/>
      <c r="FP121" s="12"/>
      <c r="FQ121" s="12"/>
      <c r="FR121" s="12"/>
      <c r="FS121" s="12"/>
      <c r="FT121" s="12"/>
      <c r="FU121" s="12"/>
      <c r="FV121" s="12"/>
      <c r="FW121" s="12"/>
      <c r="FX121" s="12"/>
      <c r="FY121" s="12"/>
      <c r="FZ121" s="12"/>
      <c r="GA121" s="12"/>
      <c r="GB121" s="12"/>
      <c r="GC121" s="12"/>
      <c r="GD121" s="12"/>
      <c r="GE121" s="12"/>
      <c r="GF121" s="12"/>
      <c r="GG121" s="12"/>
      <c r="GH121" s="12"/>
      <c r="GI121" s="12"/>
      <c r="GJ121" s="12"/>
      <c r="GK121" s="12"/>
      <c r="GL121" s="12"/>
      <c r="GM121" s="12"/>
      <c r="GN121" s="12"/>
      <c r="GO121" s="12"/>
      <c r="GP121" s="12"/>
      <c r="GQ121" s="12"/>
      <c r="GR121" s="12"/>
      <c r="GS121" s="12"/>
      <c r="GT121" s="12"/>
      <c r="GU121" s="12"/>
      <c r="GV121" s="12"/>
      <c r="GW121" s="12"/>
      <c r="GX121" s="12"/>
      <c r="GY121" s="12"/>
      <c r="GZ121" s="12"/>
      <c r="HA121" s="12"/>
      <c r="HB121" s="12"/>
      <c r="HC121" s="12"/>
      <c r="HD121" s="12"/>
      <c r="HE121" s="12"/>
      <c r="HF121" s="12"/>
      <c r="HG121" s="12"/>
      <c r="HH121" s="12"/>
      <c r="HI121" s="12"/>
      <c r="HJ121" s="12"/>
      <c r="HK121" s="12"/>
      <c r="HL121" s="12"/>
      <c r="HM121" s="12"/>
      <c r="HN121" s="12"/>
      <c r="HO121" s="12"/>
      <c r="HP121" s="12"/>
      <c r="HQ121" s="12"/>
      <c r="HR121" s="12"/>
      <c r="HS121" s="12"/>
      <c r="HT121" s="12"/>
      <c r="HU121" s="12"/>
      <c r="HV121" s="12"/>
      <c r="HW121" s="12"/>
      <c r="HX121" s="12"/>
      <c r="HY121" s="12"/>
      <c r="HZ121" s="12"/>
      <c r="IA121" s="12"/>
      <c r="IB121" s="12"/>
      <c r="IC121" s="12"/>
      <c r="ID121" s="12"/>
      <c r="IE121" s="12"/>
      <c r="IF121" s="12"/>
      <c r="IG121" s="12"/>
      <c r="IH121" s="12"/>
      <c r="II121" s="12"/>
      <c r="IJ121" s="12"/>
      <c r="IK121" s="12"/>
      <c r="IL121" s="12"/>
      <c r="IM121" s="12"/>
      <c r="IN121" s="12"/>
      <c r="IO121" s="12"/>
      <c r="IP121" s="12"/>
      <c r="IQ121" s="12"/>
      <c r="IR121" s="12"/>
      <c r="IS121" s="12"/>
      <c r="IT121" s="12"/>
      <c r="IU121" s="12"/>
      <c r="IV121" s="12"/>
      <c r="IW121" s="12"/>
    </row>
    <row r="122" customFormat="false" ht="11.25" hidden="false" customHeight="false" outlineLevel="0" collapsed="false">
      <c r="A122" s="25" t="n">
        <f aca="false">DATE(YEAR(A121),MONTH(A121)+1,1)</f>
        <v>49430</v>
      </c>
      <c r="B122" s="21" t="n">
        <v>2.08</v>
      </c>
      <c r="C122" s="21" t="n">
        <v>2.13</v>
      </c>
      <c r="D122" s="25" t="n">
        <f aca="false">DATE(YEAR(D121),MONTH(D121)+1,1)</f>
        <v>49430</v>
      </c>
      <c r="E122" s="21" t="n">
        <v>18.951</v>
      </c>
      <c r="F122" s="21" t="n">
        <v>19.606</v>
      </c>
      <c r="G122" s="6"/>
      <c r="H122" s="22" t="n">
        <f aca="false">A122</f>
        <v>49430</v>
      </c>
      <c r="I122" s="23" t="n">
        <f aca="false">IF($J$1="bid",B122,C122)</f>
        <v>2.13</v>
      </c>
      <c r="J122" s="24" t="n">
        <f aca="false">D122</f>
        <v>49430</v>
      </c>
      <c r="K122" s="23" t="n">
        <f aca="false">IF($J$1="bid",E122,F122)</f>
        <v>19.606</v>
      </c>
      <c r="L122" s="11"/>
      <c r="M122" s="11"/>
      <c r="N122" s="11"/>
      <c r="O122" s="11"/>
      <c r="P122" s="11"/>
      <c r="Q122" s="11"/>
      <c r="R122" s="11"/>
      <c r="S122" s="11"/>
      <c r="T122" s="11"/>
      <c r="U122" s="11"/>
      <c r="V122" s="11"/>
      <c r="W122" s="11"/>
      <c r="X122" s="11"/>
      <c r="Y122" s="11"/>
      <c r="Z122" s="11"/>
      <c r="AA122" s="11"/>
      <c r="AB122" s="11"/>
      <c r="AC122" s="11"/>
      <c r="AD122" s="11"/>
      <c r="AE122" s="11"/>
      <c r="AF122" s="11"/>
      <c r="AG122" s="11"/>
      <c r="AH122" s="11"/>
      <c r="AI122" s="11"/>
      <c r="AJ122" s="11"/>
      <c r="AK122" s="11"/>
      <c r="AL122" s="11"/>
      <c r="AM122" s="11"/>
      <c r="AN122" s="11"/>
      <c r="AO122" s="11"/>
      <c r="AP122" s="11"/>
      <c r="AQ122" s="11"/>
      <c r="AR122" s="5"/>
      <c r="AS122" s="12"/>
      <c r="AT122" s="12"/>
      <c r="AU122" s="12"/>
      <c r="AV122" s="12"/>
      <c r="AW122" s="12"/>
      <c r="AX122" s="12"/>
      <c r="AY122" s="12"/>
      <c r="AZ122" s="12"/>
      <c r="BA122" s="12"/>
      <c r="BB122" s="12"/>
      <c r="BC122" s="12"/>
      <c r="BD122" s="12"/>
      <c r="BE122" s="12"/>
      <c r="BF122" s="12"/>
      <c r="BG122" s="12"/>
      <c r="BH122" s="12"/>
      <c r="BI122" s="12"/>
      <c r="BJ122" s="12"/>
      <c r="BK122" s="12"/>
      <c r="BL122" s="12"/>
      <c r="BM122" s="12"/>
      <c r="BN122" s="12"/>
      <c r="BO122" s="12"/>
      <c r="BP122" s="12"/>
      <c r="BQ122" s="12"/>
      <c r="BR122" s="12"/>
      <c r="BS122" s="12"/>
      <c r="BT122" s="12"/>
      <c r="BU122" s="12"/>
      <c r="BV122" s="12"/>
      <c r="BW122" s="12"/>
      <c r="BX122" s="12"/>
      <c r="BY122" s="12"/>
      <c r="BZ122" s="12"/>
      <c r="CA122" s="12"/>
      <c r="CB122" s="12"/>
      <c r="CC122" s="12"/>
      <c r="CD122" s="12"/>
      <c r="CE122" s="12"/>
      <c r="CF122" s="12"/>
      <c r="CG122" s="12"/>
      <c r="CH122" s="12"/>
      <c r="CI122" s="12"/>
      <c r="CJ122" s="12"/>
      <c r="CK122" s="12"/>
      <c r="CL122" s="12"/>
      <c r="CM122" s="12"/>
      <c r="CN122" s="12"/>
      <c r="CO122" s="12"/>
      <c r="CP122" s="12"/>
      <c r="CQ122" s="12"/>
      <c r="CR122" s="12"/>
      <c r="CS122" s="12"/>
      <c r="CT122" s="12"/>
      <c r="CU122" s="12"/>
      <c r="CV122" s="12"/>
      <c r="CW122" s="12"/>
      <c r="CX122" s="12"/>
      <c r="CY122" s="12"/>
      <c r="CZ122" s="12"/>
      <c r="DA122" s="12"/>
      <c r="DB122" s="12"/>
      <c r="DC122" s="12"/>
      <c r="DD122" s="12"/>
      <c r="DE122" s="12"/>
      <c r="DF122" s="12"/>
      <c r="DG122" s="12"/>
      <c r="DH122" s="12"/>
      <c r="DI122" s="12"/>
      <c r="DJ122" s="12"/>
      <c r="DK122" s="12"/>
      <c r="DL122" s="12"/>
      <c r="DM122" s="12"/>
      <c r="DN122" s="12"/>
      <c r="DO122" s="12"/>
      <c r="DP122" s="12"/>
      <c r="DQ122" s="12"/>
      <c r="DR122" s="12"/>
      <c r="DS122" s="12"/>
      <c r="DT122" s="12"/>
      <c r="DU122" s="12"/>
      <c r="DV122" s="12"/>
      <c r="DW122" s="12"/>
      <c r="DX122" s="12"/>
      <c r="DY122" s="12"/>
      <c r="DZ122" s="12"/>
      <c r="EA122" s="12"/>
      <c r="EB122" s="12"/>
      <c r="EC122" s="12"/>
      <c r="ED122" s="12"/>
      <c r="EE122" s="12"/>
      <c r="EF122" s="12"/>
      <c r="EG122" s="12"/>
      <c r="EH122" s="12"/>
      <c r="EI122" s="12"/>
      <c r="EJ122" s="12"/>
      <c r="EK122" s="12"/>
      <c r="EL122" s="12"/>
      <c r="EM122" s="12"/>
      <c r="EN122" s="12"/>
      <c r="EO122" s="12"/>
      <c r="EP122" s="12"/>
      <c r="EQ122" s="12"/>
      <c r="ER122" s="12"/>
      <c r="ES122" s="12"/>
      <c r="ET122" s="12"/>
      <c r="EU122" s="12"/>
      <c r="EV122" s="12"/>
      <c r="EW122" s="12"/>
      <c r="EX122" s="12"/>
      <c r="EY122" s="12"/>
      <c r="EZ122" s="12"/>
      <c r="FA122" s="12"/>
      <c r="FB122" s="12"/>
      <c r="FC122" s="12"/>
      <c r="FD122" s="12"/>
      <c r="FE122" s="12"/>
      <c r="FF122" s="12"/>
      <c r="FG122" s="12"/>
      <c r="FH122" s="12"/>
      <c r="FI122" s="12"/>
      <c r="FJ122" s="12"/>
      <c r="FK122" s="12"/>
      <c r="FL122" s="12"/>
      <c r="FM122" s="12"/>
      <c r="FN122" s="12"/>
      <c r="FO122" s="12"/>
      <c r="FP122" s="12"/>
      <c r="FQ122" s="12"/>
      <c r="FR122" s="12"/>
      <c r="FS122" s="12"/>
      <c r="FT122" s="12"/>
      <c r="FU122" s="12"/>
      <c r="FV122" s="12"/>
      <c r="FW122" s="12"/>
      <c r="FX122" s="12"/>
      <c r="FY122" s="12"/>
      <c r="FZ122" s="12"/>
      <c r="GA122" s="12"/>
      <c r="GB122" s="12"/>
      <c r="GC122" s="12"/>
      <c r="GD122" s="12"/>
      <c r="GE122" s="12"/>
      <c r="GF122" s="12"/>
      <c r="GG122" s="12"/>
      <c r="GH122" s="12"/>
      <c r="GI122" s="12"/>
      <c r="GJ122" s="12"/>
      <c r="GK122" s="12"/>
      <c r="GL122" s="12"/>
      <c r="GM122" s="12"/>
      <c r="GN122" s="12"/>
      <c r="GO122" s="12"/>
      <c r="GP122" s="12"/>
      <c r="GQ122" s="12"/>
      <c r="GR122" s="12"/>
      <c r="GS122" s="12"/>
      <c r="GT122" s="12"/>
      <c r="GU122" s="12"/>
      <c r="GV122" s="12"/>
      <c r="GW122" s="12"/>
      <c r="GX122" s="12"/>
      <c r="GY122" s="12"/>
      <c r="GZ122" s="12"/>
      <c r="HA122" s="12"/>
      <c r="HB122" s="12"/>
      <c r="HC122" s="12"/>
      <c r="HD122" s="12"/>
      <c r="HE122" s="12"/>
      <c r="HF122" s="12"/>
      <c r="HG122" s="12"/>
      <c r="HH122" s="12"/>
      <c r="HI122" s="12"/>
      <c r="HJ122" s="12"/>
      <c r="HK122" s="12"/>
      <c r="HL122" s="12"/>
      <c r="HM122" s="12"/>
      <c r="HN122" s="12"/>
      <c r="HO122" s="12"/>
      <c r="HP122" s="12"/>
      <c r="HQ122" s="12"/>
      <c r="HR122" s="12"/>
      <c r="HS122" s="12"/>
      <c r="HT122" s="12"/>
      <c r="HU122" s="12"/>
      <c r="HV122" s="12"/>
      <c r="HW122" s="12"/>
      <c r="HX122" s="12"/>
      <c r="HY122" s="12"/>
      <c r="HZ122" s="12"/>
      <c r="IA122" s="12"/>
      <c r="IB122" s="12"/>
      <c r="IC122" s="12"/>
      <c r="ID122" s="12"/>
      <c r="IE122" s="12"/>
      <c r="IF122" s="12"/>
      <c r="IG122" s="12"/>
      <c r="IH122" s="12"/>
      <c r="II122" s="12"/>
      <c r="IJ122" s="12"/>
      <c r="IK122" s="12"/>
      <c r="IL122" s="12"/>
      <c r="IM122" s="12"/>
      <c r="IN122" s="12"/>
      <c r="IO122" s="12"/>
      <c r="IP122" s="12"/>
      <c r="IQ122" s="12"/>
      <c r="IR122" s="12"/>
      <c r="IS122" s="12"/>
      <c r="IT122" s="12"/>
      <c r="IU122" s="12"/>
      <c r="IV122" s="12"/>
      <c r="IW122" s="12"/>
    </row>
    <row r="123" customFormat="false" ht="11.25" hidden="false" customHeight="false" outlineLevel="0" collapsed="false">
      <c r="A123" s="25" t="n">
        <f aca="false">DATE(YEAR(A122),MONTH(A122)+1,1)</f>
        <v>49461</v>
      </c>
      <c r="B123" s="21" t="n">
        <v>2.08</v>
      </c>
      <c r="C123" s="21" t="n">
        <v>2.13</v>
      </c>
      <c r="D123" s="25" t="n">
        <f aca="false">DATE(YEAR(D122),MONTH(D122)+1,1)</f>
        <v>49461</v>
      </c>
      <c r="E123" s="21" t="n">
        <v>18.961</v>
      </c>
      <c r="F123" s="21" t="n">
        <v>19.624</v>
      </c>
      <c r="G123" s="6"/>
      <c r="H123" s="22" t="n">
        <f aca="false">A123</f>
        <v>49461</v>
      </c>
      <c r="I123" s="23" t="n">
        <f aca="false">IF($J$1="bid",B123,C123)</f>
        <v>2.13</v>
      </c>
      <c r="J123" s="24" t="n">
        <f aca="false">D123</f>
        <v>49461</v>
      </c>
      <c r="K123" s="23" t="n">
        <f aca="false">IF($J$1="bid",E123,F123)</f>
        <v>19.624</v>
      </c>
      <c r="L123" s="11"/>
      <c r="M123" s="11"/>
      <c r="N123" s="11"/>
      <c r="O123" s="11"/>
      <c r="P123" s="11"/>
      <c r="Q123" s="11"/>
      <c r="R123" s="11"/>
      <c r="S123" s="11"/>
      <c r="T123" s="11"/>
      <c r="U123" s="11"/>
      <c r="V123" s="11"/>
      <c r="W123" s="11"/>
      <c r="X123" s="11"/>
      <c r="Y123" s="11"/>
      <c r="Z123" s="11"/>
      <c r="AA123" s="11"/>
      <c r="AB123" s="11"/>
      <c r="AC123" s="11"/>
      <c r="AD123" s="11"/>
      <c r="AE123" s="11"/>
      <c r="AF123" s="11"/>
      <c r="AG123" s="11"/>
      <c r="AH123" s="11"/>
      <c r="AI123" s="11"/>
      <c r="AJ123" s="11"/>
      <c r="AK123" s="11"/>
      <c r="AL123" s="11"/>
      <c r="AM123" s="11"/>
      <c r="AN123" s="11"/>
      <c r="AO123" s="11"/>
      <c r="AP123" s="11"/>
      <c r="AQ123" s="11"/>
      <c r="AR123" s="5"/>
      <c r="AS123" s="12"/>
      <c r="AT123" s="12"/>
      <c r="AU123" s="12"/>
      <c r="AV123" s="12"/>
      <c r="AW123" s="12"/>
      <c r="AX123" s="12"/>
      <c r="AY123" s="12"/>
      <c r="AZ123" s="12"/>
      <c r="BA123" s="12"/>
      <c r="BB123" s="12"/>
      <c r="BC123" s="12"/>
      <c r="BD123" s="12"/>
      <c r="BE123" s="12"/>
      <c r="BF123" s="12"/>
      <c r="BG123" s="12"/>
      <c r="BH123" s="12"/>
      <c r="BI123" s="12"/>
      <c r="BJ123" s="12"/>
      <c r="BK123" s="12"/>
      <c r="BL123" s="12"/>
      <c r="BM123" s="12"/>
      <c r="BN123" s="12"/>
      <c r="BO123" s="12"/>
      <c r="BP123" s="12"/>
      <c r="BQ123" s="12"/>
      <c r="BR123" s="12"/>
      <c r="BS123" s="12"/>
      <c r="BT123" s="12"/>
      <c r="BU123" s="12"/>
      <c r="BV123" s="12"/>
      <c r="BW123" s="12"/>
      <c r="BX123" s="12"/>
      <c r="BY123" s="12"/>
      <c r="BZ123" s="12"/>
      <c r="CA123" s="12"/>
      <c r="CB123" s="12"/>
      <c r="CC123" s="12"/>
      <c r="CD123" s="12"/>
      <c r="CE123" s="12"/>
      <c r="CF123" s="12"/>
      <c r="CG123" s="12"/>
      <c r="CH123" s="12"/>
      <c r="CI123" s="12"/>
      <c r="CJ123" s="12"/>
      <c r="CK123" s="12"/>
      <c r="CL123" s="12"/>
      <c r="CM123" s="12"/>
      <c r="CN123" s="12"/>
      <c r="CO123" s="12"/>
      <c r="CP123" s="12"/>
      <c r="CQ123" s="12"/>
      <c r="CR123" s="12"/>
      <c r="CS123" s="12"/>
      <c r="CT123" s="12"/>
      <c r="CU123" s="12"/>
      <c r="CV123" s="12"/>
      <c r="CW123" s="12"/>
      <c r="CX123" s="12"/>
      <c r="CY123" s="12"/>
      <c r="CZ123" s="12"/>
      <c r="DA123" s="12"/>
      <c r="DB123" s="12"/>
      <c r="DC123" s="12"/>
      <c r="DD123" s="12"/>
      <c r="DE123" s="12"/>
      <c r="DF123" s="12"/>
      <c r="DG123" s="12"/>
      <c r="DH123" s="12"/>
      <c r="DI123" s="12"/>
      <c r="DJ123" s="12"/>
      <c r="DK123" s="12"/>
      <c r="DL123" s="12"/>
      <c r="DM123" s="12"/>
      <c r="DN123" s="12"/>
      <c r="DO123" s="12"/>
      <c r="DP123" s="12"/>
      <c r="DQ123" s="12"/>
      <c r="DR123" s="12"/>
      <c r="DS123" s="12"/>
      <c r="DT123" s="12"/>
      <c r="DU123" s="12"/>
      <c r="DV123" s="12"/>
      <c r="DW123" s="12"/>
      <c r="DX123" s="12"/>
      <c r="DY123" s="12"/>
      <c r="DZ123" s="12"/>
      <c r="EA123" s="12"/>
      <c r="EB123" s="12"/>
      <c r="EC123" s="12"/>
      <c r="ED123" s="12"/>
      <c r="EE123" s="12"/>
      <c r="EF123" s="12"/>
      <c r="EG123" s="12"/>
      <c r="EH123" s="12"/>
      <c r="EI123" s="12"/>
      <c r="EJ123" s="12"/>
      <c r="EK123" s="12"/>
      <c r="EL123" s="12"/>
      <c r="EM123" s="12"/>
      <c r="EN123" s="12"/>
      <c r="EO123" s="12"/>
      <c r="EP123" s="12"/>
      <c r="EQ123" s="12"/>
      <c r="ER123" s="12"/>
      <c r="ES123" s="12"/>
      <c r="ET123" s="12"/>
      <c r="EU123" s="12"/>
      <c r="EV123" s="12"/>
      <c r="EW123" s="12"/>
      <c r="EX123" s="12"/>
      <c r="EY123" s="12"/>
      <c r="EZ123" s="12"/>
      <c r="FA123" s="12"/>
      <c r="FB123" s="12"/>
      <c r="FC123" s="12"/>
      <c r="FD123" s="12"/>
      <c r="FE123" s="12"/>
      <c r="FF123" s="12"/>
      <c r="FG123" s="12"/>
      <c r="FH123" s="12"/>
      <c r="FI123" s="12"/>
      <c r="FJ123" s="12"/>
      <c r="FK123" s="12"/>
      <c r="FL123" s="12"/>
      <c r="FM123" s="12"/>
      <c r="FN123" s="12"/>
      <c r="FO123" s="12"/>
      <c r="FP123" s="12"/>
      <c r="FQ123" s="12"/>
      <c r="FR123" s="12"/>
      <c r="FS123" s="12"/>
      <c r="FT123" s="12"/>
      <c r="FU123" s="12"/>
      <c r="FV123" s="12"/>
      <c r="FW123" s="12"/>
      <c r="FX123" s="12"/>
      <c r="FY123" s="12"/>
      <c r="FZ123" s="12"/>
      <c r="GA123" s="12"/>
      <c r="GB123" s="12"/>
      <c r="GC123" s="12"/>
      <c r="GD123" s="12"/>
      <c r="GE123" s="12"/>
      <c r="GF123" s="12"/>
      <c r="GG123" s="12"/>
      <c r="GH123" s="12"/>
      <c r="GI123" s="12"/>
      <c r="GJ123" s="12"/>
      <c r="GK123" s="12"/>
      <c r="GL123" s="12"/>
      <c r="GM123" s="12"/>
      <c r="GN123" s="12"/>
      <c r="GO123" s="12"/>
      <c r="GP123" s="12"/>
      <c r="GQ123" s="12"/>
      <c r="GR123" s="12"/>
      <c r="GS123" s="12"/>
      <c r="GT123" s="12"/>
      <c r="GU123" s="12"/>
      <c r="GV123" s="12"/>
      <c r="GW123" s="12"/>
      <c r="GX123" s="12"/>
      <c r="GY123" s="12"/>
      <c r="GZ123" s="12"/>
      <c r="HA123" s="12"/>
      <c r="HB123" s="12"/>
      <c r="HC123" s="12"/>
      <c r="HD123" s="12"/>
      <c r="HE123" s="12"/>
      <c r="HF123" s="12"/>
      <c r="HG123" s="12"/>
      <c r="HH123" s="12"/>
      <c r="HI123" s="12"/>
      <c r="HJ123" s="12"/>
      <c r="HK123" s="12"/>
      <c r="HL123" s="12"/>
      <c r="HM123" s="12"/>
      <c r="HN123" s="12"/>
      <c r="HO123" s="12"/>
      <c r="HP123" s="12"/>
      <c r="HQ123" s="12"/>
      <c r="HR123" s="12"/>
      <c r="HS123" s="12"/>
      <c r="HT123" s="12"/>
      <c r="HU123" s="12"/>
      <c r="HV123" s="12"/>
      <c r="HW123" s="12"/>
      <c r="HX123" s="12"/>
      <c r="HY123" s="12"/>
      <c r="HZ123" s="12"/>
      <c r="IA123" s="12"/>
      <c r="IB123" s="12"/>
      <c r="IC123" s="12"/>
      <c r="ID123" s="12"/>
      <c r="IE123" s="12"/>
      <c r="IF123" s="12"/>
      <c r="IG123" s="12"/>
      <c r="IH123" s="12"/>
      <c r="II123" s="12"/>
      <c r="IJ123" s="12"/>
      <c r="IK123" s="12"/>
      <c r="IL123" s="12"/>
      <c r="IM123" s="12"/>
      <c r="IN123" s="12"/>
      <c r="IO123" s="12"/>
      <c r="IP123" s="12"/>
      <c r="IQ123" s="12"/>
      <c r="IR123" s="12"/>
      <c r="IS123" s="12"/>
      <c r="IT123" s="12"/>
      <c r="IU123" s="12"/>
      <c r="IV123" s="12"/>
      <c r="IW123" s="12"/>
    </row>
    <row r="124" customFormat="false" ht="11.25" hidden="false" customHeight="false" outlineLevel="0" collapsed="false">
      <c r="A124" s="25" t="n">
        <f aca="false">DATE(YEAR(A123),MONTH(A123)+1,1)</f>
        <v>49491</v>
      </c>
      <c r="B124" s="21" t="n">
        <v>2.08</v>
      </c>
      <c r="C124" s="21" t="n">
        <v>2.13</v>
      </c>
      <c r="D124" s="25" t="n">
        <f aca="false">DATE(YEAR(D123),MONTH(D123)+1,1)</f>
        <v>49491</v>
      </c>
      <c r="E124" s="21" t="n">
        <v>18.97</v>
      </c>
      <c r="F124" s="21" t="n">
        <v>19.642</v>
      </c>
      <c r="G124" s="6"/>
      <c r="H124" s="22" t="n">
        <f aca="false">A124</f>
        <v>49491</v>
      </c>
      <c r="I124" s="23" t="n">
        <f aca="false">IF($J$1="bid",B124,C124)</f>
        <v>2.13</v>
      </c>
      <c r="J124" s="24" t="n">
        <f aca="false">D124</f>
        <v>49491</v>
      </c>
      <c r="K124" s="23" t="n">
        <f aca="false">IF($J$1="bid",E124,F124)</f>
        <v>19.642</v>
      </c>
      <c r="L124" s="11"/>
      <c r="M124" s="11"/>
      <c r="N124" s="11"/>
      <c r="O124" s="11"/>
      <c r="P124" s="11"/>
      <c r="Q124" s="11"/>
      <c r="R124" s="11"/>
      <c r="S124" s="11"/>
      <c r="T124" s="11"/>
      <c r="U124" s="11"/>
      <c r="V124" s="11"/>
      <c r="W124" s="11"/>
      <c r="X124" s="11"/>
      <c r="Y124" s="11"/>
      <c r="Z124" s="11"/>
      <c r="AA124" s="11"/>
      <c r="AB124" s="11"/>
      <c r="AC124" s="11"/>
      <c r="AD124" s="11"/>
      <c r="AE124" s="11"/>
      <c r="AF124" s="11"/>
      <c r="AG124" s="11"/>
      <c r="AH124" s="11"/>
      <c r="AI124" s="11"/>
      <c r="AJ124" s="11"/>
      <c r="AK124" s="11"/>
      <c r="AL124" s="11"/>
      <c r="AM124" s="11"/>
      <c r="AN124" s="11"/>
      <c r="AO124" s="11"/>
      <c r="AP124" s="11"/>
      <c r="AQ124" s="11"/>
      <c r="AR124" s="5"/>
      <c r="AS124" s="12"/>
      <c r="AT124" s="12"/>
      <c r="AU124" s="12"/>
      <c r="AV124" s="12"/>
      <c r="AW124" s="12"/>
      <c r="AX124" s="12"/>
      <c r="AY124" s="12"/>
      <c r="AZ124" s="12"/>
      <c r="BA124" s="12"/>
      <c r="BB124" s="12"/>
      <c r="BC124" s="12"/>
      <c r="BD124" s="12"/>
      <c r="BE124" s="12"/>
      <c r="BF124" s="12"/>
      <c r="BG124" s="12"/>
      <c r="BH124" s="12"/>
      <c r="BI124" s="12"/>
      <c r="BJ124" s="12"/>
      <c r="BK124" s="12"/>
      <c r="BL124" s="12"/>
      <c r="BM124" s="12"/>
      <c r="BN124" s="12"/>
      <c r="BO124" s="12"/>
      <c r="BP124" s="12"/>
      <c r="BQ124" s="12"/>
      <c r="BR124" s="12"/>
      <c r="BS124" s="12"/>
      <c r="BT124" s="12"/>
      <c r="BU124" s="12"/>
      <c r="BV124" s="12"/>
      <c r="BW124" s="12"/>
      <c r="BX124" s="12"/>
      <c r="BY124" s="12"/>
      <c r="BZ124" s="12"/>
      <c r="CA124" s="12"/>
      <c r="CB124" s="12"/>
      <c r="CC124" s="12"/>
      <c r="CD124" s="12"/>
      <c r="CE124" s="12"/>
      <c r="CF124" s="12"/>
      <c r="CG124" s="12"/>
      <c r="CH124" s="12"/>
      <c r="CI124" s="12"/>
      <c r="CJ124" s="12"/>
      <c r="CK124" s="12"/>
      <c r="CL124" s="12"/>
      <c r="CM124" s="12"/>
      <c r="CN124" s="12"/>
      <c r="CO124" s="12"/>
      <c r="CP124" s="12"/>
      <c r="CQ124" s="12"/>
      <c r="CR124" s="12"/>
      <c r="CS124" s="12"/>
      <c r="CT124" s="12"/>
      <c r="CU124" s="12"/>
      <c r="CV124" s="12"/>
      <c r="CW124" s="12"/>
      <c r="CX124" s="12"/>
      <c r="CY124" s="12"/>
      <c r="CZ124" s="12"/>
      <c r="DA124" s="12"/>
      <c r="DB124" s="12"/>
      <c r="DC124" s="12"/>
      <c r="DD124" s="12"/>
      <c r="DE124" s="12"/>
      <c r="DF124" s="12"/>
      <c r="DG124" s="12"/>
      <c r="DH124" s="12"/>
      <c r="DI124" s="12"/>
      <c r="DJ124" s="12"/>
      <c r="DK124" s="12"/>
      <c r="DL124" s="12"/>
      <c r="DM124" s="12"/>
      <c r="DN124" s="12"/>
      <c r="DO124" s="12"/>
      <c r="DP124" s="12"/>
      <c r="DQ124" s="12"/>
      <c r="DR124" s="12"/>
      <c r="DS124" s="12"/>
      <c r="DT124" s="12"/>
      <c r="DU124" s="12"/>
      <c r="DV124" s="12"/>
      <c r="DW124" s="12"/>
      <c r="DX124" s="12"/>
      <c r="DY124" s="12"/>
      <c r="DZ124" s="12"/>
      <c r="EA124" s="12"/>
      <c r="EB124" s="12"/>
      <c r="EC124" s="12"/>
      <c r="ED124" s="12"/>
      <c r="EE124" s="12"/>
      <c r="EF124" s="12"/>
      <c r="EG124" s="12"/>
      <c r="EH124" s="12"/>
      <c r="EI124" s="12"/>
      <c r="EJ124" s="12"/>
      <c r="EK124" s="12"/>
      <c r="EL124" s="12"/>
      <c r="EM124" s="12"/>
      <c r="EN124" s="12"/>
      <c r="EO124" s="12"/>
      <c r="EP124" s="12"/>
      <c r="EQ124" s="12"/>
      <c r="ER124" s="12"/>
      <c r="ES124" s="12"/>
      <c r="ET124" s="12"/>
      <c r="EU124" s="12"/>
      <c r="EV124" s="12"/>
      <c r="EW124" s="12"/>
      <c r="EX124" s="12"/>
      <c r="EY124" s="12"/>
      <c r="EZ124" s="12"/>
      <c r="FA124" s="12"/>
      <c r="FB124" s="12"/>
      <c r="FC124" s="12"/>
      <c r="FD124" s="12"/>
      <c r="FE124" s="12"/>
      <c r="FF124" s="12"/>
      <c r="FG124" s="12"/>
      <c r="FH124" s="12"/>
      <c r="FI124" s="12"/>
      <c r="FJ124" s="12"/>
      <c r="FK124" s="12"/>
      <c r="FL124" s="12"/>
      <c r="FM124" s="12"/>
      <c r="FN124" s="12"/>
      <c r="FO124" s="12"/>
      <c r="FP124" s="12"/>
      <c r="FQ124" s="12"/>
      <c r="FR124" s="12"/>
      <c r="FS124" s="12"/>
      <c r="FT124" s="12"/>
      <c r="FU124" s="12"/>
      <c r="FV124" s="12"/>
      <c r="FW124" s="12"/>
      <c r="FX124" s="12"/>
      <c r="FY124" s="12"/>
      <c r="FZ124" s="12"/>
      <c r="GA124" s="12"/>
      <c r="GB124" s="12"/>
      <c r="GC124" s="12"/>
      <c r="GD124" s="12"/>
      <c r="GE124" s="12"/>
      <c r="GF124" s="12"/>
      <c r="GG124" s="12"/>
      <c r="GH124" s="12"/>
      <c r="GI124" s="12"/>
      <c r="GJ124" s="12"/>
      <c r="GK124" s="12"/>
      <c r="GL124" s="12"/>
      <c r="GM124" s="12"/>
      <c r="GN124" s="12"/>
      <c r="GO124" s="12"/>
      <c r="GP124" s="12"/>
      <c r="GQ124" s="12"/>
      <c r="GR124" s="12"/>
      <c r="GS124" s="12"/>
      <c r="GT124" s="12"/>
      <c r="GU124" s="12"/>
      <c r="GV124" s="12"/>
      <c r="GW124" s="12"/>
      <c r="GX124" s="12"/>
      <c r="GY124" s="12"/>
      <c r="GZ124" s="12"/>
      <c r="HA124" s="12"/>
      <c r="HB124" s="12"/>
      <c r="HC124" s="12"/>
      <c r="HD124" s="12"/>
      <c r="HE124" s="12"/>
      <c r="HF124" s="12"/>
      <c r="HG124" s="12"/>
      <c r="HH124" s="12"/>
      <c r="HI124" s="12"/>
      <c r="HJ124" s="12"/>
      <c r="HK124" s="12"/>
      <c r="HL124" s="12"/>
      <c r="HM124" s="12"/>
      <c r="HN124" s="12"/>
      <c r="HO124" s="12"/>
      <c r="HP124" s="12"/>
      <c r="HQ124" s="12"/>
      <c r="HR124" s="12"/>
      <c r="HS124" s="12"/>
      <c r="HT124" s="12"/>
      <c r="HU124" s="12"/>
      <c r="HV124" s="12"/>
      <c r="HW124" s="12"/>
      <c r="HX124" s="12"/>
      <c r="HY124" s="12"/>
      <c r="HZ124" s="12"/>
      <c r="IA124" s="12"/>
      <c r="IB124" s="12"/>
      <c r="IC124" s="12"/>
      <c r="ID124" s="12"/>
      <c r="IE124" s="12"/>
      <c r="IF124" s="12"/>
      <c r="IG124" s="12"/>
      <c r="IH124" s="12"/>
      <c r="II124" s="12"/>
      <c r="IJ124" s="12"/>
      <c r="IK124" s="12"/>
      <c r="IL124" s="12"/>
      <c r="IM124" s="12"/>
      <c r="IN124" s="12"/>
      <c r="IO124" s="12"/>
      <c r="IP124" s="12"/>
      <c r="IQ124" s="12"/>
      <c r="IR124" s="12"/>
      <c r="IS124" s="12"/>
      <c r="IT124" s="12"/>
      <c r="IU124" s="12"/>
      <c r="IV124" s="12"/>
      <c r="IW124" s="12"/>
    </row>
    <row r="125" customFormat="false" ht="11.25" hidden="false" customHeight="false" outlineLevel="0" collapsed="false">
      <c r="A125" s="25" t="n">
        <f aca="false">DATE(YEAR(A124),MONTH(A124)+1,1)</f>
        <v>49522</v>
      </c>
      <c r="B125" s="21" t="n">
        <v>2.08</v>
      </c>
      <c r="C125" s="21" t="n">
        <v>2.13</v>
      </c>
      <c r="D125" s="25" t="n">
        <f aca="false">DATE(YEAR(D124),MONTH(D124)+1,1)</f>
        <v>49522</v>
      </c>
      <c r="E125" s="21" t="n">
        <v>18.979</v>
      </c>
      <c r="F125" s="21" t="n">
        <v>19.659</v>
      </c>
      <c r="G125" s="6"/>
      <c r="H125" s="22" t="n">
        <f aca="false">A125</f>
        <v>49522</v>
      </c>
      <c r="I125" s="23" t="n">
        <f aca="false">IF($J$1="bid",B125,C125)</f>
        <v>2.13</v>
      </c>
      <c r="J125" s="24" t="n">
        <f aca="false">D125</f>
        <v>49522</v>
      </c>
      <c r="K125" s="23" t="n">
        <f aca="false">IF($J$1="bid",E125,F125)</f>
        <v>19.659</v>
      </c>
      <c r="L125" s="11"/>
      <c r="M125" s="11"/>
      <c r="N125" s="11"/>
      <c r="O125" s="11"/>
      <c r="P125" s="11"/>
      <c r="Q125" s="11"/>
      <c r="R125" s="11"/>
      <c r="S125" s="11"/>
      <c r="T125" s="11"/>
      <c r="U125" s="11"/>
      <c r="V125" s="11"/>
      <c r="W125" s="11"/>
      <c r="X125" s="11"/>
      <c r="Y125" s="11"/>
      <c r="Z125" s="11"/>
      <c r="AA125" s="11"/>
      <c r="AB125" s="11"/>
      <c r="AC125" s="11"/>
      <c r="AD125" s="11"/>
      <c r="AE125" s="11"/>
      <c r="AF125" s="11"/>
      <c r="AG125" s="11"/>
      <c r="AH125" s="11"/>
      <c r="AI125" s="11"/>
      <c r="AJ125" s="11"/>
      <c r="AK125" s="11"/>
      <c r="AL125" s="11"/>
      <c r="AM125" s="11"/>
      <c r="AN125" s="11"/>
      <c r="AO125" s="11"/>
      <c r="AP125" s="11"/>
      <c r="AQ125" s="11"/>
      <c r="AR125" s="5"/>
      <c r="AS125" s="12"/>
      <c r="AT125" s="12"/>
      <c r="AU125" s="12"/>
      <c r="AV125" s="12"/>
      <c r="AW125" s="12"/>
      <c r="AX125" s="12"/>
      <c r="AY125" s="12"/>
      <c r="AZ125" s="12"/>
      <c r="BA125" s="12"/>
      <c r="BB125" s="12"/>
      <c r="BC125" s="12"/>
      <c r="BD125" s="12"/>
      <c r="BE125" s="12"/>
      <c r="BF125" s="12"/>
      <c r="BG125" s="12"/>
      <c r="BH125" s="12"/>
      <c r="BI125" s="12"/>
      <c r="BJ125" s="12"/>
      <c r="BK125" s="12"/>
      <c r="BL125" s="12"/>
      <c r="BM125" s="12"/>
      <c r="BN125" s="12"/>
      <c r="BO125" s="12"/>
      <c r="BP125" s="12"/>
      <c r="BQ125" s="12"/>
      <c r="BR125" s="12"/>
      <c r="BS125" s="12"/>
      <c r="BT125" s="12"/>
      <c r="BU125" s="12"/>
      <c r="BV125" s="12"/>
      <c r="BW125" s="12"/>
      <c r="BX125" s="12"/>
      <c r="BY125" s="12"/>
      <c r="BZ125" s="12"/>
      <c r="CA125" s="12"/>
      <c r="CB125" s="12"/>
      <c r="CC125" s="12"/>
      <c r="CD125" s="12"/>
      <c r="CE125" s="12"/>
      <c r="CF125" s="12"/>
      <c r="CG125" s="12"/>
      <c r="CH125" s="12"/>
      <c r="CI125" s="12"/>
      <c r="CJ125" s="12"/>
      <c r="CK125" s="12"/>
      <c r="CL125" s="12"/>
      <c r="CM125" s="12"/>
      <c r="CN125" s="12"/>
      <c r="CO125" s="12"/>
      <c r="CP125" s="12"/>
      <c r="CQ125" s="12"/>
      <c r="CR125" s="12"/>
      <c r="CS125" s="12"/>
      <c r="CT125" s="12"/>
      <c r="CU125" s="12"/>
      <c r="CV125" s="12"/>
      <c r="CW125" s="12"/>
      <c r="CX125" s="12"/>
      <c r="CY125" s="12"/>
      <c r="CZ125" s="12"/>
      <c r="DA125" s="12"/>
      <c r="DB125" s="12"/>
      <c r="DC125" s="12"/>
      <c r="DD125" s="12"/>
      <c r="DE125" s="12"/>
      <c r="DF125" s="12"/>
      <c r="DG125" s="12"/>
      <c r="DH125" s="12"/>
      <c r="DI125" s="12"/>
      <c r="DJ125" s="12"/>
      <c r="DK125" s="12"/>
      <c r="DL125" s="12"/>
      <c r="DM125" s="12"/>
      <c r="DN125" s="12"/>
      <c r="DO125" s="12"/>
      <c r="DP125" s="12"/>
      <c r="DQ125" s="12"/>
      <c r="DR125" s="12"/>
      <c r="DS125" s="12"/>
      <c r="DT125" s="12"/>
      <c r="DU125" s="12"/>
      <c r="DV125" s="12"/>
      <c r="DW125" s="12"/>
      <c r="DX125" s="12"/>
      <c r="DY125" s="12"/>
      <c r="DZ125" s="12"/>
      <c r="EA125" s="12"/>
      <c r="EB125" s="12"/>
      <c r="EC125" s="12"/>
      <c r="ED125" s="12"/>
      <c r="EE125" s="12"/>
      <c r="EF125" s="12"/>
      <c r="EG125" s="12"/>
      <c r="EH125" s="12"/>
      <c r="EI125" s="12"/>
      <c r="EJ125" s="12"/>
      <c r="EK125" s="12"/>
      <c r="EL125" s="12"/>
      <c r="EM125" s="12"/>
      <c r="EN125" s="12"/>
      <c r="EO125" s="12"/>
      <c r="EP125" s="12"/>
      <c r="EQ125" s="12"/>
      <c r="ER125" s="12"/>
      <c r="ES125" s="12"/>
      <c r="ET125" s="12"/>
      <c r="EU125" s="12"/>
      <c r="EV125" s="12"/>
      <c r="EW125" s="12"/>
      <c r="EX125" s="12"/>
      <c r="EY125" s="12"/>
      <c r="EZ125" s="12"/>
      <c r="FA125" s="12"/>
      <c r="FB125" s="12"/>
      <c r="FC125" s="12"/>
      <c r="FD125" s="12"/>
      <c r="FE125" s="12"/>
      <c r="FF125" s="12"/>
      <c r="FG125" s="12"/>
      <c r="FH125" s="12"/>
      <c r="FI125" s="12"/>
      <c r="FJ125" s="12"/>
      <c r="FK125" s="12"/>
      <c r="FL125" s="12"/>
      <c r="FM125" s="12"/>
      <c r="FN125" s="12"/>
      <c r="FO125" s="12"/>
      <c r="FP125" s="12"/>
      <c r="FQ125" s="12"/>
      <c r="FR125" s="12"/>
      <c r="FS125" s="12"/>
      <c r="FT125" s="12"/>
      <c r="FU125" s="12"/>
      <c r="FV125" s="12"/>
      <c r="FW125" s="12"/>
      <c r="FX125" s="12"/>
      <c r="FY125" s="12"/>
      <c r="FZ125" s="12"/>
      <c r="GA125" s="12"/>
      <c r="GB125" s="12"/>
      <c r="GC125" s="12"/>
      <c r="GD125" s="12"/>
      <c r="GE125" s="12"/>
      <c r="GF125" s="12"/>
      <c r="GG125" s="12"/>
      <c r="GH125" s="12"/>
      <c r="GI125" s="12"/>
      <c r="GJ125" s="12"/>
      <c r="GK125" s="12"/>
      <c r="GL125" s="12"/>
      <c r="GM125" s="12"/>
      <c r="GN125" s="12"/>
      <c r="GO125" s="12"/>
      <c r="GP125" s="12"/>
      <c r="GQ125" s="12"/>
      <c r="GR125" s="12"/>
      <c r="GS125" s="12"/>
      <c r="GT125" s="12"/>
      <c r="GU125" s="12"/>
      <c r="GV125" s="12"/>
      <c r="GW125" s="12"/>
      <c r="GX125" s="12"/>
      <c r="GY125" s="12"/>
      <c r="GZ125" s="12"/>
      <c r="HA125" s="12"/>
      <c r="HB125" s="12"/>
      <c r="HC125" s="12"/>
      <c r="HD125" s="12"/>
      <c r="HE125" s="12"/>
      <c r="HF125" s="12"/>
      <c r="HG125" s="12"/>
      <c r="HH125" s="12"/>
      <c r="HI125" s="12"/>
      <c r="HJ125" s="12"/>
      <c r="HK125" s="12"/>
      <c r="HL125" s="12"/>
      <c r="HM125" s="12"/>
      <c r="HN125" s="12"/>
      <c r="HO125" s="12"/>
      <c r="HP125" s="12"/>
      <c r="HQ125" s="12"/>
      <c r="HR125" s="12"/>
      <c r="HS125" s="12"/>
      <c r="HT125" s="12"/>
      <c r="HU125" s="12"/>
      <c r="HV125" s="12"/>
      <c r="HW125" s="12"/>
      <c r="HX125" s="12"/>
      <c r="HY125" s="12"/>
      <c r="HZ125" s="12"/>
      <c r="IA125" s="12"/>
      <c r="IB125" s="12"/>
      <c r="IC125" s="12"/>
      <c r="ID125" s="12"/>
      <c r="IE125" s="12"/>
      <c r="IF125" s="12"/>
      <c r="IG125" s="12"/>
      <c r="IH125" s="12"/>
      <c r="II125" s="12"/>
      <c r="IJ125" s="12"/>
      <c r="IK125" s="12"/>
      <c r="IL125" s="12"/>
      <c r="IM125" s="12"/>
      <c r="IN125" s="12"/>
      <c r="IO125" s="12"/>
      <c r="IP125" s="12"/>
      <c r="IQ125" s="12"/>
      <c r="IR125" s="12"/>
      <c r="IS125" s="12"/>
      <c r="IT125" s="12"/>
      <c r="IU125" s="12"/>
      <c r="IV125" s="12"/>
      <c r="IW125" s="12"/>
    </row>
    <row r="126" customFormat="false" ht="11.25" hidden="false" customHeight="false" outlineLevel="0" collapsed="false">
      <c r="A126" s="25" t="n">
        <f aca="false">DATE(YEAR(A125),MONTH(A125)+1,1)</f>
        <v>49553</v>
      </c>
      <c r="B126" s="21" t="n">
        <v>2.154</v>
      </c>
      <c r="C126" s="21" t="n">
        <v>2.204</v>
      </c>
      <c r="D126" s="25" t="n">
        <f aca="false">DATE(YEAR(D125),MONTH(D125)+1,1)</f>
        <v>49553</v>
      </c>
      <c r="E126" s="21" t="n">
        <v>18.989</v>
      </c>
      <c r="F126" s="21" t="n">
        <v>19.677</v>
      </c>
      <c r="G126" s="6"/>
      <c r="H126" s="22" t="n">
        <f aca="false">A126</f>
        <v>49553</v>
      </c>
      <c r="I126" s="23" t="n">
        <f aca="false">IF($J$1="bid",B126,C126)</f>
        <v>2.204</v>
      </c>
      <c r="J126" s="24" t="n">
        <f aca="false">D126</f>
        <v>49553</v>
      </c>
      <c r="K126" s="23" t="n">
        <f aca="false">IF($J$1="bid",E126,F126)</f>
        <v>19.677</v>
      </c>
      <c r="L126" s="11"/>
      <c r="M126" s="11"/>
      <c r="N126" s="11"/>
      <c r="O126" s="11"/>
      <c r="P126" s="11"/>
      <c r="Q126" s="11"/>
      <c r="R126" s="11"/>
      <c r="S126" s="11"/>
      <c r="T126" s="11"/>
      <c r="U126" s="11"/>
      <c r="V126" s="11"/>
      <c r="W126" s="11"/>
      <c r="X126" s="11"/>
      <c r="Y126" s="11"/>
      <c r="Z126" s="11"/>
      <c r="AA126" s="11"/>
      <c r="AB126" s="11"/>
      <c r="AC126" s="11"/>
      <c r="AD126" s="11"/>
      <c r="AE126" s="11"/>
      <c r="AF126" s="11"/>
      <c r="AG126" s="11"/>
      <c r="AH126" s="11"/>
      <c r="AI126" s="11"/>
      <c r="AJ126" s="11"/>
      <c r="AK126" s="11"/>
      <c r="AL126" s="11"/>
      <c r="AM126" s="11"/>
      <c r="AN126" s="11"/>
      <c r="AO126" s="11"/>
      <c r="AP126" s="11"/>
      <c r="AQ126" s="11"/>
      <c r="AR126" s="5"/>
      <c r="AS126" s="12"/>
      <c r="AT126" s="12"/>
      <c r="AU126" s="12"/>
      <c r="AV126" s="12"/>
      <c r="AW126" s="12"/>
      <c r="AX126" s="12"/>
      <c r="AY126" s="12"/>
      <c r="AZ126" s="12"/>
      <c r="BA126" s="12"/>
      <c r="BB126" s="12"/>
      <c r="BC126" s="12"/>
      <c r="BD126" s="12"/>
      <c r="BE126" s="12"/>
      <c r="BF126" s="12"/>
      <c r="BG126" s="12"/>
      <c r="BH126" s="12"/>
      <c r="BI126" s="12"/>
      <c r="BJ126" s="12"/>
      <c r="BK126" s="12"/>
      <c r="BL126" s="12"/>
      <c r="BM126" s="12"/>
      <c r="BN126" s="12"/>
      <c r="BO126" s="12"/>
      <c r="BP126" s="12"/>
      <c r="BQ126" s="12"/>
      <c r="BR126" s="12"/>
      <c r="BS126" s="12"/>
      <c r="BT126" s="12"/>
      <c r="BU126" s="12"/>
      <c r="BV126" s="12"/>
      <c r="BW126" s="12"/>
      <c r="BX126" s="12"/>
      <c r="BY126" s="12"/>
      <c r="BZ126" s="12"/>
      <c r="CA126" s="12"/>
      <c r="CB126" s="12"/>
      <c r="CC126" s="12"/>
      <c r="CD126" s="12"/>
      <c r="CE126" s="12"/>
      <c r="CF126" s="12"/>
      <c r="CG126" s="12"/>
      <c r="CH126" s="12"/>
      <c r="CI126" s="12"/>
      <c r="CJ126" s="12"/>
      <c r="CK126" s="12"/>
      <c r="CL126" s="12"/>
      <c r="CM126" s="12"/>
      <c r="CN126" s="12"/>
      <c r="CO126" s="12"/>
      <c r="CP126" s="12"/>
      <c r="CQ126" s="12"/>
      <c r="CR126" s="12"/>
      <c r="CS126" s="12"/>
      <c r="CT126" s="12"/>
      <c r="CU126" s="12"/>
      <c r="CV126" s="12"/>
      <c r="CW126" s="12"/>
      <c r="CX126" s="12"/>
      <c r="CY126" s="12"/>
      <c r="CZ126" s="12"/>
      <c r="DA126" s="12"/>
      <c r="DB126" s="12"/>
      <c r="DC126" s="12"/>
      <c r="DD126" s="12"/>
      <c r="DE126" s="12"/>
      <c r="DF126" s="12"/>
      <c r="DG126" s="12"/>
      <c r="DH126" s="12"/>
      <c r="DI126" s="12"/>
      <c r="DJ126" s="12"/>
      <c r="DK126" s="12"/>
      <c r="DL126" s="12"/>
      <c r="DM126" s="12"/>
      <c r="DN126" s="12"/>
      <c r="DO126" s="12"/>
      <c r="DP126" s="12"/>
      <c r="DQ126" s="12"/>
      <c r="DR126" s="12"/>
      <c r="DS126" s="12"/>
      <c r="DT126" s="12"/>
      <c r="DU126" s="12"/>
      <c r="DV126" s="12"/>
      <c r="DW126" s="12"/>
      <c r="DX126" s="12"/>
      <c r="DY126" s="12"/>
      <c r="DZ126" s="12"/>
      <c r="EA126" s="12"/>
      <c r="EB126" s="12"/>
      <c r="EC126" s="12"/>
      <c r="ED126" s="12"/>
      <c r="EE126" s="12"/>
      <c r="EF126" s="12"/>
      <c r="EG126" s="12"/>
      <c r="EH126" s="12"/>
      <c r="EI126" s="12"/>
      <c r="EJ126" s="12"/>
      <c r="EK126" s="12"/>
      <c r="EL126" s="12"/>
      <c r="EM126" s="12"/>
      <c r="EN126" s="12"/>
      <c r="EO126" s="12"/>
      <c r="EP126" s="12"/>
      <c r="EQ126" s="12"/>
      <c r="ER126" s="12"/>
      <c r="ES126" s="12"/>
      <c r="ET126" s="12"/>
      <c r="EU126" s="12"/>
      <c r="EV126" s="12"/>
      <c r="EW126" s="12"/>
      <c r="EX126" s="12"/>
      <c r="EY126" s="12"/>
      <c r="EZ126" s="12"/>
      <c r="FA126" s="12"/>
      <c r="FB126" s="12"/>
      <c r="FC126" s="12"/>
      <c r="FD126" s="12"/>
      <c r="FE126" s="12"/>
      <c r="FF126" s="12"/>
      <c r="FG126" s="12"/>
      <c r="FH126" s="12"/>
      <c r="FI126" s="12"/>
      <c r="FJ126" s="12"/>
      <c r="FK126" s="12"/>
      <c r="FL126" s="12"/>
      <c r="FM126" s="12"/>
      <c r="FN126" s="12"/>
      <c r="FO126" s="12"/>
      <c r="FP126" s="12"/>
      <c r="FQ126" s="12"/>
      <c r="FR126" s="12"/>
      <c r="FS126" s="12"/>
      <c r="FT126" s="12"/>
      <c r="FU126" s="12"/>
      <c r="FV126" s="12"/>
      <c r="FW126" s="12"/>
      <c r="FX126" s="12"/>
      <c r="FY126" s="12"/>
      <c r="FZ126" s="12"/>
      <c r="GA126" s="12"/>
      <c r="GB126" s="12"/>
      <c r="GC126" s="12"/>
      <c r="GD126" s="12"/>
      <c r="GE126" s="12"/>
      <c r="GF126" s="12"/>
      <c r="GG126" s="12"/>
      <c r="GH126" s="12"/>
      <c r="GI126" s="12"/>
      <c r="GJ126" s="12"/>
      <c r="GK126" s="12"/>
      <c r="GL126" s="12"/>
      <c r="GM126" s="12"/>
      <c r="GN126" s="12"/>
      <c r="GO126" s="12"/>
      <c r="GP126" s="12"/>
      <c r="GQ126" s="12"/>
      <c r="GR126" s="12"/>
      <c r="GS126" s="12"/>
      <c r="GT126" s="12"/>
      <c r="GU126" s="12"/>
      <c r="GV126" s="12"/>
      <c r="GW126" s="12"/>
      <c r="GX126" s="12"/>
      <c r="GY126" s="12"/>
      <c r="GZ126" s="12"/>
      <c r="HA126" s="12"/>
      <c r="HB126" s="12"/>
      <c r="HC126" s="12"/>
      <c r="HD126" s="12"/>
      <c r="HE126" s="12"/>
      <c r="HF126" s="12"/>
      <c r="HG126" s="12"/>
      <c r="HH126" s="12"/>
      <c r="HI126" s="12"/>
      <c r="HJ126" s="12"/>
      <c r="HK126" s="12"/>
      <c r="HL126" s="12"/>
      <c r="HM126" s="12"/>
      <c r="HN126" s="12"/>
      <c r="HO126" s="12"/>
      <c r="HP126" s="12"/>
      <c r="HQ126" s="12"/>
      <c r="HR126" s="12"/>
      <c r="HS126" s="12"/>
      <c r="HT126" s="12"/>
      <c r="HU126" s="12"/>
      <c r="HV126" s="12"/>
      <c r="HW126" s="12"/>
      <c r="HX126" s="12"/>
      <c r="HY126" s="12"/>
      <c r="HZ126" s="12"/>
      <c r="IA126" s="12"/>
      <c r="IB126" s="12"/>
      <c r="IC126" s="12"/>
      <c r="ID126" s="12"/>
      <c r="IE126" s="12"/>
      <c r="IF126" s="12"/>
      <c r="IG126" s="12"/>
      <c r="IH126" s="12"/>
      <c r="II126" s="12"/>
      <c r="IJ126" s="12"/>
      <c r="IK126" s="12"/>
      <c r="IL126" s="12"/>
      <c r="IM126" s="12"/>
      <c r="IN126" s="12"/>
      <c r="IO126" s="12"/>
      <c r="IP126" s="12"/>
      <c r="IQ126" s="12"/>
      <c r="IR126" s="12"/>
      <c r="IS126" s="12"/>
      <c r="IT126" s="12"/>
      <c r="IU126" s="12"/>
      <c r="IV126" s="12"/>
      <c r="IW126" s="12"/>
    </row>
    <row r="127" customFormat="false" ht="11.25" hidden="false" customHeight="false" outlineLevel="0" collapsed="false">
      <c r="A127" s="25" t="n">
        <f aca="false">DATE(YEAR(A126),MONTH(A126)+1,1)</f>
        <v>49583</v>
      </c>
      <c r="B127" s="21" t="n">
        <v>2.272</v>
      </c>
      <c r="C127" s="21" t="n">
        <v>2.322</v>
      </c>
      <c r="D127" s="25" t="n">
        <f aca="false">DATE(YEAR(D126),MONTH(D126)+1,1)</f>
        <v>49583</v>
      </c>
      <c r="E127" s="21" t="n">
        <v>18.998</v>
      </c>
      <c r="F127" s="21" t="n">
        <v>19.694</v>
      </c>
      <c r="G127" s="6"/>
      <c r="H127" s="22" t="n">
        <f aca="false">A127</f>
        <v>49583</v>
      </c>
      <c r="I127" s="23" t="n">
        <f aca="false">IF($J$1="bid",B127,C127)</f>
        <v>2.322</v>
      </c>
      <c r="J127" s="24" t="n">
        <f aca="false">D127</f>
        <v>49583</v>
      </c>
      <c r="K127" s="23" t="n">
        <f aca="false">IF($J$1="bid",E127,F127)</f>
        <v>19.694</v>
      </c>
      <c r="L127" s="11"/>
      <c r="M127" s="11"/>
      <c r="N127" s="11"/>
      <c r="O127" s="11"/>
      <c r="P127" s="11"/>
      <c r="Q127" s="11"/>
      <c r="R127" s="11"/>
      <c r="S127" s="11"/>
      <c r="T127" s="11"/>
      <c r="U127" s="11"/>
      <c r="V127" s="11"/>
      <c r="W127" s="11"/>
      <c r="X127" s="11"/>
      <c r="Y127" s="11"/>
      <c r="Z127" s="11"/>
      <c r="AA127" s="11"/>
      <c r="AB127" s="11"/>
      <c r="AC127" s="11"/>
      <c r="AD127" s="11"/>
      <c r="AE127" s="11"/>
      <c r="AF127" s="11"/>
      <c r="AG127" s="11"/>
      <c r="AH127" s="11"/>
      <c r="AI127" s="11"/>
      <c r="AJ127" s="11"/>
      <c r="AK127" s="11"/>
      <c r="AL127" s="11"/>
      <c r="AM127" s="11"/>
      <c r="AN127" s="11"/>
      <c r="AO127" s="11"/>
      <c r="AP127" s="11"/>
      <c r="AQ127" s="11"/>
      <c r="AR127" s="5"/>
      <c r="AS127" s="12"/>
      <c r="AT127" s="12"/>
      <c r="AU127" s="12"/>
      <c r="AV127" s="12"/>
      <c r="AW127" s="12"/>
      <c r="AX127" s="12"/>
      <c r="AY127" s="12"/>
      <c r="AZ127" s="12"/>
      <c r="BA127" s="12"/>
      <c r="BB127" s="12"/>
      <c r="BC127" s="12"/>
      <c r="BD127" s="12"/>
      <c r="BE127" s="12"/>
      <c r="BF127" s="12"/>
      <c r="BG127" s="12"/>
      <c r="BH127" s="12"/>
      <c r="BI127" s="12"/>
      <c r="BJ127" s="12"/>
      <c r="BK127" s="12"/>
      <c r="BL127" s="12"/>
      <c r="BM127" s="12"/>
      <c r="BN127" s="12"/>
      <c r="BO127" s="12"/>
      <c r="BP127" s="12"/>
      <c r="BQ127" s="12"/>
      <c r="BR127" s="12"/>
      <c r="BS127" s="12"/>
      <c r="BT127" s="12"/>
      <c r="BU127" s="12"/>
      <c r="BV127" s="12"/>
      <c r="BW127" s="12"/>
      <c r="BX127" s="12"/>
      <c r="BY127" s="12"/>
      <c r="BZ127" s="12"/>
      <c r="CA127" s="12"/>
      <c r="CB127" s="12"/>
      <c r="CC127" s="12"/>
      <c r="CD127" s="12"/>
      <c r="CE127" s="12"/>
      <c r="CF127" s="12"/>
      <c r="CG127" s="12"/>
      <c r="CH127" s="12"/>
      <c r="CI127" s="12"/>
      <c r="CJ127" s="12"/>
      <c r="CK127" s="12"/>
      <c r="CL127" s="12"/>
      <c r="CM127" s="12"/>
      <c r="CN127" s="12"/>
      <c r="CO127" s="12"/>
      <c r="CP127" s="12"/>
      <c r="CQ127" s="12"/>
      <c r="CR127" s="12"/>
      <c r="CS127" s="12"/>
      <c r="CT127" s="12"/>
      <c r="CU127" s="12"/>
      <c r="CV127" s="12"/>
      <c r="CW127" s="12"/>
      <c r="CX127" s="12"/>
      <c r="CY127" s="12"/>
      <c r="CZ127" s="12"/>
      <c r="DA127" s="12"/>
      <c r="DB127" s="12"/>
      <c r="DC127" s="12"/>
      <c r="DD127" s="12"/>
      <c r="DE127" s="12"/>
      <c r="DF127" s="12"/>
      <c r="DG127" s="12"/>
      <c r="DH127" s="12"/>
      <c r="DI127" s="12"/>
      <c r="DJ127" s="12"/>
      <c r="DK127" s="12"/>
      <c r="DL127" s="12"/>
      <c r="DM127" s="12"/>
      <c r="DN127" s="12"/>
      <c r="DO127" s="12"/>
      <c r="DP127" s="12"/>
      <c r="DQ127" s="12"/>
      <c r="DR127" s="12"/>
      <c r="DS127" s="12"/>
      <c r="DT127" s="12"/>
      <c r="DU127" s="12"/>
      <c r="DV127" s="12"/>
      <c r="DW127" s="12"/>
      <c r="DX127" s="12"/>
      <c r="DY127" s="12"/>
      <c r="DZ127" s="12"/>
      <c r="EA127" s="12"/>
      <c r="EB127" s="12"/>
      <c r="EC127" s="12"/>
      <c r="ED127" s="12"/>
      <c r="EE127" s="12"/>
      <c r="EF127" s="12"/>
      <c r="EG127" s="12"/>
      <c r="EH127" s="12"/>
      <c r="EI127" s="12"/>
      <c r="EJ127" s="12"/>
      <c r="EK127" s="12"/>
      <c r="EL127" s="12"/>
      <c r="EM127" s="12"/>
      <c r="EN127" s="12"/>
      <c r="EO127" s="12"/>
      <c r="EP127" s="12"/>
      <c r="EQ127" s="12"/>
      <c r="ER127" s="12"/>
      <c r="ES127" s="12"/>
      <c r="ET127" s="12"/>
      <c r="EU127" s="12"/>
      <c r="EV127" s="12"/>
      <c r="EW127" s="12"/>
      <c r="EX127" s="12"/>
      <c r="EY127" s="12"/>
      <c r="EZ127" s="12"/>
      <c r="FA127" s="12"/>
      <c r="FB127" s="12"/>
      <c r="FC127" s="12"/>
      <c r="FD127" s="12"/>
      <c r="FE127" s="12"/>
      <c r="FF127" s="12"/>
      <c r="FG127" s="12"/>
      <c r="FH127" s="12"/>
      <c r="FI127" s="12"/>
      <c r="FJ127" s="12"/>
      <c r="FK127" s="12"/>
      <c r="FL127" s="12"/>
      <c r="FM127" s="12"/>
      <c r="FN127" s="12"/>
      <c r="FO127" s="12"/>
      <c r="FP127" s="12"/>
      <c r="FQ127" s="12"/>
      <c r="FR127" s="12"/>
      <c r="FS127" s="12"/>
      <c r="FT127" s="12"/>
      <c r="FU127" s="12"/>
      <c r="FV127" s="12"/>
      <c r="FW127" s="12"/>
      <c r="FX127" s="12"/>
      <c r="FY127" s="12"/>
      <c r="FZ127" s="12"/>
      <c r="GA127" s="12"/>
      <c r="GB127" s="12"/>
      <c r="GC127" s="12"/>
      <c r="GD127" s="12"/>
      <c r="GE127" s="12"/>
      <c r="GF127" s="12"/>
      <c r="GG127" s="12"/>
      <c r="GH127" s="12"/>
      <c r="GI127" s="12"/>
      <c r="GJ127" s="12"/>
      <c r="GK127" s="12"/>
      <c r="GL127" s="12"/>
      <c r="GM127" s="12"/>
      <c r="GN127" s="12"/>
      <c r="GO127" s="12"/>
      <c r="GP127" s="12"/>
      <c r="GQ127" s="12"/>
      <c r="GR127" s="12"/>
      <c r="GS127" s="12"/>
      <c r="GT127" s="12"/>
      <c r="GU127" s="12"/>
      <c r="GV127" s="12"/>
      <c r="GW127" s="12"/>
      <c r="GX127" s="12"/>
      <c r="GY127" s="12"/>
      <c r="GZ127" s="12"/>
      <c r="HA127" s="12"/>
      <c r="HB127" s="12"/>
      <c r="HC127" s="12"/>
      <c r="HD127" s="12"/>
      <c r="HE127" s="12"/>
      <c r="HF127" s="12"/>
      <c r="HG127" s="12"/>
      <c r="HH127" s="12"/>
      <c r="HI127" s="12"/>
      <c r="HJ127" s="12"/>
      <c r="HK127" s="12"/>
      <c r="HL127" s="12"/>
      <c r="HM127" s="12"/>
      <c r="HN127" s="12"/>
      <c r="HO127" s="12"/>
      <c r="HP127" s="12"/>
      <c r="HQ127" s="12"/>
      <c r="HR127" s="12"/>
      <c r="HS127" s="12"/>
      <c r="HT127" s="12"/>
      <c r="HU127" s="12"/>
      <c r="HV127" s="12"/>
      <c r="HW127" s="12"/>
      <c r="HX127" s="12"/>
      <c r="HY127" s="12"/>
      <c r="HZ127" s="12"/>
      <c r="IA127" s="12"/>
      <c r="IB127" s="12"/>
      <c r="IC127" s="12"/>
      <c r="ID127" s="12"/>
      <c r="IE127" s="12"/>
      <c r="IF127" s="12"/>
      <c r="IG127" s="12"/>
      <c r="IH127" s="12"/>
      <c r="II127" s="12"/>
      <c r="IJ127" s="12"/>
      <c r="IK127" s="12"/>
      <c r="IL127" s="12"/>
      <c r="IM127" s="12"/>
      <c r="IN127" s="12"/>
      <c r="IO127" s="12"/>
      <c r="IP127" s="12"/>
      <c r="IQ127" s="12"/>
      <c r="IR127" s="12"/>
      <c r="IS127" s="12"/>
      <c r="IT127" s="12"/>
      <c r="IU127" s="12"/>
      <c r="IV127" s="12"/>
      <c r="IW127" s="12"/>
    </row>
    <row r="128" customFormat="false" ht="11.25" hidden="false" customHeight="false" outlineLevel="0" collapsed="false">
      <c r="A128" s="25" t="n">
        <f aca="false">DATE(YEAR(A127),MONTH(A127)+1,1)</f>
        <v>49614</v>
      </c>
      <c r="B128" s="21" t="n">
        <v>2.363</v>
      </c>
      <c r="C128" s="21" t="n">
        <v>2.433</v>
      </c>
      <c r="D128" s="25" t="n">
        <f aca="false">DATE(YEAR(D127),MONTH(D127)+1,1)</f>
        <v>49614</v>
      </c>
      <c r="E128" s="21" t="n">
        <v>19.007</v>
      </c>
      <c r="F128" s="21" t="n">
        <v>19.712</v>
      </c>
      <c r="G128" s="6"/>
      <c r="H128" s="22" t="n">
        <f aca="false">A128</f>
        <v>49614</v>
      </c>
      <c r="I128" s="23" t="n">
        <f aca="false">IF($J$1="bid",B128,C128)</f>
        <v>2.433</v>
      </c>
      <c r="J128" s="24" t="n">
        <f aca="false">D128</f>
        <v>49614</v>
      </c>
      <c r="K128" s="23" t="n">
        <f aca="false">IF($J$1="bid",E128,F128)</f>
        <v>19.712</v>
      </c>
      <c r="L128" s="11"/>
      <c r="M128" s="11"/>
      <c r="N128" s="11"/>
      <c r="O128" s="11"/>
      <c r="P128" s="11"/>
      <c r="Q128" s="11"/>
      <c r="R128" s="11"/>
      <c r="S128" s="11"/>
      <c r="T128" s="11"/>
      <c r="U128" s="11"/>
      <c r="V128" s="11"/>
      <c r="W128" s="11"/>
      <c r="X128" s="11"/>
      <c r="Y128" s="11"/>
      <c r="Z128" s="11"/>
      <c r="AA128" s="11"/>
      <c r="AB128" s="11"/>
      <c r="AC128" s="11"/>
      <c r="AD128" s="11"/>
      <c r="AE128" s="11"/>
      <c r="AF128" s="11"/>
      <c r="AG128" s="11"/>
      <c r="AH128" s="11"/>
      <c r="AI128" s="11"/>
      <c r="AJ128" s="11"/>
      <c r="AK128" s="11"/>
      <c r="AL128" s="11"/>
      <c r="AM128" s="11"/>
      <c r="AN128" s="11"/>
      <c r="AO128" s="11"/>
      <c r="AP128" s="11"/>
      <c r="AQ128" s="11"/>
      <c r="AR128" s="5"/>
      <c r="AS128" s="12"/>
      <c r="AT128" s="12"/>
      <c r="AU128" s="12"/>
      <c r="AV128" s="12"/>
      <c r="AW128" s="12"/>
      <c r="AX128" s="12"/>
      <c r="AY128" s="12"/>
      <c r="AZ128" s="12"/>
      <c r="BA128" s="12"/>
      <c r="BB128" s="12"/>
      <c r="BC128" s="12"/>
      <c r="BD128" s="12"/>
      <c r="BE128" s="12"/>
      <c r="BF128" s="12"/>
      <c r="BG128" s="12"/>
      <c r="BH128" s="12"/>
      <c r="BI128" s="12"/>
      <c r="BJ128" s="12"/>
      <c r="BK128" s="12"/>
      <c r="BL128" s="12"/>
      <c r="BM128" s="12"/>
      <c r="BN128" s="12"/>
      <c r="BO128" s="12"/>
      <c r="BP128" s="12"/>
      <c r="BQ128" s="12"/>
      <c r="BR128" s="12"/>
      <c r="BS128" s="12"/>
      <c r="BT128" s="12"/>
      <c r="BU128" s="12"/>
      <c r="BV128" s="12"/>
      <c r="BW128" s="12"/>
      <c r="BX128" s="12"/>
      <c r="BY128" s="12"/>
      <c r="BZ128" s="12"/>
      <c r="CA128" s="12"/>
      <c r="CB128" s="12"/>
      <c r="CC128" s="12"/>
      <c r="CD128" s="12"/>
      <c r="CE128" s="12"/>
      <c r="CF128" s="12"/>
      <c r="CG128" s="12"/>
      <c r="CH128" s="12"/>
      <c r="CI128" s="12"/>
      <c r="CJ128" s="12"/>
      <c r="CK128" s="12"/>
      <c r="CL128" s="12"/>
      <c r="CM128" s="12"/>
      <c r="CN128" s="12"/>
      <c r="CO128" s="12"/>
      <c r="CP128" s="12"/>
      <c r="CQ128" s="12"/>
      <c r="CR128" s="12"/>
      <c r="CS128" s="12"/>
      <c r="CT128" s="12"/>
      <c r="CU128" s="12"/>
      <c r="CV128" s="12"/>
      <c r="CW128" s="12"/>
      <c r="CX128" s="12"/>
      <c r="CY128" s="12"/>
      <c r="CZ128" s="12"/>
      <c r="DA128" s="12"/>
      <c r="DB128" s="12"/>
      <c r="DC128" s="12"/>
      <c r="DD128" s="12"/>
      <c r="DE128" s="12"/>
      <c r="DF128" s="12"/>
      <c r="DG128" s="12"/>
      <c r="DH128" s="12"/>
      <c r="DI128" s="12"/>
      <c r="DJ128" s="12"/>
      <c r="DK128" s="12"/>
      <c r="DL128" s="12"/>
      <c r="DM128" s="12"/>
      <c r="DN128" s="12"/>
      <c r="DO128" s="12"/>
      <c r="DP128" s="12"/>
      <c r="DQ128" s="12"/>
      <c r="DR128" s="12"/>
      <c r="DS128" s="12"/>
      <c r="DT128" s="12"/>
      <c r="DU128" s="12"/>
      <c r="DV128" s="12"/>
      <c r="DW128" s="12"/>
      <c r="DX128" s="12"/>
      <c r="DY128" s="12"/>
      <c r="DZ128" s="12"/>
      <c r="EA128" s="12"/>
      <c r="EB128" s="12"/>
      <c r="EC128" s="12"/>
      <c r="ED128" s="12"/>
      <c r="EE128" s="12"/>
      <c r="EF128" s="12"/>
      <c r="EG128" s="12"/>
      <c r="EH128" s="12"/>
      <c r="EI128" s="12"/>
      <c r="EJ128" s="12"/>
      <c r="EK128" s="12"/>
      <c r="EL128" s="12"/>
      <c r="EM128" s="12"/>
      <c r="EN128" s="12"/>
      <c r="EO128" s="12"/>
      <c r="EP128" s="12"/>
      <c r="EQ128" s="12"/>
      <c r="ER128" s="12"/>
      <c r="ES128" s="12"/>
      <c r="ET128" s="12"/>
      <c r="EU128" s="12"/>
      <c r="EV128" s="12"/>
      <c r="EW128" s="12"/>
      <c r="EX128" s="12"/>
      <c r="EY128" s="12"/>
      <c r="EZ128" s="12"/>
      <c r="FA128" s="12"/>
      <c r="FB128" s="12"/>
      <c r="FC128" s="12"/>
      <c r="FD128" s="12"/>
      <c r="FE128" s="12"/>
      <c r="FF128" s="12"/>
      <c r="FG128" s="12"/>
      <c r="FH128" s="12"/>
      <c r="FI128" s="12"/>
      <c r="FJ128" s="12"/>
      <c r="FK128" s="12"/>
      <c r="FL128" s="12"/>
      <c r="FM128" s="12"/>
      <c r="FN128" s="12"/>
      <c r="FO128" s="12"/>
      <c r="FP128" s="12"/>
      <c r="FQ128" s="12"/>
      <c r="FR128" s="12"/>
      <c r="FS128" s="12"/>
      <c r="FT128" s="12"/>
      <c r="FU128" s="12"/>
      <c r="FV128" s="12"/>
      <c r="FW128" s="12"/>
      <c r="FX128" s="12"/>
      <c r="FY128" s="12"/>
      <c r="FZ128" s="12"/>
      <c r="GA128" s="12"/>
      <c r="GB128" s="12"/>
      <c r="GC128" s="12"/>
      <c r="GD128" s="12"/>
      <c r="GE128" s="12"/>
      <c r="GF128" s="12"/>
      <c r="GG128" s="12"/>
      <c r="GH128" s="12"/>
      <c r="GI128" s="12"/>
      <c r="GJ128" s="12"/>
      <c r="GK128" s="12"/>
      <c r="GL128" s="12"/>
      <c r="GM128" s="12"/>
      <c r="GN128" s="12"/>
      <c r="GO128" s="12"/>
      <c r="GP128" s="12"/>
      <c r="GQ128" s="12"/>
      <c r="GR128" s="12"/>
      <c r="GS128" s="12"/>
      <c r="GT128" s="12"/>
      <c r="GU128" s="12"/>
      <c r="GV128" s="12"/>
      <c r="GW128" s="12"/>
      <c r="GX128" s="12"/>
      <c r="GY128" s="12"/>
      <c r="GZ128" s="12"/>
      <c r="HA128" s="12"/>
      <c r="HB128" s="12"/>
      <c r="HC128" s="12"/>
      <c r="HD128" s="12"/>
      <c r="HE128" s="12"/>
      <c r="HF128" s="12"/>
      <c r="HG128" s="12"/>
      <c r="HH128" s="12"/>
      <c r="HI128" s="12"/>
      <c r="HJ128" s="12"/>
      <c r="HK128" s="12"/>
      <c r="HL128" s="12"/>
      <c r="HM128" s="12"/>
      <c r="HN128" s="12"/>
      <c r="HO128" s="12"/>
      <c r="HP128" s="12"/>
      <c r="HQ128" s="12"/>
      <c r="HR128" s="12"/>
      <c r="HS128" s="12"/>
      <c r="HT128" s="12"/>
      <c r="HU128" s="12"/>
      <c r="HV128" s="12"/>
      <c r="HW128" s="12"/>
      <c r="HX128" s="12"/>
      <c r="HY128" s="12"/>
      <c r="HZ128" s="12"/>
      <c r="IA128" s="12"/>
      <c r="IB128" s="12"/>
      <c r="IC128" s="12"/>
      <c r="ID128" s="12"/>
      <c r="IE128" s="12"/>
      <c r="IF128" s="12"/>
      <c r="IG128" s="12"/>
      <c r="IH128" s="12"/>
      <c r="II128" s="12"/>
      <c r="IJ128" s="12"/>
      <c r="IK128" s="12"/>
      <c r="IL128" s="12"/>
      <c r="IM128" s="12"/>
      <c r="IN128" s="12"/>
      <c r="IO128" s="12"/>
      <c r="IP128" s="12"/>
      <c r="IQ128" s="12"/>
      <c r="IR128" s="12"/>
      <c r="IS128" s="12"/>
      <c r="IT128" s="12"/>
      <c r="IU128" s="12"/>
      <c r="IV128" s="12"/>
      <c r="IW128" s="12"/>
    </row>
    <row r="129" customFormat="false" ht="11.25" hidden="false" customHeight="false" outlineLevel="0" collapsed="false">
      <c r="A129" s="25" t="n">
        <f aca="false">DATE(YEAR(A128),MONTH(A128)+1,1)</f>
        <v>49644</v>
      </c>
      <c r="B129" s="21" t="n">
        <v>2.278</v>
      </c>
      <c r="C129" s="21" t="n">
        <v>2.348</v>
      </c>
      <c r="D129" s="25" t="n">
        <f aca="false">DATE(YEAR(D128),MONTH(D128)+1,1)</f>
        <v>49644</v>
      </c>
      <c r="E129" s="21" t="n">
        <v>19.016</v>
      </c>
      <c r="F129" s="21" t="n">
        <v>19.729</v>
      </c>
      <c r="G129" s="6"/>
      <c r="H129" s="22" t="n">
        <f aca="false">A129</f>
        <v>49644</v>
      </c>
      <c r="I129" s="23" t="n">
        <f aca="false">IF($J$1="bid",B129,C129)</f>
        <v>2.348</v>
      </c>
      <c r="J129" s="24" t="n">
        <f aca="false">D129</f>
        <v>49644</v>
      </c>
      <c r="K129" s="23" t="n">
        <f aca="false">IF($J$1="bid",E129,F129)</f>
        <v>19.729</v>
      </c>
      <c r="L129" s="11"/>
      <c r="M129" s="11"/>
      <c r="N129" s="11"/>
      <c r="O129" s="11"/>
      <c r="P129" s="11"/>
      <c r="Q129" s="11"/>
      <c r="R129" s="11"/>
      <c r="S129" s="11"/>
      <c r="T129" s="11"/>
      <c r="U129" s="11"/>
      <c r="V129" s="11"/>
      <c r="W129" s="11"/>
      <c r="X129" s="11"/>
      <c r="Y129" s="11"/>
      <c r="Z129" s="11"/>
      <c r="AA129" s="11"/>
      <c r="AB129" s="11"/>
      <c r="AC129" s="11"/>
      <c r="AD129" s="11"/>
      <c r="AE129" s="11"/>
      <c r="AF129" s="11"/>
      <c r="AG129" s="11"/>
      <c r="AH129" s="11"/>
      <c r="AI129" s="11"/>
      <c r="AJ129" s="11"/>
      <c r="AK129" s="11"/>
      <c r="AL129" s="11"/>
      <c r="AM129" s="11"/>
      <c r="AN129" s="11"/>
      <c r="AO129" s="11"/>
      <c r="AP129" s="11"/>
      <c r="AQ129" s="11"/>
      <c r="AR129" s="5"/>
      <c r="AS129" s="12"/>
      <c r="AT129" s="12"/>
      <c r="AU129" s="12"/>
      <c r="AV129" s="12"/>
      <c r="AW129" s="12"/>
      <c r="AX129" s="12"/>
      <c r="AY129" s="12"/>
      <c r="AZ129" s="12"/>
      <c r="BA129" s="12"/>
      <c r="BB129" s="12"/>
      <c r="BC129" s="12"/>
      <c r="BD129" s="12"/>
      <c r="BE129" s="12"/>
      <c r="BF129" s="12"/>
      <c r="BG129" s="12"/>
      <c r="BH129" s="12"/>
      <c r="BI129" s="12"/>
      <c r="BJ129" s="12"/>
      <c r="BK129" s="12"/>
      <c r="BL129" s="12"/>
      <c r="BM129" s="12"/>
      <c r="BN129" s="12"/>
      <c r="BO129" s="12"/>
      <c r="BP129" s="12"/>
      <c r="BQ129" s="12"/>
      <c r="BR129" s="12"/>
      <c r="BS129" s="12"/>
      <c r="BT129" s="12"/>
      <c r="BU129" s="12"/>
      <c r="BV129" s="12"/>
      <c r="BW129" s="12"/>
      <c r="BX129" s="12"/>
      <c r="BY129" s="12"/>
      <c r="BZ129" s="12"/>
      <c r="CA129" s="12"/>
      <c r="CB129" s="12"/>
      <c r="CC129" s="12"/>
      <c r="CD129" s="12"/>
      <c r="CE129" s="12"/>
      <c r="CF129" s="12"/>
      <c r="CG129" s="12"/>
      <c r="CH129" s="12"/>
      <c r="CI129" s="12"/>
      <c r="CJ129" s="12"/>
      <c r="CK129" s="12"/>
      <c r="CL129" s="12"/>
      <c r="CM129" s="12"/>
      <c r="CN129" s="12"/>
      <c r="CO129" s="12"/>
      <c r="CP129" s="12"/>
      <c r="CQ129" s="12"/>
      <c r="CR129" s="12"/>
      <c r="CS129" s="12"/>
      <c r="CT129" s="12"/>
      <c r="CU129" s="12"/>
      <c r="CV129" s="12"/>
      <c r="CW129" s="12"/>
      <c r="CX129" s="12"/>
      <c r="CY129" s="12"/>
      <c r="CZ129" s="12"/>
      <c r="DA129" s="12"/>
      <c r="DB129" s="12"/>
      <c r="DC129" s="12"/>
      <c r="DD129" s="12"/>
      <c r="DE129" s="12"/>
      <c r="DF129" s="12"/>
      <c r="DG129" s="12"/>
      <c r="DH129" s="12"/>
      <c r="DI129" s="12"/>
      <c r="DJ129" s="12"/>
      <c r="DK129" s="12"/>
      <c r="DL129" s="12"/>
      <c r="DM129" s="12"/>
      <c r="DN129" s="12"/>
      <c r="DO129" s="12"/>
      <c r="DP129" s="12"/>
      <c r="DQ129" s="12"/>
      <c r="DR129" s="12"/>
      <c r="DS129" s="12"/>
      <c r="DT129" s="12"/>
      <c r="DU129" s="12"/>
      <c r="DV129" s="12"/>
      <c r="DW129" s="12"/>
      <c r="DX129" s="12"/>
      <c r="DY129" s="12"/>
      <c r="DZ129" s="12"/>
      <c r="EA129" s="12"/>
      <c r="EB129" s="12"/>
      <c r="EC129" s="12"/>
      <c r="ED129" s="12"/>
      <c r="EE129" s="12"/>
      <c r="EF129" s="12"/>
      <c r="EG129" s="12"/>
      <c r="EH129" s="12"/>
      <c r="EI129" s="12"/>
      <c r="EJ129" s="12"/>
      <c r="EK129" s="12"/>
      <c r="EL129" s="12"/>
      <c r="EM129" s="12"/>
      <c r="EN129" s="12"/>
      <c r="EO129" s="12"/>
      <c r="EP129" s="12"/>
      <c r="EQ129" s="12"/>
      <c r="ER129" s="12"/>
      <c r="ES129" s="12"/>
      <c r="ET129" s="12"/>
      <c r="EU129" s="12"/>
      <c r="EV129" s="12"/>
      <c r="EW129" s="12"/>
      <c r="EX129" s="12"/>
      <c r="EY129" s="12"/>
      <c r="EZ129" s="12"/>
      <c r="FA129" s="12"/>
      <c r="FB129" s="12"/>
      <c r="FC129" s="12"/>
      <c r="FD129" s="12"/>
      <c r="FE129" s="12"/>
      <c r="FF129" s="12"/>
      <c r="FG129" s="12"/>
      <c r="FH129" s="12"/>
      <c r="FI129" s="12"/>
      <c r="FJ129" s="12"/>
      <c r="FK129" s="12"/>
      <c r="FL129" s="12"/>
      <c r="FM129" s="12"/>
      <c r="FN129" s="12"/>
      <c r="FO129" s="12"/>
      <c r="FP129" s="12"/>
      <c r="FQ129" s="12"/>
      <c r="FR129" s="12"/>
      <c r="FS129" s="12"/>
      <c r="FT129" s="12"/>
      <c r="FU129" s="12"/>
      <c r="FV129" s="12"/>
      <c r="FW129" s="12"/>
      <c r="FX129" s="12"/>
      <c r="FY129" s="12"/>
      <c r="FZ129" s="12"/>
      <c r="GA129" s="12"/>
      <c r="GB129" s="12"/>
      <c r="GC129" s="12"/>
      <c r="GD129" s="12"/>
      <c r="GE129" s="12"/>
      <c r="GF129" s="12"/>
      <c r="GG129" s="12"/>
      <c r="GH129" s="12"/>
      <c r="GI129" s="12"/>
      <c r="GJ129" s="12"/>
      <c r="GK129" s="12"/>
      <c r="GL129" s="12"/>
      <c r="GM129" s="12"/>
      <c r="GN129" s="12"/>
      <c r="GO129" s="12"/>
      <c r="GP129" s="12"/>
      <c r="GQ129" s="12"/>
      <c r="GR129" s="12"/>
      <c r="GS129" s="12"/>
      <c r="GT129" s="12"/>
      <c r="GU129" s="12"/>
      <c r="GV129" s="12"/>
      <c r="GW129" s="12"/>
      <c r="GX129" s="12"/>
      <c r="GY129" s="12"/>
      <c r="GZ129" s="12"/>
      <c r="HA129" s="12"/>
      <c r="HB129" s="12"/>
      <c r="HC129" s="12"/>
      <c r="HD129" s="12"/>
      <c r="HE129" s="12"/>
      <c r="HF129" s="12"/>
      <c r="HG129" s="12"/>
      <c r="HH129" s="12"/>
      <c r="HI129" s="12"/>
      <c r="HJ129" s="12"/>
      <c r="HK129" s="12"/>
      <c r="HL129" s="12"/>
      <c r="HM129" s="12"/>
      <c r="HN129" s="12"/>
      <c r="HO129" s="12"/>
      <c r="HP129" s="12"/>
      <c r="HQ129" s="12"/>
      <c r="HR129" s="12"/>
      <c r="HS129" s="12"/>
      <c r="HT129" s="12"/>
      <c r="HU129" s="12"/>
      <c r="HV129" s="12"/>
      <c r="HW129" s="12"/>
      <c r="HX129" s="12"/>
      <c r="HY129" s="12"/>
      <c r="HZ129" s="12"/>
      <c r="IA129" s="12"/>
      <c r="IB129" s="12"/>
      <c r="IC129" s="12"/>
      <c r="ID129" s="12"/>
      <c r="IE129" s="12"/>
      <c r="IF129" s="12"/>
      <c r="IG129" s="12"/>
      <c r="IH129" s="12"/>
      <c r="II129" s="12"/>
      <c r="IJ129" s="12"/>
      <c r="IK129" s="12"/>
      <c r="IL129" s="12"/>
      <c r="IM129" s="12"/>
      <c r="IN129" s="12"/>
      <c r="IO129" s="12"/>
      <c r="IP129" s="12"/>
      <c r="IQ129" s="12"/>
      <c r="IR129" s="12"/>
      <c r="IS129" s="12"/>
      <c r="IT129" s="12"/>
      <c r="IU129" s="12"/>
      <c r="IV129" s="12"/>
      <c r="IW129" s="12"/>
    </row>
    <row r="130" customFormat="false" ht="11.25" hidden="false" customHeight="false" outlineLevel="0" collapsed="false">
      <c r="A130" s="25" t="n">
        <f aca="false">DATE(YEAR(A129),MONTH(A129)+1,1)</f>
        <v>49675</v>
      </c>
      <c r="B130" s="21" t="n">
        <v>2.212</v>
      </c>
      <c r="C130" s="21" t="n">
        <v>2.282</v>
      </c>
      <c r="D130" s="25" t="n">
        <f aca="false">DATE(YEAR(D129),MONTH(D129)+1,1)</f>
        <v>49675</v>
      </c>
      <c r="E130" s="21" t="n">
        <v>19.025</v>
      </c>
      <c r="F130" s="21" t="n">
        <v>19.746</v>
      </c>
      <c r="G130" s="6"/>
      <c r="H130" s="22" t="n">
        <f aca="false">A130</f>
        <v>49675</v>
      </c>
      <c r="I130" s="23" t="n">
        <f aca="false">IF($J$1="bid",B130,C130)</f>
        <v>2.282</v>
      </c>
      <c r="J130" s="24" t="n">
        <f aca="false">D130</f>
        <v>49675</v>
      </c>
      <c r="K130" s="23" t="n">
        <f aca="false">IF($J$1="bid",E130,F130)</f>
        <v>19.746</v>
      </c>
      <c r="L130" s="11"/>
      <c r="M130" s="11"/>
      <c r="N130" s="11"/>
      <c r="O130" s="11"/>
      <c r="P130" s="11"/>
      <c r="Q130" s="11"/>
      <c r="R130" s="11"/>
      <c r="S130" s="11"/>
      <c r="T130" s="11"/>
      <c r="U130" s="11"/>
      <c r="V130" s="11"/>
      <c r="W130" s="11"/>
      <c r="X130" s="11"/>
      <c r="Y130" s="11"/>
      <c r="Z130" s="11"/>
      <c r="AA130" s="11"/>
      <c r="AB130" s="11"/>
      <c r="AC130" s="11"/>
      <c r="AD130" s="11"/>
      <c r="AE130" s="11"/>
      <c r="AF130" s="11"/>
      <c r="AG130" s="11"/>
      <c r="AH130" s="11"/>
      <c r="AI130" s="11"/>
      <c r="AJ130" s="11"/>
      <c r="AK130" s="11"/>
      <c r="AL130" s="11"/>
      <c r="AM130" s="11"/>
      <c r="AN130" s="11"/>
      <c r="AO130" s="11"/>
      <c r="AP130" s="11"/>
      <c r="AQ130" s="11"/>
      <c r="AR130" s="5"/>
      <c r="AS130" s="12"/>
      <c r="AT130" s="12"/>
      <c r="AU130" s="12"/>
      <c r="AV130" s="12"/>
      <c r="AW130" s="12"/>
      <c r="AX130" s="12"/>
      <c r="AY130" s="12"/>
      <c r="AZ130" s="12"/>
      <c r="BA130" s="12"/>
      <c r="BB130" s="12"/>
      <c r="BC130" s="12"/>
      <c r="BD130" s="12"/>
      <c r="BE130" s="12"/>
      <c r="BF130" s="12"/>
      <c r="BG130" s="12"/>
      <c r="BH130" s="12"/>
      <c r="BI130" s="12"/>
      <c r="BJ130" s="12"/>
      <c r="BK130" s="12"/>
      <c r="BL130" s="12"/>
      <c r="BM130" s="12"/>
      <c r="BN130" s="12"/>
      <c r="BO130" s="12"/>
      <c r="BP130" s="12"/>
      <c r="BQ130" s="12"/>
      <c r="BR130" s="12"/>
      <c r="BS130" s="12"/>
      <c r="BT130" s="12"/>
      <c r="BU130" s="12"/>
      <c r="BV130" s="12"/>
      <c r="BW130" s="12"/>
      <c r="BX130" s="12"/>
      <c r="BY130" s="12"/>
      <c r="BZ130" s="12"/>
      <c r="CA130" s="12"/>
      <c r="CB130" s="12"/>
      <c r="CC130" s="12"/>
      <c r="CD130" s="12"/>
      <c r="CE130" s="12"/>
      <c r="CF130" s="12"/>
      <c r="CG130" s="12"/>
      <c r="CH130" s="12"/>
      <c r="CI130" s="12"/>
      <c r="CJ130" s="12"/>
      <c r="CK130" s="12"/>
      <c r="CL130" s="12"/>
      <c r="CM130" s="12"/>
      <c r="CN130" s="12"/>
      <c r="CO130" s="12"/>
      <c r="CP130" s="12"/>
      <c r="CQ130" s="12"/>
      <c r="CR130" s="12"/>
      <c r="CS130" s="12"/>
      <c r="CT130" s="12"/>
      <c r="CU130" s="12"/>
      <c r="CV130" s="12"/>
      <c r="CW130" s="12"/>
      <c r="CX130" s="12"/>
      <c r="CY130" s="12"/>
      <c r="CZ130" s="12"/>
      <c r="DA130" s="12"/>
      <c r="DB130" s="12"/>
      <c r="DC130" s="12"/>
      <c r="DD130" s="12"/>
      <c r="DE130" s="12"/>
      <c r="DF130" s="12"/>
      <c r="DG130" s="12"/>
      <c r="DH130" s="12"/>
      <c r="DI130" s="12"/>
      <c r="DJ130" s="12"/>
      <c r="DK130" s="12"/>
      <c r="DL130" s="12"/>
      <c r="DM130" s="12"/>
      <c r="DN130" s="12"/>
      <c r="DO130" s="12"/>
      <c r="DP130" s="12"/>
      <c r="DQ130" s="12"/>
      <c r="DR130" s="12"/>
      <c r="DS130" s="12"/>
      <c r="DT130" s="12"/>
      <c r="DU130" s="12"/>
      <c r="DV130" s="12"/>
      <c r="DW130" s="12"/>
      <c r="DX130" s="12"/>
      <c r="DY130" s="12"/>
      <c r="DZ130" s="12"/>
      <c r="EA130" s="12"/>
      <c r="EB130" s="12"/>
      <c r="EC130" s="12"/>
      <c r="ED130" s="12"/>
      <c r="EE130" s="12"/>
      <c r="EF130" s="12"/>
      <c r="EG130" s="12"/>
      <c r="EH130" s="12"/>
      <c r="EI130" s="12"/>
      <c r="EJ130" s="12"/>
      <c r="EK130" s="12"/>
      <c r="EL130" s="12"/>
      <c r="EM130" s="12"/>
      <c r="EN130" s="12"/>
      <c r="EO130" s="12"/>
      <c r="EP130" s="12"/>
      <c r="EQ130" s="12"/>
      <c r="ER130" s="12"/>
      <c r="ES130" s="12"/>
      <c r="ET130" s="12"/>
      <c r="EU130" s="12"/>
      <c r="EV130" s="12"/>
      <c r="EW130" s="12"/>
      <c r="EX130" s="12"/>
      <c r="EY130" s="12"/>
      <c r="EZ130" s="12"/>
      <c r="FA130" s="12"/>
      <c r="FB130" s="12"/>
      <c r="FC130" s="12"/>
      <c r="FD130" s="12"/>
      <c r="FE130" s="12"/>
      <c r="FF130" s="12"/>
      <c r="FG130" s="12"/>
      <c r="FH130" s="12"/>
      <c r="FI130" s="12"/>
      <c r="FJ130" s="12"/>
      <c r="FK130" s="12"/>
      <c r="FL130" s="12"/>
      <c r="FM130" s="12"/>
      <c r="FN130" s="12"/>
      <c r="FO130" s="12"/>
      <c r="FP130" s="12"/>
      <c r="FQ130" s="12"/>
      <c r="FR130" s="12"/>
      <c r="FS130" s="12"/>
      <c r="FT130" s="12"/>
      <c r="FU130" s="12"/>
      <c r="FV130" s="12"/>
      <c r="FW130" s="12"/>
      <c r="FX130" s="12"/>
      <c r="FY130" s="12"/>
      <c r="FZ130" s="12"/>
      <c r="GA130" s="12"/>
      <c r="GB130" s="12"/>
      <c r="GC130" s="12"/>
      <c r="GD130" s="12"/>
      <c r="GE130" s="12"/>
      <c r="GF130" s="12"/>
      <c r="GG130" s="12"/>
      <c r="GH130" s="12"/>
      <c r="GI130" s="12"/>
      <c r="GJ130" s="12"/>
      <c r="GK130" s="12"/>
      <c r="GL130" s="12"/>
      <c r="GM130" s="12"/>
      <c r="GN130" s="12"/>
      <c r="GO130" s="12"/>
      <c r="GP130" s="12"/>
      <c r="GQ130" s="12"/>
      <c r="GR130" s="12"/>
      <c r="GS130" s="12"/>
      <c r="GT130" s="12"/>
      <c r="GU130" s="12"/>
      <c r="GV130" s="12"/>
      <c r="GW130" s="12"/>
      <c r="GX130" s="12"/>
      <c r="GY130" s="12"/>
      <c r="GZ130" s="12"/>
      <c r="HA130" s="12"/>
      <c r="HB130" s="12"/>
      <c r="HC130" s="12"/>
      <c r="HD130" s="12"/>
      <c r="HE130" s="12"/>
      <c r="HF130" s="12"/>
      <c r="HG130" s="12"/>
      <c r="HH130" s="12"/>
      <c r="HI130" s="12"/>
      <c r="HJ130" s="12"/>
      <c r="HK130" s="12"/>
      <c r="HL130" s="12"/>
      <c r="HM130" s="12"/>
      <c r="HN130" s="12"/>
      <c r="HO130" s="12"/>
      <c r="HP130" s="12"/>
      <c r="HQ130" s="12"/>
      <c r="HR130" s="12"/>
      <c r="HS130" s="12"/>
      <c r="HT130" s="12"/>
      <c r="HU130" s="12"/>
      <c r="HV130" s="12"/>
      <c r="HW130" s="12"/>
      <c r="HX130" s="12"/>
      <c r="HY130" s="12"/>
      <c r="HZ130" s="12"/>
      <c r="IA130" s="12"/>
      <c r="IB130" s="12"/>
      <c r="IC130" s="12"/>
      <c r="ID130" s="12"/>
      <c r="IE130" s="12"/>
      <c r="IF130" s="12"/>
      <c r="IG130" s="12"/>
      <c r="IH130" s="12"/>
      <c r="II130" s="12"/>
      <c r="IJ130" s="12"/>
      <c r="IK130" s="12"/>
      <c r="IL130" s="12"/>
      <c r="IM130" s="12"/>
      <c r="IN130" s="12"/>
      <c r="IO130" s="12"/>
      <c r="IP130" s="12"/>
      <c r="IQ130" s="12"/>
      <c r="IR130" s="12"/>
      <c r="IS130" s="12"/>
      <c r="IT130" s="12"/>
      <c r="IU130" s="12"/>
      <c r="IV130" s="12"/>
      <c r="IW130" s="12"/>
    </row>
    <row r="131" customFormat="false" ht="11.25" hidden="false" customHeight="false" outlineLevel="0" collapsed="false">
      <c r="A131" s="25" t="n">
        <f aca="false">DATE(YEAR(A130),MONTH(A130)+1,1)</f>
        <v>49706</v>
      </c>
      <c r="B131" s="21" t="n">
        <v>2.163</v>
      </c>
      <c r="C131" s="21" t="n">
        <v>2.233</v>
      </c>
      <c r="D131" s="25" t="n">
        <f aca="false">DATE(YEAR(D130),MONTH(D130)+1,1)</f>
        <v>49706</v>
      </c>
      <c r="E131" s="21" t="n">
        <v>19.033</v>
      </c>
      <c r="F131" s="21" t="n">
        <v>19.762</v>
      </c>
      <c r="G131" s="6"/>
      <c r="H131" s="22" t="n">
        <f aca="false">A131</f>
        <v>49706</v>
      </c>
      <c r="I131" s="23" t="n">
        <f aca="false">IF($J$1="bid",B131,C131)</f>
        <v>2.233</v>
      </c>
      <c r="J131" s="24" t="n">
        <f aca="false">D131</f>
        <v>49706</v>
      </c>
      <c r="K131" s="23" t="n">
        <f aca="false">IF($J$1="bid",E131,F131)</f>
        <v>19.762</v>
      </c>
      <c r="L131" s="11"/>
      <c r="M131" s="11"/>
      <c r="N131" s="11"/>
      <c r="O131" s="11"/>
      <c r="P131" s="11"/>
      <c r="Q131" s="11"/>
      <c r="R131" s="11"/>
      <c r="S131" s="11"/>
      <c r="T131" s="11"/>
      <c r="U131" s="11"/>
      <c r="V131" s="11"/>
      <c r="W131" s="11"/>
      <c r="X131" s="11"/>
      <c r="Y131" s="11"/>
      <c r="Z131" s="11"/>
      <c r="AA131" s="11"/>
      <c r="AB131" s="11"/>
      <c r="AC131" s="11"/>
      <c r="AD131" s="11"/>
      <c r="AE131" s="11"/>
      <c r="AF131" s="11"/>
      <c r="AG131" s="11"/>
      <c r="AH131" s="11"/>
      <c r="AI131" s="11"/>
      <c r="AJ131" s="11"/>
      <c r="AK131" s="11"/>
      <c r="AL131" s="11"/>
      <c r="AM131" s="11"/>
      <c r="AN131" s="11"/>
      <c r="AO131" s="11"/>
      <c r="AP131" s="11"/>
      <c r="AQ131" s="11"/>
      <c r="AR131" s="5"/>
      <c r="AS131" s="12"/>
      <c r="AT131" s="12"/>
      <c r="AU131" s="12"/>
      <c r="AV131" s="12"/>
      <c r="AW131" s="12"/>
      <c r="AX131" s="12"/>
      <c r="AY131" s="12"/>
      <c r="AZ131" s="12"/>
      <c r="BA131" s="12"/>
      <c r="BB131" s="12"/>
      <c r="BC131" s="12"/>
      <c r="BD131" s="12"/>
      <c r="BE131" s="12"/>
      <c r="BF131" s="12"/>
      <c r="BG131" s="12"/>
      <c r="BH131" s="12"/>
      <c r="BI131" s="12"/>
      <c r="BJ131" s="12"/>
      <c r="BK131" s="12"/>
      <c r="BL131" s="12"/>
      <c r="BM131" s="12"/>
      <c r="BN131" s="12"/>
      <c r="BO131" s="12"/>
      <c r="BP131" s="12"/>
      <c r="BQ131" s="12"/>
      <c r="BR131" s="12"/>
      <c r="BS131" s="12"/>
      <c r="BT131" s="12"/>
      <c r="BU131" s="12"/>
      <c r="BV131" s="12"/>
      <c r="BW131" s="12"/>
      <c r="BX131" s="12"/>
      <c r="BY131" s="12"/>
      <c r="BZ131" s="12"/>
      <c r="CA131" s="12"/>
      <c r="CB131" s="12"/>
      <c r="CC131" s="12"/>
      <c r="CD131" s="12"/>
      <c r="CE131" s="12"/>
      <c r="CF131" s="12"/>
      <c r="CG131" s="12"/>
      <c r="CH131" s="12"/>
      <c r="CI131" s="12"/>
      <c r="CJ131" s="12"/>
      <c r="CK131" s="12"/>
      <c r="CL131" s="12"/>
      <c r="CM131" s="12"/>
      <c r="CN131" s="12"/>
      <c r="CO131" s="12"/>
      <c r="CP131" s="12"/>
      <c r="CQ131" s="12"/>
      <c r="CR131" s="12"/>
      <c r="CS131" s="12"/>
      <c r="CT131" s="12"/>
      <c r="CU131" s="12"/>
      <c r="CV131" s="12"/>
      <c r="CW131" s="12"/>
      <c r="CX131" s="12"/>
      <c r="CY131" s="12"/>
      <c r="CZ131" s="12"/>
      <c r="DA131" s="12"/>
      <c r="DB131" s="12"/>
      <c r="DC131" s="12"/>
      <c r="DD131" s="12"/>
      <c r="DE131" s="12"/>
      <c r="DF131" s="12"/>
      <c r="DG131" s="12"/>
      <c r="DH131" s="12"/>
      <c r="DI131" s="12"/>
      <c r="DJ131" s="12"/>
      <c r="DK131" s="12"/>
      <c r="DL131" s="12"/>
      <c r="DM131" s="12"/>
      <c r="DN131" s="12"/>
      <c r="DO131" s="12"/>
      <c r="DP131" s="12"/>
      <c r="DQ131" s="12"/>
      <c r="DR131" s="12"/>
      <c r="DS131" s="12"/>
      <c r="DT131" s="12"/>
      <c r="DU131" s="12"/>
      <c r="DV131" s="12"/>
      <c r="DW131" s="12"/>
      <c r="DX131" s="12"/>
      <c r="DY131" s="12"/>
      <c r="DZ131" s="12"/>
      <c r="EA131" s="12"/>
      <c r="EB131" s="12"/>
      <c r="EC131" s="12"/>
      <c r="ED131" s="12"/>
      <c r="EE131" s="12"/>
      <c r="EF131" s="12"/>
      <c r="EG131" s="12"/>
      <c r="EH131" s="12"/>
      <c r="EI131" s="12"/>
      <c r="EJ131" s="12"/>
      <c r="EK131" s="12"/>
      <c r="EL131" s="12"/>
      <c r="EM131" s="12"/>
      <c r="EN131" s="12"/>
      <c r="EO131" s="12"/>
      <c r="EP131" s="12"/>
      <c r="EQ131" s="12"/>
      <c r="ER131" s="12"/>
      <c r="ES131" s="12"/>
      <c r="ET131" s="12"/>
      <c r="EU131" s="12"/>
      <c r="EV131" s="12"/>
      <c r="EW131" s="12"/>
      <c r="EX131" s="12"/>
      <c r="EY131" s="12"/>
      <c r="EZ131" s="12"/>
      <c r="FA131" s="12"/>
      <c r="FB131" s="12"/>
      <c r="FC131" s="12"/>
      <c r="FD131" s="12"/>
      <c r="FE131" s="12"/>
      <c r="FF131" s="12"/>
      <c r="FG131" s="12"/>
      <c r="FH131" s="12"/>
      <c r="FI131" s="12"/>
      <c r="FJ131" s="12"/>
      <c r="FK131" s="12"/>
      <c r="FL131" s="12"/>
      <c r="FM131" s="12"/>
      <c r="FN131" s="12"/>
      <c r="FO131" s="12"/>
      <c r="FP131" s="12"/>
      <c r="FQ131" s="12"/>
      <c r="FR131" s="12"/>
      <c r="FS131" s="12"/>
      <c r="FT131" s="12"/>
      <c r="FU131" s="12"/>
      <c r="FV131" s="12"/>
      <c r="FW131" s="12"/>
      <c r="FX131" s="12"/>
      <c r="FY131" s="12"/>
      <c r="FZ131" s="12"/>
      <c r="GA131" s="12"/>
      <c r="GB131" s="12"/>
      <c r="GC131" s="12"/>
      <c r="GD131" s="12"/>
      <c r="GE131" s="12"/>
      <c r="GF131" s="12"/>
      <c r="GG131" s="12"/>
      <c r="GH131" s="12"/>
      <c r="GI131" s="12"/>
      <c r="GJ131" s="12"/>
      <c r="GK131" s="12"/>
      <c r="GL131" s="12"/>
      <c r="GM131" s="12"/>
      <c r="GN131" s="12"/>
      <c r="GO131" s="12"/>
      <c r="GP131" s="12"/>
      <c r="GQ131" s="12"/>
      <c r="GR131" s="12"/>
      <c r="GS131" s="12"/>
      <c r="GT131" s="12"/>
      <c r="GU131" s="12"/>
      <c r="GV131" s="12"/>
      <c r="GW131" s="12"/>
      <c r="GX131" s="12"/>
      <c r="GY131" s="12"/>
      <c r="GZ131" s="12"/>
      <c r="HA131" s="12"/>
      <c r="HB131" s="12"/>
      <c r="HC131" s="12"/>
      <c r="HD131" s="12"/>
      <c r="HE131" s="12"/>
      <c r="HF131" s="12"/>
      <c r="HG131" s="12"/>
      <c r="HH131" s="12"/>
      <c r="HI131" s="12"/>
      <c r="HJ131" s="12"/>
      <c r="HK131" s="12"/>
      <c r="HL131" s="12"/>
      <c r="HM131" s="12"/>
      <c r="HN131" s="12"/>
      <c r="HO131" s="12"/>
      <c r="HP131" s="12"/>
      <c r="HQ131" s="12"/>
      <c r="HR131" s="12"/>
      <c r="HS131" s="12"/>
      <c r="HT131" s="12"/>
      <c r="HU131" s="12"/>
      <c r="HV131" s="12"/>
      <c r="HW131" s="12"/>
      <c r="HX131" s="12"/>
      <c r="HY131" s="12"/>
      <c r="HZ131" s="12"/>
      <c r="IA131" s="12"/>
      <c r="IB131" s="12"/>
      <c r="IC131" s="12"/>
      <c r="ID131" s="12"/>
      <c r="IE131" s="12"/>
      <c r="IF131" s="12"/>
      <c r="IG131" s="12"/>
      <c r="IH131" s="12"/>
      <c r="II131" s="12"/>
      <c r="IJ131" s="12"/>
      <c r="IK131" s="12"/>
      <c r="IL131" s="12"/>
      <c r="IM131" s="12"/>
      <c r="IN131" s="12"/>
      <c r="IO131" s="12"/>
      <c r="IP131" s="12"/>
      <c r="IQ131" s="12"/>
      <c r="IR131" s="12"/>
      <c r="IS131" s="12"/>
      <c r="IT131" s="12"/>
      <c r="IU131" s="12"/>
      <c r="IV131" s="12"/>
      <c r="IW131" s="12"/>
    </row>
    <row r="132" customFormat="false" ht="11.25" hidden="false" customHeight="false" outlineLevel="0" collapsed="false">
      <c r="A132" s="25" t="n">
        <f aca="false">DATE(YEAR(A131),MONTH(A131)+1,1)</f>
        <v>49735</v>
      </c>
      <c r="B132" s="21" t="n">
        <v>2.15</v>
      </c>
      <c r="C132" s="21" t="n">
        <v>2.22</v>
      </c>
      <c r="D132" s="25" t="n">
        <f aca="false">DATE(YEAR(D131),MONTH(D131)+1,1)</f>
        <v>49735</v>
      </c>
      <c r="E132" s="21" t="n">
        <v>19.044</v>
      </c>
      <c r="F132" s="21" t="n">
        <v>19.782</v>
      </c>
      <c r="G132" s="6"/>
      <c r="H132" s="22" t="n">
        <f aca="false">A132</f>
        <v>49735</v>
      </c>
      <c r="I132" s="23" t="n">
        <f aca="false">IF($J$1="bid",B132,C132)</f>
        <v>2.22</v>
      </c>
      <c r="J132" s="24" t="n">
        <f aca="false">D132</f>
        <v>49735</v>
      </c>
      <c r="K132" s="23" t="n">
        <f aca="false">IF($J$1="bid",E132,F132)</f>
        <v>19.782</v>
      </c>
      <c r="L132" s="11"/>
      <c r="M132" s="11"/>
      <c r="N132" s="11"/>
      <c r="O132" s="11"/>
      <c r="P132" s="11"/>
      <c r="Q132" s="11"/>
      <c r="R132" s="11"/>
      <c r="S132" s="11"/>
      <c r="T132" s="11"/>
      <c r="U132" s="11"/>
      <c r="V132" s="11"/>
      <c r="W132" s="11"/>
      <c r="X132" s="11"/>
      <c r="Y132" s="11"/>
      <c r="Z132" s="11"/>
      <c r="AA132" s="11"/>
      <c r="AB132" s="11"/>
      <c r="AC132" s="11"/>
      <c r="AD132" s="11"/>
      <c r="AE132" s="11"/>
      <c r="AF132" s="11"/>
      <c r="AG132" s="11"/>
      <c r="AH132" s="11"/>
      <c r="AI132" s="11"/>
      <c r="AJ132" s="11"/>
      <c r="AK132" s="11"/>
      <c r="AL132" s="11"/>
      <c r="AM132" s="11"/>
      <c r="AN132" s="11"/>
      <c r="AO132" s="11"/>
      <c r="AP132" s="11"/>
      <c r="AQ132" s="11"/>
      <c r="AR132" s="5"/>
      <c r="AS132" s="12"/>
      <c r="AT132" s="12"/>
      <c r="AU132" s="12"/>
      <c r="AV132" s="12"/>
      <c r="AW132" s="12"/>
      <c r="AX132" s="12"/>
      <c r="AY132" s="12"/>
      <c r="AZ132" s="12"/>
      <c r="BA132" s="12"/>
      <c r="BB132" s="12"/>
      <c r="BC132" s="12"/>
      <c r="BD132" s="12"/>
      <c r="BE132" s="12"/>
      <c r="BF132" s="12"/>
      <c r="BG132" s="12"/>
      <c r="BH132" s="12"/>
      <c r="BI132" s="12"/>
      <c r="BJ132" s="12"/>
      <c r="BK132" s="12"/>
      <c r="BL132" s="12"/>
      <c r="BM132" s="12"/>
      <c r="BN132" s="12"/>
      <c r="BO132" s="12"/>
      <c r="BP132" s="12"/>
      <c r="BQ132" s="12"/>
      <c r="BR132" s="12"/>
      <c r="BS132" s="12"/>
      <c r="BT132" s="12"/>
      <c r="BU132" s="12"/>
      <c r="BV132" s="12"/>
      <c r="BW132" s="12"/>
      <c r="BX132" s="12"/>
      <c r="BY132" s="12"/>
      <c r="BZ132" s="12"/>
      <c r="CA132" s="12"/>
      <c r="CB132" s="12"/>
      <c r="CC132" s="12"/>
      <c r="CD132" s="12"/>
      <c r="CE132" s="12"/>
      <c r="CF132" s="12"/>
      <c r="CG132" s="12"/>
      <c r="CH132" s="12"/>
      <c r="CI132" s="12"/>
      <c r="CJ132" s="12"/>
      <c r="CK132" s="12"/>
      <c r="CL132" s="12"/>
      <c r="CM132" s="12"/>
      <c r="CN132" s="12"/>
      <c r="CO132" s="12"/>
      <c r="CP132" s="12"/>
      <c r="CQ132" s="12"/>
      <c r="CR132" s="12"/>
      <c r="CS132" s="12"/>
      <c r="CT132" s="12"/>
      <c r="CU132" s="12"/>
      <c r="CV132" s="12"/>
      <c r="CW132" s="12"/>
      <c r="CX132" s="12"/>
      <c r="CY132" s="12"/>
      <c r="CZ132" s="12"/>
      <c r="DA132" s="12"/>
      <c r="DB132" s="12"/>
      <c r="DC132" s="12"/>
      <c r="DD132" s="12"/>
      <c r="DE132" s="12"/>
      <c r="DF132" s="12"/>
      <c r="DG132" s="12"/>
      <c r="DH132" s="12"/>
      <c r="DI132" s="12"/>
      <c r="DJ132" s="12"/>
      <c r="DK132" s="12"/>
      <c r="DL132" s="12"/>
      <c r="DM132" s="12"/>
      <c r="DN132" s="12"/>
      <c r="DO132" s="12"/>
      <c r="DP132" s="12"/>
      <c r="DQ132" s="12"/>
      <c r="DR132" s="12"/>
      <c r="DS132" s="12"/>
      <c r="DT132" s="12"/>
      <c r="DU132" s="12"/>
      <c r="DV132" s="12"/>
      <c r="DW132" s="12"/>
      <c r="DX132" s="12"/>
      <c r="DY132" s="12"/>
      <c r="DZ132" s="12"/>
      <c r="EA132" s="12"/>
      <c r="EB132" s="12"/>
      <c r="EC132" s="12"/>
      <c r="ED132" s="12"/>
      <c r="EE132" s="12"/>
      <c r="EF132" s="12"/>
      <c r="EG132" s="12"/>
      <c r="EH132" s="12"/>
      <c r="EI132" s="12"/>
      <c r="EJ132" s="12"/>
      <c r="EK132" s="12"/>
      <c r="EL132" s="12"/>
      <c r="EM132" s="12"/>
      <c r="EN132" s="12"/>
      <c r="EO132" s="12"/>
      <c r="EP132" s="12"/>
      <c r="EQ132" s="12"/>
      <c r="ER132" s="12"/>
      <c r="ES132" s="12"/>
      <c r="ET132" s="12"/>
      <c r="EU132" s="12"/>
      <c r="EV132" s="12"/>
      <c r="EW132" s="12"/>
      <c r="EX132" s="12"/>
      <c r="EY132" s="12"/>
      <c r="EZ132" s="12"/>
      <c r="FA132" s="12"/>
      <c r="FB132" s="12"/>
      <c r="FC132" s="12"/>
      <c r="FD132" s="12"/>
      <c r="FE132" s="12"/>
      <c r="FF132" s="12"/>
      <c r="FG132" s="12"/>
      <c r="FH132" s="12"/>
      <c r="FI132" s="12"/>
      <c r="FJ132" s="12"/>
      <c r="FK132" s="12"/>
      <c r="FL132" s="12"/>
      <c r="FM132" s="12"/>
      <c r="FN132" s="12"/>
      <c r="FO132" s="12"/>
      <c r="FP132" s="12"/>
      <c r="FQ132" s="12"/>
      <c r="FR132" s="12"/>
      <c r="FS132" s="12"/>
      <c r="FT132" s="12"/>
      <c r="FU132" s="12"/>
      <c r="FV132" s="12"/>
      <c r="FW132" s="12"/>
      <c r="FX132" s="12"/>
      <c r="FY132" s="12"/>
      <c r="FZ132" s="12"/>
      <c r="GA132" s="12"/>
      <c r="GB132" s="12"/>
      <c r="GC132" s="12"/>
      <c r="GD132" s="12"/>
      <c r="GE132" s="12"/>
      <c r="GF132" s="12"/>
      <c r="GG132" s="12"/>
      <c r="GH132" s="12"/>
      <c r="GI132" s="12"/>
      <c r="GJ132" s="12"/>
      <c r="GK132" s="12"/>
      <c r="GL132" s="12"/>
      <c r="GM132" s="12"/>
      <c r="GN132" s="12"/>
      <c r="GO132" s="12"/>
      <c r="GP132" s="12"/>
      <c r="GQ132" s="12"/>
      <c r="GR132" s="12"/>
      <c r="GS132" s="12"/>
      <c r="GT132" s="12"/>
      <c r="GU132" s="12"/>
      <c r="GV132" s="12"/>
      <c r="GW132" s="12"/>
      <c r="GX132" s="12"/>
      <c r="GY132" s="12"/>
      <c r="GZ132" s="12"/>
      <c r="HA132" s="12"/>
      <c r="HB132" s="12"/>
      <c r="HC132" s="12"/>
      <c r="HD132" s="12"/>
      <c r="HE132" s="12"/>
      <c r="HF132" s="12"/>
      <c r="HG132" s="12"/>
      <c r="HH132" s="12"/>
      <c r="HI132" s="12"/>
      <c r="HJ132" s="12"/>
      <c r="HK132" s="12"/>
      <c r="HL132" s="12"/>
      <c r="HM132" s="12"/>
      <c r="HN132" s="12"/>
      <c r="HO132" s="12"/>
      <c r="HP132" s="12"/>
      <c r="HQ132" s="12"/>
      <c r="HR132" s="12"/>
      <c r="HS132" s="12"/>
      <c r="HT132" s="12"/>
      <c r="HU132" s="12"/>
      <c r="HV132" s="12"/>
      <c r="HW132" s="12"/>
      <c r="HX132" s="12"/>
      <c r="HY132" s="12"/>
      <c r="HZ132" s="12"/>
      <c r="IA132" s="12"/>
      <c r="IB132" s="12"/>
      <c r="IC132" s="12"/>
      <c r="ID132" s="12"/>
      <c r="IE132" s="12"/>
      <c r="IF132" s="12"/>
      <c r="IG132" s="12"/>
      <c r="IH132" s="12"/>
      <c r="II132" s="12"/>
      <c r="IJ132" s="12"/>
      <c r="IK132" s="12"/>
      <c r="IL132" s="12"/>
      <c r="IM132" s="12"/>
      <c r="IN132" s="12"/>
      <c r="IO132" s="12"/>
      <c r="IP132" s="12"/>
      <c r="IQ132" s="12"/>
      <c r="IR132" s="12"/>
      <c r="IS132" s="12"/>
      <c r="IT132" s="12"/>
      <c r="IU132" s="12"/>
      <c r="IV132" s="12"/>
      <c r="IW132" s="12"/>
    </row>
    <row r="133" customFormat="false" ht="11.25" hidden="false" customHeight="false" outlineLevel="0" collapsed="false">
      <c r="A133" s="25" t="n">
        <f aca="false">DATE(YEAR(A132),MONTH(A132)+1,1)</f>
        <v>49766</v>
      </c>
      <c r="B133" s="21" t="n">
        <v>2.158</v>
      </c>
      <c r="C133" s="21" t="n">
        <v>2.228</v>
      </c>
      <c r="D133" s="25" t="n">
        <f aca="false">DATE(YEAR(D132),MONTH(D132)+1,1)</f>
        <v>49766</v>
      </c>
      <c r="E133" s="21" t="n">
        <v>19.052</v>
      </c>
      <c r="F133" s="21" t="n">
        <v>19.798</v>
      </c>
      <c r="G133" s="6"/>
      <c r="H133" s="22" t="n">
        <f aca="false">A133</f>
        <v>49766</v>
      </c>
      <c r="I133" s="23" t="n">
        <f aca="false">IF($J$1="bid",B133,C133)</f>
        <v>2.228</v>
      </c>
      <c r="J133" s="24" t="n">
        <f aca="false">D133</f>
        <v>49766</v>
      </c>
      <c r="K133" s="23" t="n">
        <f aca="false">IF($J$1="bid",E133,F133)</f>
        <v>19.798</v>
      </c>
      <c r="L133" s="11"/>
      <c r="M133" s="11"/>
      <c r="N133" s="11"/>
      <c r="O133" s="11"/>
      <c r="P133" s="11"/>
      <c r="Q133" s="11"/>
      <c r="R133" s="11"/>
      <c r="S133" s="11"/>
      <c r="T133" s="11"/>
      <c r="U133" s="11"/>
      <c r="V133" s="11"/>
      <c r="W133" s="11"/>
      <c r="X133" s="11"/>
      <c r="Y133" s="11"/>
      <c r="Z133" s="11"/>
      <c r="AA133" s="11"/>
      <c r="AB133" s="11"/>
      <c r="AC133" s="11"/>
      <c r="AD133" s="11"/>
      <c r="AE133" s="11"/>
      <c r="AF133" s="11"/>
      <c r="AG133" s="11"/>
      <c r="AH133" s="11"/>
      <c r="AI133" s="11"/>
      <c r="AJ133" s="11"/>
      <c r="AK133" s="11"/>
      <c r="AL133" s="11"/>
      <c r="AM133" s="11"/>
      <c r="AN133" s="11"/>
      <c r="AO133" s="11"/>
      <c r="AP133" s="11"/>
      <c r="AQ133" s="11"/>
      <c r="AR133" s="5"/>
      <c r="AS133" s="12"/>
      <c r="AT133" s="12"/>
      <c r="AU133" s="12"/>
      <c r="AV133" s="12"/>
      <c r="AW133" s="12"/>
      <c r="AX133" s="12"/>
      <c r="AY133" s="12"/>
      <c r="AZ133" s="12"/>
      <c r="BA133" s="12"/>
      <c r="BB133" s="12"/>
      <c r="BC133" s="12"/>
      <c r="BD133" s="12"/>
      <c r="BE133" s="12"/>
      <c r="BF133" s="12"/>
      <c r="BG133" s="12"/>
      <c r="BH133" s="12"/>
      <c r="BI133" s="12"/>
      <c r="BJ133" s="12"/>
      <c r="BK133" s="12"/>
      <c r="BL133" s="12"/>
      <c r="BM133" s="12"/>
      <c r="BN133" s="12"/>
      <c r="BO133" s="12"/>
      <c r="BP133" s="12"/>
      <c r="BQ133" s="12"/>
      <c r="BR133" s="12"/>
      <c r="BS133" s="12"/>
      <c r="BT133" s="12"/>
      <c r="BU133" s="12"/>
      <c r="BV133" s="12"/>
      <c r="BW133" s="12"/>
      <c r="BX133" s="12"/>
      <c r="BY133" s="12"/>
      <c r="BZ133" s="12"/>
      <c r="CA133" s="12"/>
      <c r="CB133" s="12"/>
      <c r="CC133" s="12"/>
      <c r="CD133" s="12"/>
      <c r="CE133" s="12"/>
      <c r="CF133" s="12"/>
      <c r="CG133" s="12"/>
      <c r="CH133" s="12"/>
      <c r="CI133" s="12"/>
      <c r="CJ133" s="12"/>
      <c r="CK133" s="12"/>
      <c r="CL133" s="12"/>
      <c r="CM133" s="12"/>
      <c r="CN133" s="12"/>
      <c r="CO133" s="12"/>
      <c r="CP133" s="12"/>
      <c r="CQ133" s="12"/>
      <c r="CR133" s="12"/>
      <c r="CS133" s="12"/>
      <c r="CT133" s="12"/>
      <c r="CU133" s="12"/>
      <c r="CV133" s="12"/>
      <c r="CW133" s="12"/>
      <c r="CX133" s="12"/>
      <c r="CY133" s="12"/>
      <c r="CZ133" s="12"/>
      <c r="DA133" s="12"/>
      <c r="DB133" s="12"/>
      <c r="DC133" s="12"/>
      <c r="DD133" s="12"/>
      <c r="DE133" s="12"/>
      <c r="DF133" s="12"/>
      <c r="DG133" s="12"/>
      <c r="DH133" s="12"/>
      <c r="DI133" s="12"/>
      <c r="DJ133" s="12"/>
      <c r="DK133" s="12"/>
      <c r="DL133" s="12"/>
      <c r="DM133" s="12"/>
      <c r="DN133" s="12"/>
      <c r="DO133" s="12"/>
      <c r="DP133" s="12"/>
      <c r="DQ133" s="12"/>
      <c r="DR133" s="12"/>
      <c r="DS133" s="12"/>
      <c r="DT133" s="12"/>
      <c r="DU133" s="12"/>
      <c r="DV133" s="12"/>
      <c r="DW133" s="12"/>
      <c r="DX133" s="12"/>
      <c r="DY133" s="12"/>
      <c r="DZ133" s="12"/>
      <c r="EA133" s="12"/>
      <c r="EB133" s="12"/>
      <c r="EC133" s="12"/>
      <c r="ED133" s="12"/>
      <c r="EE133" s="12"/>
      <c r="EF133" s="12"/>
      <c r="EG133" s="12"/>
      <c r="EH133" s="12"/>
      <c r="EI133" s="12"/>
      <c r="EJ133" s="12"/>
      <c r="EK133" s="12"/>
      <c r="EL133" s="12"/>
      <c r="EM133" s="12"/>
      <c r="EN133" s="12"/>
      <c r="EO133" s="12"/>
      <c r="EP133" s="12"/>
      <c r="EQ133" s="12"/>
      <c r="ER133" s="12"/>
      <c r="ES133" s="12"/>
      <c r="ET133" s="12"/>
      <c r="EU133" s="12"/>
      <c r="EV133" s="12"/>
      <c r="EW133" s="12"/>
      <c r="EX133" s="12"/>
      <c r="EY133" s="12"/>
      <c r="EZ133" s="12"/>
      <c r="FA133" s="12"/>
      <c r="FB133" s="12"/>
      <c r="FC133" s="12"/>
      <c r="FD133" s="12"/>
      <c r="FE133" s="12"/>
      <c r="FF133" s="12"/>
      <c r="FG133" s="12"/>
      <c r="FH133" s="12"/>
      <c r="FI133" s="12"/>
      <c r="FJ133" s="12"/>
      <c r="FK133" s="12"/>
      <c r="FL133" s="12"/>
      <c r="FM133" s="12"/>
      <c r="FN133" s="12"/>
      <c r="FO133" s="12"/>
      <c r="FP133" s="12"/>
      <c r="FQ133" s="12"/>
      <c r="FR133" s="12"/>
      <c r="FS133" s="12"/>
      <c r="FT133" s="12"/>
      <c r="FU133" s="12"/>
      <c r="FV133" s="12"/>
      <c r="FW133" s="12"/>
      <c r="FX133" s="12"/>
      <c r="FY133" s="12"/>
      <c r="FZ133" s="12"/>
      <c r="GA133" s="12"/>
      <c r="GB133" s="12"/>
      <c r="GC133" s="12"/>
      <c r="GD133" s="12"/>
      <c r="GE133" s="12"/>
      <c r="GF133" s="12"/>
      <c r="GG133" s="12"/>
      <c r="GH133" s="12"/>
      <c r="GI133" s="12"/>
      <c r="GJ133" s="12"/>
      <c r="GK133" s="12"/>
      <c r="GL133" s="12"/>
      <c r="GM133" s="12"/>
      <c r="GN133" s="12"/>
      <c r="GO133" s="12"/>
      <c r="GP133" s="12"/>
      <c r="GQ133" s="12"/>
      <c r="GR133" s="12"/>
      <c r="GS133" s="12"/>
      <c r="GT133" s="12"/>
      <c r="GU133" s="12"/>
      <c r="GV133" s="12"/>
      <c r="GW133" s="12"/>
      <c r="GX133" s="12"/>
      <c r="GY133" s="12"/>
      <c r="GZ133" s="12"/>
      <c r="HA133" s="12"/>
      <c r="HB133" s="12"/>
      <c r="HC133" s="12"/>
      <c r="HD133" s="12"/>
      <c r="HE133" s="12"/>
      <c r="HF133" s="12"/>
      <c r="HG133" s="12"/>
      <c r="HH133" s="12"/>
      <c r="HI133" s="12"/>
      <c r="HJ133" s="12"/>
      <c r="HK133" s="12"/>
      <c r="HL133" s="12"/>
      <c r="HM133" s="12"/>
      <c r="HN133" s="12"/>
      <c r="HO133" s="12"/>
      <c r="HP133" s="12"/>
      <c r="HQ133" s="12"/>
      <c r="HR133" s="12"/>
      <c r="HS133" s="12"/>
      <c r="HT133" s="12"/>
      <c r="HU133" s="12"/>
      <c r="HV133" s="12"/>
      <c r="HW133" s="12"/>
      <c r="HX133" s="12"/>
      <c r="HY133" s="12"/>
      <c r="HZ133" s="12"/>
      <c r="IA133" s="12"/>
      <c r="IB133" s="12"/>
      <c r="IC133" s="12"/>
      <c r="ID133" s="12"/>
      <c r="IE133" s="12"/>
      <c r="IF133" s="12"/>
      <c r="IG133" s="12"/>
      <c r="IH133" s="12"/>
      <c r="II133" s="12"/>
      <c r="IJ133" s="12"/>
      <c r="IK133" s="12"/>
      <c r="IL133" s="12"/>
      <c r="IM133" s="12"/>
      <c r="IN133" s="12"/>
      <c r="IO133" s="12"/>
      <c r="IP133" s="12"/>
      <c r="IQ133" s="12"/>
      <c r="IR133" s="12"/>
      <c r="IS133" s="12"/>
      <c r="IT133" s="12"/>
      <c r="IU133" s="12"/>
      <c r="IV133" s="12"/>
      <c r="IW133" s="12"/>
    </row>
    <row r="134" customFormat="false" ht="11.25" hidden="false" customHeight="false" outlineLevel="0" collapsed="false">
      <c r="A134" s="25" t="n">
        <f aca="false">DATE(YEAR(A133),MONTH(A133)+1,1)</f>
        <v>49796</v>
      </c>
      <c r="B134" s="21" t="n">
        <v>2.15</v>
      </c>
      <c r="C134" s="21" t="n">
        <v>2.22</v>
      </c>
      <c r="D134" s="25" t="n">
        <f aca="false">DATE(YEAR(D133),MONTH(D133)+1,1)</f>
        <v>49796</v>
      </c>
      <c r="E134" s="21" t="n">
        <v>19.061</v>
      </c>
      <c r="F134" s="21" t="n">
        <v>19.816</v>
      </c>
      <c r="G134" s="6"/>
      <c r="H134" s="22" t="n">
        <f aca="false">A134</f>
        <v>49796</v>
      </c>
      <c r="I134" s="23" t="n">
        <f aca="false">IF($J$1="bid",B134,C134)</f>
        <v>2.22</v>
      </c>
      <c r="J134" s="24" t="n">
        <f aca="false">D134</f>
        <v>49796</v>
      </c>
      <c r="K134" s="23" t="n">
        <f aca="false">IF($J$1="bid",E134,F134)</f>
        <v>19.816</v>
      </c>
      <c r="L134" s="11"/>
      <c r="M134" s="11"/>
      <c r="N134" s="11"/>
      <c r="O134" s="11"/>
      <c r="P134" s="11"/>
      <c r="Q134" s="11"/>
      <c r="R134" s="11"/>
      <c r="S134" s="11"/>
      <c r="T134" s="11"/>
      <c r="U134" s="11"/>
      <c r="V134" s="11"/>
      <c r="W134" s="11"/>
      <c r="X134" s="11"/>
      <c r="Y134" s="11"/>
      <c r="Z134" s="11"/>
      <c r="AA134" s="11"/>
      <c r="AB134" s="11"/>
      <c r="AC134" s="11"/>
      <c r="AD134" s="11"/>
      <c r="AE134" s="11"/>
      <c r="AF134" s="11"/>
      <c r="AG134" s="11"/>
      <c r="AH134" s="11"/>
      <c r="AI134" s="11"/>
      <c r="AJ134" s="11"/>
      <c r="AK134" s="11"/>
      <c r="AL134" s="11"/>
      <c r="AM134" s="11"/>
      <c r="AN134" s="11"/>
      <c r="AO134" s="11"/>
      <c r="AP134" s="11"/>
      <c r="AQ134" s="11"/>
      <c r="AR134" s="5"/>
      <c r="AS134" s="12"/>
      <c r="AT134" s="12"/>
      <c r="AU134" s="12"/>
      <c r="AV134" s="12"/>
      <c r="AW134" s="12"/>
      <c r="AX134" s="12"/>
      <c r="AY134" s="12"/>
      <c r="AZ134" s="12"/>
      <c r="BA134" s="12"/>
      <c r="BB134" s="12"/>
      <c r="BC134" s="12"/>
      <c r="BD134" s="12"/>
      <c r="BE134" s="12"/>
      <c r="BF134" s="12"/>
      <c r="BG134" s="12"/>
      <c r="BH134" s="12"/>
      <c r="BI134" s="12"/>
      <c r="BJ134" s="12"/>
      <c r="BK134" s="12"/>
      <c r="BL134" s="12"/>
      <c r="BM134" s="12"/>
      <c r="BN134" s="12"/>
      <c r="BO134" s="12"/>
      <c r="BP134" s="12"/>
      <c r="BQ134" s="12"/>
      <c r="BR134" s="12"/>
      <c r="BS134" s="12"/>
      <c r="BT134" s="12"/>
      <c r="BU134" s="12"/>
      <c r="BV134" s="12"/>
      <c r="BW134" s="12"/>
      <c r="BX134" s="12"/>
      <c r="BY134" s="12"/>
      <c r="BZ134" s="12"/>
      <c r="CA134" s="12"/>
      <c r="CB134" s="12"/>
      <c r="CC134" s="12"/>
      <c r="CD134" s="12"/>
      <c r="CE134" s="12"/>
      <c r="CF134" s="12"/>
      <c r="CG134" s="12"/>
      <c r="CH134" s="12"/>
      <c r="CI134" s="12"/>
      <c r="CJ134" s="12"/>
      <c r="CK134" s="12"/>
      <c r="CL134" s="12"/>
      <c r="CM134" s="12"/>
      <c r="CN134" s="12"/>
      <c r="CO134" s="12"/>
      <c r="CP134" s="12"/>
      <c r="CQ134" s="12"/>
      <c r="CR134" s="12"/>
      <c r="CS134" s="12"/>
      <c r="CT134" s="12"/>
      <c r="CU134" s="12"/>
      <c r="CV134" s="12"/>
      <c r="CW134" s="12"/>
      <c r="CX134" s="12"/>
      <c r="CY134" s="12"/>
      <c r="CZ134" s="12"/>
      <c r="DA134" s="12"/>
      <c r="DB134" s="12"/>
      <c r="DC134" s="12"/>
      <c r="DD134" s="12"/>
      <c r="DE134" s="12"/>
      <c r="DF134" s="12"/>
      <c r="DG134" s="12"/>
      <c r="DH134" s="12"/>
      <c r="DI134" s="12"/>
      <c r="DJ134" s="12"/>
      <c r="DK134" s="12"/>
      <c r="DL134" s="12"/>
      <c r="DM134" s="12"/>
      <c r="DN134" s="12"/>
      <c r="DO134" s="12"/>
      <c r="DP134" s="12"/>
      <c r="DQ134" s="12"/>
      <c r="DR134" s="12"/>
      <c r="DS134" s="12"/>
      <c r="DT134" s="12"/>
      <c r="DU134" s="12"/>
      <c r="DV134" s="12"/>
      <c r="DW134" s="12"/>
      <c r="DX134" s="12"/>
      <c r="DY134" s="12"/>
      <c r="DZ134" s="12"/>
      <c r="EA134" s="12"/>
      <c r="EB134" s="12"/>
      <c r="EC134" s="12"/>
      <c r="ED134" s="12"/>
      <c r="EE134" s="12"/>
      <c r="EF134" s="12"/>
      <c r="EG134" s="12"/>
      <c r="EH134" s="12"/>
      <c r="EI134" s="12"/>
      <c r="EJ134" s="12"/>
      <c r="EK134" s="12"/>
      <c r="EL134" s="12"/>
      <c r="EM134" s="12"/>
      <c r="EN134" s="12"/>
      <c r="EO134" s="12"/>
      <c r="EP134" s="12"/>
      <c r="EQ134" s="12"/>
      <c r="ER134" s="12"/>
      <c r="ES134" s="12"/>
      <c r="ET134" s="12"/>
      <c r="EU134" s="12"/>
      <c r="EV134" s="12"/>
      <c r="EW134" s="12"/>
      <c r="EX134" s="12"/>
      <c r="EY134" s="12"/>
      <c r="EZ134" s="12"/>
      <c r="FA134" s="12"/>
      <c r="FB134" s="12"/>
      <c r="FC134" s="12"/>
      <c r="FD134" s="12"/>
      <c r="FE134" s="12"/>
      <c r="FF134" s="12"/>
      <c r="FG134" s="12"/>
      <c r="FH134" s="12"/>
      <c r="FI134" s="12"/>
      <c r="FJ134" s="12"/>
      <c r="FK134" s="12"/>
      <c r="FL134" s="12"/>
      <c r="FM134" s="12"/>
      <c r="FN134" s="12"/>
      <c r="FO134" s="12"/>
      <c r="FP134" s="12"/>
      <c r="FQ134" s="12"/>
      <c r="FR134" s="12"/>
      <c r="FS134" s="12"/>
      <c r="FT134" s="12"/>
      <c r="FU134" s="12"/>
      <c r="FV134" s="12"/>
      <c r="FW134" s="12"/>
      <c r="FX134" s="12"/>
      <c r="FY134" s="12"/>
      <c r="FZ134" s="12"/>
      <c r="GA134" s="12"/>
      <c r="GB134" s="12"/>
      <c r="GC134" s="12"/>
      <c r="GD134" s="12"/>
      <c r="GE134" s="12"/>
      <c r="GF134" s="12"/>
      <c r="GG134" s="12"/>
      <c r="GH134" s="12"/>
      <c r="GI134" s="12"/>
      <c r="GJ134" s="12"/>
      <c r="GK134" s="12"/>
      <c r="GL134" s="12"/>
      <c r="GM134" s="12"/>
      <c r="GN134" s="12"/>
      <c r="GO134" s="12"/>
      <c r="GP134" s="12"/>
      <c r="GQ134" s="12"/>
      <c r="GR134" s="12"/>
      <c r="GS134" s="12"/>
      <c r="GT134" s="12"/>
      <c r="GU134" s="12"/>
      <c r="GV134" s="12"/>
      <c r="GW134" s="12"/>
      <c r="GX134" s="12"/>
      <c r="GY134" s="12"/>
      <c r="GZ134" s="12"/>
      <c r="HA134" s="12"/>
      <c r="HB134" s="12"/>
      <c r="HC134" s="12"/>
      <c r="HD134" s="12"/>
      <c r="HE134" s="12"/>
      <c r="HF134" s="12"/>
      <c r="HG134" s="12"/>
      <c r="HH134" s="12"/>
      <c r="HI134" s="12"/>
      <c r="HJ134" s="12"/>
      <c r="HK134" s="12"/>
      <c r="HL134" s="12"/>
      <c r="HM134" s="12"/>
      <c r="HN134" s="12"/>
      <c r="HO134" s="12"/>
      <c r="HP134" s="12"/>
      <c r="HQ134" s="12"/>
      <c r="HR134" s="12"/>
      <c r="HS134" s="12"/>
      <c r="HT134" s="12"/>
      <c r="HU134" s="12"/>
      <c r="HV134" s="12"/>
      <c r="HW134" s="12"/>
      <c r="HX134" s="12"/>
      <c r="HY134" s="12"/>
      <c r="HZ134" s="12"/>
      <c r="IA134" s="12"/>
      <c r="IB134" s="12"/>
      <c r="IC134" s="12"/>
      <c r="ID134" s="12"/>
      <c r="IE134" s="12"/>
      <c r="IF134" s="12"/>
      <c r="IG134" s="12"/>
      <c r="IH134" s="12"/>
      <c r="II134" s="12"/>
      <c r="IJ134" s="12"/>
      <c r="IK134" s="12"/>
      <c r="IL134" s="12"/>
      <c r="IM134" s="12"/>
      <c r="IN134" s="12"/>
      <c r="IO134" s="12"/>
      <c r="IP134" s="12"/>
      <c r="IQ134" s="12"/>
      <c r="IR134" s="12"/>
      <c r="IS134" s="12"/>
      <c r="IT134" s="12"/>
      <c r="IU134" s="12"/>
      <c r="IV134" s="12"/>
      <c r="IW134" s="12"/>
    </row>
    <row r="135" customFormat="false" ht="11.25" hidden="false" customHeight="false" outlineLevel="0" collapsed="false">
      <c r="A135" s="25" t="n">
        <f aca="false">DATE(YEAR(A134),MONTH(A134)+1,1)</f>
        <v>49827</v>
      </c>
      <c r="B135" s="21" t="n">
        <v>2.15</v>
      </c>
      <c r="C135" s="21" t="n">
        <v>2.22</v>
      </c>
      <c r="D135" s="25" t="n">
        <f aca="false">DATE(YEAR(D134),MONTH(D134)+1,1)</f>
        <v>49827</v>
      </c>
      <c r="E135" s="21" t="n">
        <v>19.071</v>
      </c>
      <c r="F135" s="21" t="n">
        <v>19.835</v>
      </c>
      <c r="G135" s="6"/>
      <c r="H135" s="22" t="n">
        <f aca="false">A135</f>
        <v>49827</v>
      </c>
      <c r="I135" s="23" t="n">
        <f aca="false">IF($J$1="bid",B135,C135)</f>
        <v>2.22</v>
      </c>
      <c r="J135" s="24" t="n">
        <f aca="false">D135</f>
        <v>49827</v>
      </c>
      <c r="K135" s="23" t="n">
        <f aca="false">IF($J$1="bid",E135,F135)</f>
        <v>19.835</v>
      </c>
      <c r="L135" s="11"/>
      <c r="M135" s="11"/>
      <c r="N135" s="11"/>
      <c r="O135" s="11"/>
      <c r="P135" s="11"/>
      <c r="Q135" s="11"/>
      <c r="R135" s="11"/>
      <c r="S135" s="11"/>
      <c r="T135" s="11"/>
      <c r="U135" s="11"/>
      <c r="V135" s="11"/>
      <c r="W135" s="11"/>
      <c r="X135" s="11"/>
      <c r="Y135" s="11"/>
      <c r="Z135" s="11"/>
      <c r="AA135" s="11"/>
      <c r="AB135" s="11"/>
      <c r="AC135" s="11"/>
      <c r="AD135" s="11"/>
      <c r="AE135" s="11"/>
      <c r="AF135" s="11"/>
      <c r="AG135" s="11"/>
      <c r="AH135" s="11"/>
      <c r="AI135" s="11"/>
      <c r="AJ135" s="11"/>
      <c r="AK135" s="11"/>
      <c r="AL135" s="11"/>
      <c r="AM135" s="11"/>
      <c r="AN135" s="11"/>
      <c r="AO135" s="11"/>
      <c r="AP135" s="11"/>
      <c r="AQ135" s="11"/>
      <c r="AR135" s="5"/>
      <c r="AS135" s="12"/>
      <c r="AT135" s="12"/>
      <c r="AU135" s="12"/>
      <c r="AV135" s="12"/>
      <c r="AW135" s="12"/>
      <c r="AX135" s="12"/>
      <c r="AY135" s="12"/>
      <c r="AZ135" s="12"/>
      <c r="BA135" s="12"/>
      <c r="BB135" s="12"/>
      <c r="BC135" s="12"/>
      <c r="BD135" s="12"/>
      <c r="BE135" s="12"/>
      <c r="BF135" s="12"/>
      <c r="BG135" s="12"/>
      <c r="BH135" s="12"/>
      <c r="BI135" s="12"/>
      <c r="BJ135" s="12"/>
      <c r="BK135" s="12"/>
      <c r="BL135" s="12"/>
      <c r="BM135" s="12"/>
      <c r="BN135" s="12"/>
      <c r="BO135" s="12"/>
      <c r="BP135" s="12"/>
      <c r="BQ135" s="12"/>
      <c r="BR135" s="12"/>
      <c r="BS135" s="12"/>
      <c r="BT135" s="12"/>
      <c r="BU135" s="12"/>
      <c r="BV135" s="12"/>
      <c r="BW135" s="12"/>
      <c r="BX135" s="12"/>
      <c r="BY135" s="12"/>
      <c r="BZ135" s="12"/>
      <c r="CA135" s="12"/>
      <c r="CB135" s="12"/>
      <c r="CC135" s="12"/>
      <c r="CD135" s="12"/>
      <c r="CE135" s="12"/>
      <c r="CF135" s="12"/>
      <c r="CG135" s="12"/>
      <c r="CH135" s="12"/>
      <c r="CI135" s="12"/>
      <c r="CJ135" s="12"/>
      <c r="CK135" s="12"/>
      <c r="CL135" s="12"/>
      <c r="CM135" s="12"/>
      <c r="CN135" s="12"/>
      <c r="CO135" s="12"/>
      <c r="CP135" s="12"/>
      <c r="CQ135" s="12"/>
      <c r="CR135" s="12"/>
      <c r="CS135" s="12"/>
      <c r="CT135" s="12"/>
      <c r="CU135" s="12"/>
      <c r="CV135" s="12"/>
      <c r="CW135" s="12"/>
      <c r="CX135" s="12"/>
      <c r="CY135" s="12"/>
      <c r="CZ135" s="12"/>
      <c r="DA135" s="12"/>
      <c r="DB135" s="12"/>
      <c r="DC135" s="12"/>
      <c r="DD135" s="12"/>
      <c r="DE135" s="12"/>
      <c r="DF135" s="12"/>
      <c r="DG135" s="12"/>
      <c r="DH135" s="12"/>
      <c r="DI135" s="12"/>
      <c r="DJ135" s="12"/>
      <c r="DK135" s="12"/>
      <c r="DL135" s="12"/>
      <c r="DM135" s="12"/>
      <c r="DN135" s="12"/>
      <c r="DO135" s="12"/>
      <c r="DP135" s="12"/>
      <c r="DQ135" s="12"/>
      <c r="DR135" s="12"/>
      <c r="DS135" s="12"/>
      <c r="DT135" s="12"/>
      <c r="DU135" s="12"/>
      <c r="DV135" s="12"/>
      <c r="DW135" s="12"/>
      <c r="DX135" s="12"/>
      <c r="DY135" s="12"/>
      <c r="DZ135" s="12"/>
      <c r="EA135" s="12"/>
      <c r="EB135" s="12"/>
      <c r="EC135" s="12"/>
      <c r="ED135" s="12"/>
      <c r="EE135" s="12"/>
      <c r="EF135" s="12"/>
      <c r="EG135" s="12"/>
      <c r="EH135" s="12"/>
      <c r="EI135" s="12"/>
      <c r="EJ135" s="12"/>
      <c r="EK135" s="12"/>
      <c r="EL135" s="12"/>
      <c r="EM135" s="12"/>
      <c r="EN135" s="12"/>
      <c r="EO135" s="12"/>
      <c r="EP135" s="12"/>
      <c r="EQ135" s="12"/>
      <c r="ER135" s="12"/>
      <c r="ES135" s="12"/>
      <c r="ET135" s="12"/>
      <c r="EU135" s="12"/>
      <c r="EV135" s="12"/>
      <c r="EW135" s="12"/>
      <c r="EX135" s="12"/>
      <c r="EY135" s="12"/>
      <c r="EZ135" s="12"/>
      <c r="FA135" s="12"/>
      <c r="FB135" s="12"/>
      <c r="FC135" s="12"/>
      <c r="FD135" s="12"/>
      <c r="FE135" s="12"/>
      <c r="FF135" s="12"/>
      <c r="FG135" s="12"/>
      <c r="FH135" s="12"/>
      <c r="FI135" s="12"/>
      <c r="FJ135" s="12"/>
      <c r="FK135" s="12"/>
      <c r="FL135" s="12"/>
      <c r="FM135" s="12"/>
      <c r="FN135" s="12"/>
      <c r="FO135" s="12"/>
      <c r="FP135" s="12"/>
      <c r="FQ135" s="12"/>
      <c r="FR135" s="12"/>
      <c r="FS135" s="12"/>
      <c r="FT135" s="12"/>
      <c r="FU135" s="12"/>
      <c r="FV135" s="12"/>
      <c r="FW135" s="12"/>
      <c r="FX135" s="12"/>
      <c r="FY135" s="12"/>
      <c r="FZ135" s="12"/>
      <c r="GA135" s="12"/>
      <c r="GB135" s="12"/>
      <c r="GC135" s="12"/>
      <c r="GD135" s="12"/>
      <c r="GE135" s="12"/>
      <c r="GF135" s="12"/>
      <c r="GG135" s="12"/>
      <c r="GH135" s="12"/>
      <c r="GI135" s="12"/>
      <c r="GJ135" s="12"/>
      <c r="GK135" s="12"/>
      <c r="GL135" s="12"/>
      <c r="GM135" s="12"/>
      <c r="GN135" s="12"/>
      <c r="GO135" s="12"/>
      <c r="GP135" s="12"/>
      <c r="GQ135" s="12"/>
      <c r="GR135" s="12"/>
      <c r="GS135" s="12"/>
      <c r="GT135" s="12"/>
      <c r="GU135" s="12"/>
      <c r="GV135" s="12"/>
      <c r="GW135" s="12"/>
      <c r="GX135" s="12"/>
      <c r="GY135" s="12"/>
      <c r="GZ135" s="12"/>
      <c r="HA135" s="12"/>
      <c r="HB135" s="12"/>
      <c r="HC135" s="12"/>
      <c r="HD135" s="12"/>
      <c r="HE135" s="12"/>
      <c r="HF135" s="12"/>
      <c r="HG135" s="12"/>
      <c r="HH135" s="12"/>
      <c r="HI135" s="12"/>
      <c r="HJ135" s="12"/>
      <c r="HK135" s="12"/>
      <c r="HL135" s="12"/>
      <c r="HM135" s="12"/>
      <c r="HN135" s="12"/>
      <c r="HO135" s="12"/>
      <c r="HP135" s="12"/>
      <c r="HQ135" s="12"/>
      <c r="HR135" s="12"/>
      <c r="HS135" s="12"/>
      <c r="HT135" s="12"/>
      <c r="HU135" s="12"/>
      <c r="HV135" s="12"/>
      <c r="HW135" s="12"/>
      <c r="HX135" s="12"/>
      <c r="HY135" s="12"/>
      <c r="HZ135" s="12"/>
      <c r="IA135" s="12"/>
      <c r="IB135" s="12"/>
      <c r="IC135" s="12"/>
      <c r="ID135" s="12"/>
      <c r="IE135" s="12"/>
      <c r="IF135" s="12"/>
      <c r="IG135" s="12"/>
      <c r="IH135" s="12"/>
      <c r="II135" s="12"/>
      <c r="IJ135" s="12"/>
      <c r="IK135" s="12"/>
      <c r="IL135" s="12"/>
      <c r="IM135" s="12"/>
      <c r="IN135" s="12"/>
      <c r="IO135" s="12"/>
      <c r="IP135" s="12"/>
      <c r="IQ135" s="12"/>
      <c r="IR135" s="12"/>
      <c r="IS135" s="12"/>
      <c r="IT135" s="12"/>
      <c r="IU135" s="12"/>
      <c r="IV135" s="12"/>
      <c r="IW135" s="12"/>
    </row>
    <row r="136" customFormat="false" ht="11.25" hidden="false" customHeight="false" outlineLevel="0" collapsed="false">
      <c r="A136" s="25" t="n">
        <f aca="false">DATE(YEAR(A135),MONTH(A135)+1,1)</f>
        <v>49857</v>
      </c>
      <c r="B136" s="21" t="n">
        <v>2.15</v>
      </c>
      <c r="C136" s="21" t="n">
        <v>2.22</v>
      </c>
      <c r="D136" s="25" t="n">
        <f aca="false">DATE(YEAR(D135),MONTH(D135)+1,1)</f>
        <v>49857</v>
      </c>
      <c r="E136" s="21" t="n">
        <v>19.08</v>
      </c>
      <c r="F136" s="21" t="n">
        <v>19.851</v>
      </c>
      <c r="G136" s="6"/>
      <c r="H136" s="22" t="n">
        <f aca="false">A136</f>
        <v>49857</v>
      </c>
      <c r="I136" s="23" t="n">
        <f aca="false">IF($J$1="bid",B136,C136)</f>
        <v>2.22</v>
      </c>
      <c r="J136" s="24" t="n">
        <f aca="false">D136</f>
        <v>49857</v>
      </c>
      <c r="K136" s="23" t="n">
        <f aca="false">IF($J$1="bid",E136,F136)</f>
        <v>19.851</v>
      </c>
      <c r="L136" s="11"/>
      <c r="M136" s="11"/>
      <c r="N136" s="11"/>
      <c r="O136" s="11"/>
      <c r="P136" s="11"/>
      <c r="Q136" s="11"/>
      <c r="R136" s="11"/>
      <c r="S136" s="11"/>
      <c r="T136" s="11"/>
      <c r="U136" s="11"/>
      <c r="V136" s="11"/>
      <c r="W136" s="11"/>
      <c r="X136" s="11"/>
      <c r="Y136" s="11"/>
      <c r="Z136" s="11"/>
      <c r="AA136" s="11"/>
      <c r="AB136" s="11"/>
      <c r="AC136" s="11"/>
      <c r="AD136" s="11"/>
      <c r="AE136" s="11"/>
      <c r="AF136" s="11"/>
      <c r="AG136" s="11"/>
      <c r="AH136" s="11"/>
      <c r="AI136" s="11"/>
      <c r="AJ136" s="11"/>
      <c r="AK136" s="11"/>
      <c r="AL136" s="11"/>
      <c r="AM136" s="11"/>
      <c r="AN136" s="11"/>
      <c r="AO136" s="11"/>
      <c r="AP136" s="11"/>
      <c r="AQ136" s="11"/>
      <c r="AR136" s="5"/>
      <c r="AS136" s="12"/>
      <c r="AT136" s="12"/>
      <c r="AU136" s="12"/>
      <c r="AV136" s="12"/>
      <c r="AW136" s="12"/>
      <c r="AX136" s="12"/>
      <c r="AY136" s="12"/>
      <c r="AZ136" s="12"/>
      <c r="BA136" s="12"/>
      <c r="BB136" s="12"/>
      <c r="BC136" s="12"/>
      <c r="BD136" s="12"/>
      <c r="BE136" s="12"/>
      <c r="BF136" s="12"/>
      <c r="BG136" s="12"/>
      <c r="BH136" s="12"/>
      <c r="BI136" s="12"/>
      <c r="BJ136" s="12"/>
      <c r="BK136" s="12"/>
      <c r="BL136" s="12"/>
      <c r="BM136" s="12"/>
      <c r="BN136" s="12"/>
      <c r="BO136" s="12"/>
      <c r="BP136" s="12"/>
      <c r="BQ136" s="12"/>
      <c r="BR136" s="12"/>
      <c r="BS136" s="12"/>
      <c r="BT136" s="12"/>
      <c r="BU136" s="12"/>
      <c r="BV136" s="12"/>
      <c r="BW136" s="12"/>
      <c r="BX136" s="12"/>
      <c r="BY136" s="12"/>
      <c r="BZ136" s="12"/>
      <c r="CA136" s="12"/>
      <c r="CB136" s="12"/>
      <c r="CC136" s="12"/>
      <c r="CD136" s="12"/>
      <c r="CE136" s="12"/>
      <c r="CF136" s="12"/>
      <c r="CG136" s="12"/>
      <c r="CH136" s="12"/>
      <c r="CI136" s="12"/>
      <c r="CJ136" s="12"/>
      <c r="CK136" s="12"/>
      <c r="CL136" s="12"/>
      <c r="CM136" s="12"/>
      <c r="CN136" s="12"/>
      <c r="CO136" s="12"/>
      <c r="CP136" s="12"/>
      <c r="CQ136" s="12"/>
      <c r="CR136" s="12"/>
      <c r="CS136" s="12"/>
      <c r="CT136" s="12"/>
      <c r="CU136" s="12"/>
      <c r="CV136" s="12"/>
      <c r="CW136" s="12"/>
      <c r="CX136" s="12"/>
      <c r="CY136" s="12"/>
      <c r="CZ136" s="12"/>
      <c r="DA136" s="12"/>
      <c r="DB136" s="12"/>
      <c r="DC136" s="12"/>
      <c r="DD136" s="12"/>
      <c r="DE136" s="12"/>
      <c r="DF136" s="12"/>
      <c r="DG136" s="12"/>
      <c r="DH136" s="12"/>
      <c r="DI136" s="12"/>
      <c r="DJ136" s="12"/>
      <c r="DK136" s="12"/>
      <c r="DL136" s="12"/>
      <c r="DM136" s="12"/>
      <c r="DN136" s="12"/>
      <c r="DO136" s="12"/>
      <c r="DP136" s="12"/>
      <c r="DQ136" s="12"/>
      <c r="DR136" s="12"/>
      <c r="DS136" s="12"/>
      <c r="DT136" s="12"/>
      <c r="DU136" s="12"/>
      <c r="DV136" s="12"/>
      <c r="DW136" s="12"/>
      <c r="DX136" s="12"/>
      <c r="DY136" s="12"/>
      <c r="DZ136" s="12"/>
      <c r="EA136" s="12"/>
      <c r="EB136" s="12"/>
      <c r="EC136" s="12"/>
      <c r="ED136" s="12"/>
      <c r="EE136" s="12"/>
      <c r="EF136" s="12"/>
      <c r="EG136" s="12"/>
      <c r="EH136" s="12"/>
      <c r="EI136" s="12"/>
      <c r="EJ136" s="12"/>
      <c r="EK136" s="12"/>
      <c r="EL136" s="12"/>
      <c r="EM136" s="12"/>
      <c r="EN136" s="12"/>
      <c r="EO136" s="12"/>
      <c r="EP136" s="12"/>
      <c r="EQ136" s="12"/>
      <c r="ER136" s="12"/>
      <c r="ES136" s="12"/>
      <c r="ET136" s="12"/>
      <c r="EU136" s="12"/>
      <c r="EV136" s="12"/>
      <c r="EW136" s="12"/>
      <c r="EX136" s="12"/>
      <c r="EY136" s="12"/>
      <c r="EZ136" s="12"/>
      <c r="FA136" s="12"/>
      <c r="FB136" s="12"/>
      <c r="FC136" s="12"/>
      <c r="FD136" s="12"/>
      <c r="FE136" s="12"/>
      <c r="FF136" s="12"/>
      <c r="FG136" s="12"/>
      <c r="FH136" s="12"/>
      <c r="FI136" s="12"/>
      <c r="FJ136" s="12"/>
      <c r="FK136" s="12"/>
      <c r="FL136" s="12"/>
      <c r="FM136" s="12"/>
      <c r="FN136" s="12"/>
      <c r="FO136" s="12"/>
      <c r="FP136" s="12"/>
      <c r="FQ136" s="12"/>
      <c r="FR136" s="12"/>
      <c r="FS136" s="12"/>
      <c r="FT136" s="12"/>
      <c r="FU136" s="12"/>
      <c r="FV136" s="12"/>
      <c r="FW136" s="12"/>
      <c r="FX136" s="12"/>
      <c r="FY136" s="12"/>
      <c r="FZ136" s="12"/>
      <c r="GA136" s="12"/>
      <c r="GB136" s="12"/>
      <c r="GC136" s="12"/>
      <c r="GD136" s="12"/>
      <c r="GE136" s="12"/>
      <c r="GF136" s="12"/>
      <c r="GG136" s="12"/>
      <c r="GH136" s="12"/>
      <c r="GI136" s="12"/>
      <c r="GJ136" s="12"/>
      <c r="GK136" s="12"/>
      <c r="GL136" s="12"/>
      <c r="GM136" s="12"/>
      <c r="GN136" s="12"/>
      <c r="GO136" s="12"/>
      <c r="GP136" s="12"/>
      <c r="GQ136" s="12"/>
      <c r="GR136" s="12"/>
      <c r="GS136" s="12"/>
      <c r="GT136" s="12"/>
      <c r="GU136" s="12"/>
      <c r="GV136" s="12"/>
      <c r="GW136" s="12"/>
      <c r="GX136" s="12"/>
      <c r="GY136" s="12"/>
      <c r="GZ136" s="12"/>
      <c r="HA136" s="12"/>
      <c r="HB136" s="12"/>
      <c r="HC136" s="12"/>
      <c r="HD136" s="12"/>
      <c r="HE136" s="12"/>
      <c r="HF136" s="12"/>
      <c r="HG136" s="12"/>
      <c r="HH136" s="12"/>
      <c r="HI136" s="12"/>
      <c r="HJ136" s="12"/>
      <c r="HK136" s="12"/>
      <c r="HL136" s="12"/>
      <c r="HM136" s="12"/>
      <c r="HN136" s="12"/>
      <c r="HO136" s="12"/>
      <c r="HP136" s="12"/>
      <c r="HQ136" s="12"/>
      <c r="HR136" s="12"/>
      <c r="HS136" s="12"/>
      <c r="HT136" s="12"/>
      <c r="HU136" s="12"/>
      <c r="HV136" s="12"/>
      <c r="HW136" s="12"/>
      <c r="HX136" s="12"/>
      <c r="HY136" s="12"/>
      <c r="HZ136" s="12"/>
      <c r="IA136" s="12"/>
      <c r="IB136" s="12"/>
      <c r="IC136" s="12"/>
      <c r="ID136" s="12"/>
      <c r="IE136" s="12"/>
      <c r="IF136" s="12"/>
      <c r="IG136" s="12"/>
      <c r="IH136" s="12"/>
      <c r="II136" s="12"/>
      <c r="IJ136" s="12"/>
      <c r="IK136" s="12"/>
      <c r="IL136" s="12"/>
      <c r="IM136" s="12"/>
      <c r="IN136" s="12"/>
      <c r="IO136" s="12"/>
      <c r="IP136" s="12"/>
      <c r="IQ136" s="12"/>
      <c r="IR136" s="12"/>
      <c r="IS136" s="12"/>
      <c r="IT136" s="12"/>
      <c r="IU136" s="12"/>
      <c r="IV136" s="12"/>
      <c r="IW136" s="12"/>
    </row>
    <row r="137" customFormat="false" ht="11.25" hidden="false" customHeight="false" outlineLevel="0" collapsed="false">
      <c r="A137" s="25" t="n">
        <f aca="false">DATE(YEAR(A136),MONTH(A136)+1,1)</f>
        <v>49888</v>
      </c>
      <c r="B137" s="21" t="n">
        <v>2.15</v>
      </c>
      <c r="C137" s="21" t="n">
        <v>2.22</v>
      </c>
      <c r="D137" s="25" t="n">
        <f aca="false">DATE(YEAR(D136),MONTH(D136)+1,1)</f>
        <v>49888</v>
      </c>
      <c r="E137" s="21" t="n">
        <v>19.089</v>
      </c>
      <c r="F137" s="21" t="n">
        <v>19.869</v>
      </c>
      <c r="G137" s="6"/>
      <c r="H137" s="22" t="n">
        <f aca="false">A137</f>
        <v>49888</v>
      </c>
      <c r="I137" s="23" t="n">
        <f aca="false">IF($J$1="bid",B137,C137)</f>
        <v>2.22</v>
      </c>
      <c r="J137" s="24" t="n">
        <f aca="false">D137</f>
        <v>49888</v>
      </c>
      <c r="K137" s="23" t="n">
        <f aca="false">IF($J$1="bid",E137,F137)</f>
        <v>19.869</v>
      </c>
      <c r="L137" s="11"/>
      <c r="M137" s="11"/>
      <c r="N137" s="11"/>
      <c r="O137" s="11"/>
      <c r="P137" s="11"/>
      <c r="Q137" s="11"/>
      <c r="R137" s="11"/>
      <c r="S137" s="11"/>
      <c r="T137" s="11"/>
      <c r="U137" s="11"/>
      <c r="V137" s="11"/>
      <c r="W137" s="11"/>
      <c r="X137" s="11"/>
      <c r="Y137" s="11"/>
      <c r="Z137" s="11"/>
      <c r="AA137" s="11"/>
      <c r="AB137" s="11"/>
      <c r="AC137" s="11"/>
      <c r="AD137" s="11"/>
      <c r="AE137" s="11"/>
      <c r="AF137" s="11"/>
      <c r="AG137" s="11"/>
      <c r="AH137" s="11"/>
      <c r="AI137" s="11"/>
      <c r="AJ137" s="11"/>
      <c r="AK137" s="11"/>
      <c r="AL137" s="11"/>
      <c r="AM137" s="11"/>
      <c r="AN137" s="11"/>
      <c r="AO137" s="11"/>
      <c r="AP137" s="11"/>
      <c r="AQ137" s="11"/>
      <c r="AR137" s="5"/>
      <c r="AS137" s="12"/>
      <c r="AT137" s="12"/>
      <c r="AU137" s="12"/>
      <c r="AV137" s="12"/>
      <c r="AW137" s="12"/>
      <c r="AX137" s="12"/>
      <c r="AY137" s="12"/>
      <c r="AZ137" s="12"/>
      <c r="BA137" s="12"/>
      <c r="BB137" s="12"/>
      <c r="BC137" s="12"/>
      <c r="BD137" s="12"/>
      <c r="BE137" s="12"/>
      <c r="BF137" s="12"/>
      <c r="BG137" s="12"/>
      <c r="BH137" s="12"/>
      <c r="BI137" s="12"/>
      <c r="BJ137" s="12"/>
      <c r="BK137" s="12"/>
      <c r="BL137" s="12"/>
      <c r="BM137" s="12"/>
      <c r="BN137" s="12"/>
      <c r="BO137" s="12"/>
      <c r="BP137" s="12"/>
      <c r="BQ137" s="12"/>
      <c r="BR137" s="12"/>
      <c r="BS137" s="12"/>
      <c r="BT137" s="12"/>
      <c r="BU137" s="12"/>
      <c r="BV137" s="12"/>
      <c r="BW137" s="12"/>
      <c r="BX137" s="12"/>
      <c r="BY137" s="12"/>
      <c r="BZ137" s="12"/>
      <c r="CA137" s="12"/>
      <c r="CB137" s="12"/>
      <c r="CC137" s="12"/>
      <c r="CD137" s="12"/>
      <c r="CE137" s="12"/>
      <c r="CF137" s="12"/>
      <c r="CG137" s="12"/>
      <c r="CH137" s="12"/>
      <c r="CI137" s="12"/>
      <c r="CJ137" s="12"/>
      <c r="CK137" s="12"/>
      <c r="CL137" s="12"/>
      <c r="CM137" s="12"/>
      <c r="CN137" s="12"/>
      <c r="CO137" s="12"/>
      <c r="CP137" s="12"/>
      <c r="CQ137" s="12"/>
      <c r="CR137" s="12"/>
      <c r="CS137" s="12"/>
      <c r="CT137" s="12"/>
      <c r="CU137" s="12"/>
      <c r="CV137" s="12"/>
      <c r="CW137" s="12"/>
      <c r="CX137" s="12"/>
      <c r="CY137" s="12"/>
      <c r="CZ137" s="12"/>
      <c r="DA137" s="12"/>
      <c r="DB137" s="12"/>
      <c r="DC137" s="12"/>
      <c r="DD137" s="12"/>
      <c r="DE137" s="12"/>
      <c r="DF137" s="12"/>
      <c r="DG137" s="12"/>
      <c r="DH137" s="12"/>
      <c r="DI137" s="12"/>
      <c r="DJ137" s="12"/>
      <c r="DK137" s="12"/>
      <c r="DL137" s="12"/>
      <c r="DM137" s="12"/>
      <c r="DN137" s="12"/>
      <c r="DO137" s="12"/>
      <c r="DP137" s="12"/>
      <c r="DQ137" s="12"/>
      <c r="DR137" s="12"/>
      <c r="DS137" s="12"/>
      <c r="DT137" s="12"/>
      <c r="DU137" s="12"/>
      <c r="DV137" s="12"/>
      <c r="DW137" s="12"/>
      <c r="DX137" s="12"/>
      <c r="DY137" s="12"/>
      <c r="DZ137" s="12"/>
      <c r="EA137" s="12"/>
      <c r="EB137" s="12"/>
      <c r="EC137" s="12"/>
      <c r="ED137" s="12"/>
      <c r="EE137" s="12"/>
      <c r="EF137" s="12"/>
      <c r="EG137" s="12"/>
      <c r="EH137" s="12"/>
      <c r="EI137" s="12"/>
      <c r="EJ137" s="12"/>
      <c r="EK137" s="12"/>
      <c r="EL137" s="12"/>
      <c r="EM137" s="12"/>
      <c r="EN137" s="12"/>
      <c r="EO137" s="12"/>
      <c r="EP137" s="12"/>
      <c r="EQ137" s="12"/>
      <c r="ER137" s="12"/>
      <c r="ES137" s="12"/>
      <c r="ET137" s="12"/>
      <c r="EU137" s="12"/>
      <c r="EV137" s="12"/>
      <c r="EW137" s="12"/>
      <c r="EX137" s="12"/>
      <c r="EY137" s="12"/>
      <c r="EZ137" s="12"/>
      <c r="FA137" s="12"/>
      <c r="FB137" s="12"/>
      <c r="FC137" s="12"/>
      <c r="FD137" s="12"/>
      <c r="FE137" s="12"/>
      <c r="FF137" s="12"/>
      <c r="FG137" s="12"/>
      <c r="FH137" s="12"/>
      <c r="FI137" s="12"/>
      <c r="FJ137" s="12"/>
      <c r="FK137" s="12"/>
      <c r="FL137" s="12"/>
      <c r="FM137" s="12"/>
      <c r="FN137" s="12"/>
      <c r="FO137" s="12"/>
      <c r="FP137" s="12"/>
      <c r="FQ137" s="12"/>
      <c r="FR137" s="12"/>
      <c r="FS137" s="12"/>
      <c r="FT137" s="12"/>
      <c r="FU137" s="12"/>
      <c r="FV137" s="12"/>
      <c r="FW137" s="12"/>
      <c r="FX137" s="12"/>
      <c r="FY137" s="12"/>
      <c r="FZ137" s="12"/>
      <c r="GA137" s="12"/>
      <c r="GB137" s="12"/>
      <c r="GC137" s="12"/>
      <c r="GD137" s="12"/>
      <c r="GE137" s="12"/>
      <c r="GF137" s="12"/>
      <c r="GG137" s="12"/>
      <c r="GH137" s="12"/>
      <c r="GI137" s="12"/>
      <c r="GJ137" s="12"/>
      <c r="GK137" s="12"/>
      <c r="GL137" s="12"/>
      <c r="GM137" s="12"/>
      <c r="GN137" s="12"/>
      <c r="GO137" s="12"/>
      <c r="GP137" s="12"/>
      <c r="GQ137" s="12"/>
      <c r="GR137" s="12"/>
      <c r="GS137" s="12"/>
      <c r="GT137" s="12"/>
      <c r="GU137" s="12"/>
      <c r="GV137" s="12"/>
      <c r="GW137" s="12"/>
      <c r="GX137" s="12"/>
      <c r="GY137" s="12"/>
      <c r="GZ137" s="12"/>
      <c r="HA137" s="12"/>
      <c r="HB137" s="12"/>
      <c r="HC137" s="12"/>
      <c r="HD137" s="12"/>
      <c r="HE137" s="12"/>
      <c r="HF137" s="12"/>
      <c r="HG137" s="12"/>
      <c r="HH137" s="12"/>
      <c r="HI137" s="12"/>
      <c r="HJ137" s="12"/>
      <c r="HK137" s="12"/>
      <c r="HL137" s="12"/>
      <c r="HM137" s="12"/>
      <c r="HN137" s="12"/>
      <c r="HO137" s="12"/>
      <c r="HP137" s="12"/>
      <c r="HQ137" s="12"/>
      <c r="HR137" s="12"/>
      <c r="HS137" s="12"/>
      <c r="HT137" s="12"/>
      <c r="HU137" s="12"/>
      <c r="HV137" s="12"/>
      <c r="HW137" s="12"/>
      <c r="HX137" s="12"/>
      <c r="HY137" s="12"/>
      <c r="HZ137" s="12"/>
      <c r="IA137" s="12"/>
      <c r="IB137" s="12"/>
      <c r="IC137" s="12"/>
      <c r="ID137" s="12"/>
      <c r="IE137" s="12"/>
      <c r="IF137" s="12"/>
      <c r="IG137" s="12"/>
      <c r="IH137" s="12"/>
      <c r="II137" s="12"/>
      <c r="IJ137" s="12"/>
      <c r="IK137" s="12"/>
      <c r="IL137" s="12"/>
      <c r="IM137" s="12"/>
      <c r="IN137" s="12"/>
      <c r="IO137" s="12"/>
      <c r="IP137" s="12"/>
      <c r="IQ137" s="12"/>
      <c r="IR137" s="12"/>
      <c r="IS137" s="12"/>
      <c r="IT137" s="12"/>
      <c r="IU137" s="12"/>
      <c r="IV137" s="12"/>
      <c r="IW137" s="12"/>
    </row>
    <row r="138" customFormat="false" ht="11.25" hidden="false" customHeight="false" outlineLevel="0" collapsed="false">
      <c r="A138" s="25" t="n">
        <f aca="false">DATE(YEAR(A137),MONTH(A137)+1,1)</f>
        <v>49919</v>
      </c>
      <c r="B138" s="21" t="n">
        <v>2.224</v>
      </c>
      <c r="C138" s="21" t="n">
        <v>2.294</v>
      </c>
      <c r="D138" s="25" t="n">
        <f aca="false">DATE(YEAR(D137),MONTH(D137)+1,1)</f>
        <v>49919</v>
      </c>
      <c r="E138" s="21" t="n">
        <v>19.099</v>
      </c>
      <c r="F138" s="21" t="n">
        <v>19.887</v>
      </c>
      <c r="G138" s="6"/>
      <c r="H138" s="22" t="n">
        <f aca="false">A138</f>
        <v>49919</v>
      </c>
      <c r="I138" s="23" t="n">
        <f aca="false">IF($J$1="bid",B138,C138)</f>
        <v>2.294</v>
      </c>
      <c r="J138" s="24" t="n">
        <f aca="false">D138</f>
        <v>49919</v>
      </c>
      <c r="K138" s="23" t="n">
        <f aca="false">IF($J$1="bid",E138,F138)</f>
        <v>19.887</v>
      </c>
      <c r="L138" s="11"/>
      <c r="M138" s="11"/>
      <c r="N138" s="11"/>
      <c r="O138" s="11"/>
      <c r="P138" s="11"/>
      <c r="Q138" s="11"/>
      <c r="R138" s="11"/>
      <c r="S138" s="11"/>
      <c r="T138" s="11"/>
      <c r="U138" s="11"/>
      <c r="V138" s="11"/>
      <c r="W138" s="11"/>
      <c r="X138" s="11"/>
      <c r="Y138" s="11"/>
      <c r="Z138" s="11"/>
      <c r="AA138" s="11"/>
      <c r="AB138" s="11"/>
      <c r="AC138" s="11"/>
      <c r="AD138" s="11"/>
      <c r="AE138" s="11"/>
      <c r="AF138" s="11"/>
      <c r="AG138" s="11"/>
      <c r="AH138" s="11"/>
      <c r="AI138" s="11"/>
      <c r="AJ138" s="11"/>
      <c r="AK138" s="11"/>
      <c r="AL138" s="11"/>
      <c r="AM138" s="11"/>
      <c r="AN138" s="11"/>
      <c r="AO138" s="11"/>
      <c r="AP138" s="11"/>
      <c r="AQ138" s="11"/>
      <c r="AR138" s="5"/>
      <c r="AS138" s="12"/>
      <c r="AT138" s="12"/>
      <c r="AU138" s="12"/>
      <c r="AV138" s="12"/>
      <c r="AW138" s="12"/>
      <c r="AX138" s="12"/>
      <c r="AY138" s="12"/>
      <c r="AZ138" s="12"/>
      <c r="BA138" s="12"/>
      <c r="BB138" s="12"/>
      <c r="BC138" s="12"/>
      <c r="BD138" s="12"/>
      <c r="BE138" s="12"/>
      <c r="BF138" s="12"/>
      <c r="BG138" s="12"/>
      <c r="BH138" s="12"/>
      <c r="BI138" s="12"/>
      <c r="BJ138" s="12"/>
      <c r="BK138" s="12"/>
      <c r="BL138" s="12"/>
      <c r="BM138" s="12"/>
      <c r="BN138" s="12"/>
      <c r="BO138" s="12"/>
      <c r="BP138" s="12"/>
      <c r="BQ138" s="12"/>
      <c r="BR138" s="12"/>
      <c r="BS138" s="12"/>
      <c r="BT138" s="12"/>
      <c r="BU138" s="12"/>
      <c r="BV138" s="12"/>
      <c r="BW138" s="12"/>
      <c r="BX138" s="12"/>
      <c r="BY138" s="12"/>
      <c r="BZ138" s="12"/>
      <c r="CA138" s="12"/>
      <c r="CB138" s="12"/>
      <c r="CC138" s="12"/>
      <c r="CD138" s="12"/>
      <c r="CE138" s="12"/>
      <c r="CF138" s="12"/>
      <c r="CG138" s="12"/>
      <c r="CH138" s="12"/>
      <c r="CI138" s="12"/>
      <c r="CJ138" s="12"/>
      <c r="CK138" s="12"/>
      <c r="CL138" s="12"/>
      <c r="CM138" s="12"/>
      <c r="CN138" s="12"/>
      <c r="CO138" s="12"/>
      <c r="CP138" s="12"/>
      <c r="CQ138" s="12"/>
      <c r="CR138" s="12"/>
      <c r="CS138" s="12"/>
      <c r="CT138" s="12"/>
      <c r="CU138" s="12"/>
      <c r="CV138" s="12"/>
      <c r="CW138" s="12"/>
      <c r="CX138" s="12"/>
      <c r="CY138" s="12"/>
      <c r="CZ138" s="12"/>
      <c r="DA138" s="12"/>
      <c r="DB138" s="12"/>
      <c r="DC138" s="12"/>
      <c r="DD138" s="12"/>
      <c r="DE138" s="12"/>
      <c r="DF138" s="12"/>
      <c r="DG138" s="12"/>
      <c r="DH138" s="12"/>
      <c r="DI138" s="12"/>
      <c r="DJ138" s="12"/>
      <c r="DK138" s="12"/>
      <c r="DL138" s="12"/>
      <c r="DM138" s="12"/>
      <c r="DN138" s="12"/>
      <c r="DO138" s="12"/>
      <c r="DP138" s="12"/>
      <c r="DQ138" s="12"/>
      <c r="DR138" s="12"/>
      <c r="DS138" s="12"/>
      <c r="DT138" s="12"/>
      <c r="DU138" s="12"/>
      <c r="DV138" s="12"/>
      <c r="DW138" s="12"/>
      <c r="DX138" s="12"/>
      <c r="DY138" s="12"/>
      <c r="DZ138" s="12"/>
      <c r="EA138" s="12"/>
      <c r="EB138" s="12"/>
      <c r="EC138" s="12"/>
      <c r="ED138" s="12"/>
      <c r="EE138" s="12"/>
      <c r="EF138" s="12"/>
      <c r="EG138" s="12"/>
      <c r="EH138" s="12"/>
      <c r="EI138" s="12"/>
      <c r="EJ138" s="12"/>
      <c r="EK138" s="12"/>
      <c r="EL138" s="12"/>
      <c r="EM138" s="12"/>
      <c r="EN138" s="12"/>
      <c r="EO138" s="12"/>
      <c r="EP138" s="12"/>
      <c r="EQ138" s="12"/>
      <c r="ER138" s="12"/>
      <c r="ES138" s="12"/>
      <c r="ET138" s="12"/>
      <c r="EU138" s="12"/>
      <c r="EV138" s="12"/>
      <c r="EW138" s="12"/>
      <c r="EX138" s="12"/>
      <c r="EY138" s="12"/>
      <c r="EZ138" s="12"/>
      <c r="FA138" s="12"/>
      <c r="FB138" s="12"/>
      <c r="FC138" s="12"/>
      <c r="FD138" s="12"/>
      <c r="FE138" s="12"/>
      <c r="FF138" s="12"/>
      <c r="FG138" s="12"/>
      <c r="FH138" s="12"/>
      <c r="FI138" s="12"/>
      <c r="FJ138" s="12"/>
      <c r="FK138" s="12"/>
      <c r="FL138" s="12"/>
      <c r="FM138" s="12"/>
      <c r="FN138" s="12"/>
      <c r="FO138" s="12"/>
      <c r="FP138" s="12"/>
      <c r="FQ138" s="12"/>
      <c r="FR138" s="12"/>
      <c r="FS138" s="12"/>
      <c r="FT138" s="12"/>
      <c r="FU138" s="12"/>
      <c r="FV138" s="12"/>
      <c r="FW138" s="12"/>
      <c r="FX138" s="12"/>
      <c r="FY138" s="12"/>
      <c r="FZ138" s="12"/>
      <c r="GA138" s="12"/>
      <c r="GB138" s="12"/>
      <c r="GC138" s="12"/>
      <c r="GD138" s="12"/>
      <c r="GE138" s="12"/>
      <c r="GF138" s="12"/>
      <c r="GG138" s="12"/>
      <c r="GH138" s="12"/>
      <c r="GI138" s="12"/>
      <c r="GJ138" s="12"/>
      <c r="GK138" s="12"/>
      <c r="GL138" s="12"/>
      <c r="GM138" s="12"/>
      <c r="GN138" s="12"/>
      <c r="GO138" s="12"/>
      <c r="GP138" s="12"/>
      <c r="GQ138" s="12"/>
      <c r="GR138" s="12"/>
      <c r="GS138" s="12"/>
      <c r="GT138" s="12"/>
      <c r="GU138" s="12"/>
      <c r="GV138" s="12"/>
      <c r="GW138" s="12"/>
      <c r="GX138" s="12"/>
      <c r="GY138" s="12"/>
      <c r="GZ138" s="12"/>
      <c r="HA138" s="12"/>
      <c r="HB138" s="12"/>
      <c r="HC138" s="12"/>
      <c r="HD138" s="12"/>
      <c r="HE138" s="12"/>
      <c r="HF138" s="12"/>
      <c r="HG138" s="12"/>
      <c r="HH138" s="12"/>
      <c r="HI138" s="12"/>
      <c r="HJ138" s="12"/>
      <c r="HK138" s="12"/>
      <c r="HL138" s="12"/>
      <c r="HM138" s="12"/>
      <c r="HN138" s="12"/>
      <c r="HO138" s="12"/>
      <c r="HP138" s="12"/>
      <c r="HQ138" s="12"/>
      <c r="HR138" s="12"/>
      <c r="HS138" s="12"/>
      <c r="HT138" s="12"/>
      <c r="HU138" s="12"/>
      <c r="HV138" s="12"/>
      <c r="HW138" s="12"/>
      <c r="HX138" s="12"/>
      <c r="HY138" s="12"/>
      <c r="HZ138" s="12"/>
      <c r="IA138" s="12"/>
      <c r="IB138" s="12"/>
      <c r="IC138" s="12"/>
      <c r="ID138" s="12"/>
      <c r="IE138" s="12"/>
      <c r="IF138" s="12"/>
      <c r="IG138" s="12"/>
      <c r="IH138" s="12"/>
      <c r="II138" s="12"/>
      <c r="IJ138" s="12"/>
      <c r="IK138" s="12"/>
      <c r="IL138" s="12"/>
      <c r="IM138" s="12"/>
      <c r="IN138" s="12"/>
      <c r="IO138" s="12"/>
      <c r="IP138" s="12"/>
      <c r="IQ138" s="12"/>
      <c r="IR138" s="12"/>
      <c r="IS138" s="12"/>
      <c r="IT138" s="12"/>
      <c r="IU138" s="12"/>
      <c r="IV138" s="12"/>
      <c r="IW138" s="12"/>
    </row>
    <row r="139" customFormat="false" ht="11.25" hidden="false" customHeight="false" outlineLevel="0" collapsed="false">
      <c r="A139" s="25" t="n">
        <f aca="false">DATE(YEAR(A138),MONTH(A138)+1,1)</f>
        <v>49949</v>
      </c>
      <c r="B139" s="21" t="n">
        <v>2.342</v>
      </c>
      <c r="C139" s="21" t="n">
        <v>2.412</v>
      </c>
      <c r="D139" s="25" t="n">
        <f aca="false">DATE(YEAR(D138),MONTH(D138)+1,1)</f>
        <v>49949</v>
      </c>
      <c r="E139" s="21" t="n">
        <v>19.108</v>
      </c>
      <c r="F139" s="21" t="n">
        <v>19.904</v>
      </c>
      <c r="G139" s="6"/>
      <c r="H139" s="22" t="n">
        <f aca="false">A139</f>
        <v>49949</v>
      </c>
      <c r="I139" s="23" t="n">
        <f aca="false">IF($J$1="bid",B139,C139)</f>
        <v>2.412</v>
      </c>
      <c r="J139" s="24" t="n">
        <f aca="false">D139</f>
        <v>49949</v>
      </c>
      <c r="K139" s="23" t="n">
        <f aca="false">IF($J$1="bid",E139,F139)</f>
        <v>19.904</v>
      </c>
      <c r="L139" s="11"/>
      <c r="M139" s="11"/>
      <c r="N139" s="11"/>
      <c r="O139" s="11"/>
      <c r="P139" s="11"/>
      <c r="Q139" s="11"/>
      <c r="R139" s="11"/>
      <c r="S139" s="11"/>
      <c r="T139" s="11"/>
      <c r="U139" s="11"/>
      <c r="V139" s="11"/>
      <c r="W139" s="11"/>
      <c r="X139" s="11"/>
      <c r="Y139" s="11"/>
      <c r="Z139" s="11"/>
      <c r="AA139" s="11"/>
      <c r="AB139" s="11"/>
      <c r="AC139" s="11"/>
      <c r="AD139" s="11"/>
      <c r="AE139" s="11"/>
      <c r="AF139" s="11"/>
      <c r="AG139" s="11"/>
      <c r="AH139" s="11"/>
      <c r="AI139" s="11"/>
      <c r="AJ139" s="11"/>
      <c r="AK139" s="11"/>
      <c r="AL139" s="11"/>
      <c r="AM139" s="11"/>
      <c r="AN139" s="11"/>
      <c r="AO139" s="11"/>
      <c r="AP139" s="11"/>
      <c r="AQ139" s="11"/>
      <c r="AR139" s="5"/>
      <c r="AS139" s="12"/>
      <c r="AT139" s="12"/>
      <c r="AU139" s="12"/>
      <c r="AV139" s="12"/>
      <c r="AW139" s="12"/>
      <c r="AX139" s="12"/>
      <c r="AY139" s="12"/>
      <c r="AZ139" s="12"/>
      <c r="BA139" s="12"/>
      <c r="BB139" s="12"/>
      <c r="BC139" s="12"/>
      <c r="BD139" s="12"/>
      <c r="BE139" s="12"/>
      <c r="BF139" s="12"/>
      <c r="BG139" s="12"/>
      <c r="BH139" s="12"/>
      <c r="BI139" s="12"/>
      <c r="BJ139" s="12"/>
      <c r="BK139" s="12"/>
      <c r="BL139" s="12"/>
      <c r="BM139" s="12"/>
      <c r="BN139" s="12"/>
      <c r="BO139" s="12"/>
      <c r="BP139" s="12"/>
      <c r="BQ139" s="12"/>
      <c r="BR139" s="12"/>
      <c r="BS139" s="12"/>
      <c r="BT139" s="12"/>
      <c r="BU139" s="12"/>
      <c r="BV139" s="12"/>
      <c r="BW139" s="12"/>
      <c r="BX139" s="12"/>
      <c r="BY139" s="12"/>
      <c r="BZ139" s="12"/>
      <c r="CA139" s="12"/>
      <c r="CB139" s="12"/>
      <c r="CC139" s="12"/>
      <c r="CD139" s="12"/>
      <c r="CE139" s="12"/>
      <c r="CF139" s="12"/>
      <c r="CG139" s="12"/>
      <c r="CH139" s="12"/>
      <c r="CI139" s="12"/>
      <c r="CJ139" s="12"/>
      <c r="CK139" s="12"/>
      <c r="CL139" s="12"/>
      <c r="CM139" s="12"/>
      <c r="CN139" s="12"/>
      <c r="CO139" s="12"/>
      <c r="CP139" s="12"/>
      <c r="CQ139" s="12"/>
      <c r="CR139" s="12"/>
      <c r="CS139" s="12"/>
      <c r="CT139" s="12"/>
      <c r="CU139" s="12"/>
      <c r="CV139" s="12"/>
      <c r="CW139" s="12"/>
      <c r="CX139" s="12"/>
      <c r="CY139" s="12"/>
      <c r="CZ139" s="12"/>
      <c r="DA139" s="12"/>
      <c r="DB139" s="12"/>
      <c r="DC139" s="12"/>
      <c r="DD139" s="12"/>
      <c r="DE139" s="12"/>
      <c r="DF139" s="12"/>
      <c r="DG139" s="12"/>
      <c r="DH139" s="12"/>
      <c r="DI139" s="12"/>
      <c r="DJ139" s="12"/>
      <c r="DK139" s="12"/>
      <c r="DL139" s="12"/>
      <c r="DM139" s="12"/>
      <c r="DN139" s="12"/>
      <c r="DO139" s="12"/>
      <c r="DP139" s="12"/>
      <c r="DQ139" s="12"/>
      <c r="DR139" s="12"/>
      <c r="DS139" s="12"/>
      <c r="DT139" s="12"/>
      <c r="DU139" s="12"/>
      <c r="DV139" s="12"/>
      <c r="DW139" s="12"/>
      <c r="DX139" s="12"/>
      <c r="DY139" s="12"/>
      <c r="DZ139" s="12"/>
      <c r="EA139" s="12"/>
      <c r="EB139" s="12"/>
      <c r="EC139" s="12"/>
      <c r="ED139" s="12"/>
      <c r="EE139" s="12"/>
      <c r="EF139" s="12"/>
      <c r="EG139" s="12"/>
      <c r="EH139" s="12"/>
      <c r="EI139" s="12"/>
      <c r="EJ139" s="12"/>
      <c r="EK139" s="12"/>
      <c r="EL139" s="12"/>
      <c r="EM139" s="12"/>
      <c r="EN139" s="12"/>
      <c r="EO139" s="12"/>
      <c r="EP139" s="12"/>
      <c r="EQ139" s="12"/>
      <c r="ER139" s="12"/>
      <c r="ES139" s="12"/>
      <c r="ET139" s="12"/>
      <c r="EU139" s="12"/>
      <c r="EV139" s="12"/>
      <c r="EW139" s="12"/>
      <c r="EX139" s="12"/>
      <c r="EY139" s="12"/>
      <c r="EZ139" s="12"/>
      <c r="FA139" s="12"/>
      <c r="FB139" s="12"/>
      <c r="FC139" s="12"/>
      <c r="FD139" s="12"/>
      <c r="FE139" s="12"/>
      <c r="FF139" s="12"/>
      <c r="FG139" s="12"/>
      <c r="FH139" s="12"/>
      <c r="FI139" s="12"/>
      <c r="FJ139" s="12"/>
      <c r="FK139" s="12"/>
      <c r="FL139" s="12"/>
      <c r="FM139" s="12"/>
      <c r="FN139" s="12"/>
      <c r="FO139" s="12"/>
      <c r="FP139" s="12"/>
      <c r="FQ139" s="12"/>
      <c r="FR139" s="12"/>
      <c r="FS139" s="12"/>
      <c r="FT139" s="12"/>
      <c r="FU139" s="12"/>
      <c r="FV139" s="12"/>
      <c r="FW139" s="12"/>
      <c r="FX139" s="12"/>
      <c r="FY139" s="12"/>
      <c r="FZ139" s="12"/>
      <c r="GA139" s="12"/>
      <c r="GB139" s="12"/>
      <c r="GC139" s="12"/>
      <c r="GD139" s="12"/>
      <c r="GE139" s="12"/>
      <c r="GF139" s="12"/>
      <c r="GG139" s="12"/>
      <c r="GH139" s="12"/>
      <c r="GI139" s="12"/>
      <c r="GJ139" s="12"/>
      <c r="GK139" s="12"/>
      <c r="GL139" s="12"/>
      <c r="GM139" s="12"/>
      <c r="GN139" s="12"/>
      <c r="GO139" s="12"/>
      <c r="GP139" s="12"/>
      <c r="GQ139" s="12"/>
      <c r="GR139" s="12"/>
      <c r="GS139" s="12"/>
      <c r="GT139" s="12"/>
      <c r="GU139" s="12"/>
      <c r="GV139" s="12"/>
      <c r="GW139" s="12"/>
      <c r="GX139" s="12"/>
      <c r="GY139" s="12"/>
      <c r="GZ139" s="12"/>
      <c r="HA139" s="12"/>
      <c r="HB139" s="12"/>
      <c r="HC139" s="12"/>
      <c r="HD139" s="12"/>
      <c r="HE139" s="12"/>
      <c r="HF139" s="12"/>
      <c r="HG139" s="12"/>
      <c r="HH139" s="12"/>
      <c r="HI139" s="12"/>
      <c r="HJ139" s="12"/>
      <c r="HK139" s="12"/>
      <c r="HL139" s="12"/>
      <c r="HM139" s="12"/>
      <c r="HN139" s="12"/>
      <c r="HO139" s="12"/>
      <c r="HP139" s="12"/>
      <c r="HQ139" s="12"/>
      <c r="HR139" s="12"/>
      <c r="HS139" s="12"/>
      <c r="HT139" s="12"/>
      <c r="HU139" s="12"/>
      <c r="HV139" s="12"/>
      <c r="HW139" s="12"/>
      <c r="HX139" s="12"/>
      <c r="HY139" s="12"/>
      <c r="HZ139" s="12"/>
      <c r="IA139" s="12"/>
      <c r="IB139" s="12"/>
      <c r="IC139" s="12"/>
      <c r="ID139" s="12"/>
      <c r="IE139" s="12"/>
      <c r="IF139" s="12"/>
      <c r="IG139" s="12"/>
      <c r="IH139" s="12"/>
      <c r="II139" s="12"/>
      <c r="IJ139" s="12"/>
      <c r="IK139" s="12"/>
      <c r="IL139" s="12"/>
      <c r="IM139" s="12"/>
      <c r="IN139" s="12"/>
      <c r="IO139" s="12"/>
      <c r="IP139" s="12"/>
      <c r="IQ139" s="12"/>
      <c r="IR139" s="12"/>
      <c r="IS139" s="12"/>
      <c r="IT139" s="12"/>
      <c r="IU139" s="12"/>
      <c r="IV139" s="12"/>
      <c r="IW139" s="12"/>
    </row>
    <row r="140" customFormat="false" ht="11.25" hidden="false" customHeight="false" outlineLevel="0" collapsed="false">
      <c r="A140" s="25" t="n">
        <f aca="false">DATE(YEAR(A139),MONTH(A139)+1,1)</f>
        <v>49980</v>
      </c>
      <c r="B140" s="21" t="n">
        <v>2.473</v>
      </c>
      <c r="C140" s="21" t="n">
        <v>2.543</v>
      </c>
      <c r="D140" s="25" t="n">
        <f aca="false">DATE(YEAR(D139),MONTH(D139)+1,1)</f>
        <v>49980</v>
      </c>
      <c r="E140" s="21" t="n">
        <v>19.117</v>
      </c>
      <c r="F140" s="21" t="n">
        <v>19.922</v>
      </c>
      <c r="G140" s="6"/>
      <c r="H140" s="22" t="n">
        <f aca="false">A140</f>
        <v>49980</v>
      </c>
      <c r="I140" s="23" t="n">
        <f aca="false">IF($J$1="bid",B140,C140)</f>
        <v>2.543</v>
      </c>
      <c r="J140" s="24" t="n">
        <f aca="false">D140</f>
        <v>49980</v>
      </c>
      <c r="K140" s="23" t="n">
        <f aca="false">IF($J$1="bid",E140,F140)</f>
        <v>19.922</v>
      </c>
      <c r="L140" s="11"/>
      <c r="M140" s="11"/>
      <c r="N140" s="11"/>
      <c r="O140" s="11"/>
      <c r="P140" s="11"/>
      <c r="Q140" s="11"/>
      <c r="R140" s="11"/>
      <c r="S140" s="11"/>
      <c r="T140" s="11"/>
      <c r="U140" s="11"/>
      <c r="V140" s="11"/>
      <c r="W140" s="11"/>
      <c r="X140" s="11"/>
      <c r="Y140" s="11"/>
      <c r="Z140" s="11"/>
      <c r="AA140" s="11"/>
      <c r="AB140" s="11"/>
      <c r="AC140" s="11"/>
      <c r="AD140" s="11"/>
      <c r="AE140" s="11"/>
      <c r="AF140" s="11"/>
      <c r="AG140" s="11"/>
      <c r="AH140" s="11"/>
      <c r="AI140" s="11"/>
      <c r="AJ140" s="11"/>
      <c r="AK140" s="11"/>
      <c r="AL140" s="11"/>
      <c r="AM140" s="11"/>
      <c r="AN140" s="11"/>
      <c r="AO140" s="11"/>
      <c r="AP140" s="11"/>
      <c r="AQ140" s="11"/>
      <c r="AR140" s="5"/>
      <c r="AS140" s="12"/>
      <c r="AT140" s="12"/>
      <c r="AU140" s="12"/>
      <c r="AV140" s="12"/>
      <c r="AW140" s="12"/>
      <c r="AX140" s="12"/>
      <c r="AY140" s="12"/>
      <c r="AZ140" s="12"/>
      <c r="BA140" s="12"/>
      <c r="BB140" s="12"/>
      <c r="BC140" s="12"/>
      <c r="BD140" s="12"/>
      <c r="BE140" s="12"/>
      <c r="BF140" s="12"/>
      <c r="BG140" s="12"/>
      <c r="BH140" s="12"/>
      <c r="BI140" s="12"/>
      <c r="BJ140" s="12"/>
      <c r="BK140" s="12"/>
      <c r="BL140" s="12"/>
      <c r="BM140" s="12"/>
      <c r="BN140" s="12"/>
      <c r="BO140" s="12"/>
      <c r="BP140" s="12"/>
      <c r="BQ140" s="12"/>
      <c r="BR140" s="12"/>
      <c r="BS140" s="12"/>
      <c r="BT140" s="12"/>
      <c r="BU140" s="12"/>
      <c r="BV140" s="12"/>
      <c r="BW140" s="12"/>
      <c r="BX140" s="12"/>
      <c r="BY140" s="12"/>
      <c r="BZ140" s="12"/>
      <c r="CA140" s="12"/>
      <c r="CB140" s="12"/>
      <c r="CC140" s="12"/>
      <c r="CD140" s="12"/>
      <c r="CE140" s="12"/>
      <c r="CF140" s="12"/>
      <c r="CG140" s="12"/>
      <c r="CH140" s="12"/>
      <c r="CI140" s="12"/>
      <c r="CJ140" s="12"/>
      <c r="CK140" s="12"/>
      <c r="CL140" s="12"/>
      <c r="CM140" s="12"/>
      <c r="CN140" s="12"/>
      <c r="CO140" s="12"/>
      <c r="CP140" s="12"/>
      <c r="CQ140" s="12"/>
      <c r="CR140" s="12"/>
      <c r="CS140" s="12"/>
      <c r="CT140" s="12"/>
      <c r="CU140" s="12"/>
      <c r="CV140" s="12"/>
      <c r="CW140" s="12"/>
      <c r="CX140" s="12"/>
      <c r="CY140" s="12"/>
      <c r="CZ140" s="12"/>
      <c r="DA140" s="12"/>
      <c r="DB140" s="12"/>
      <c r="DC140" s="12"/>
      <c r="DD140" s="12"/>
      <c r="DE140" s="12"/>
      <c r="DF140" s="12"/>
      <c r="DG140" s="12"/>
      <c r="DH140" s="12"/>
      <c r="DI140" s="12"/>
      <c r="DJ140" s="12"/>
      <c r="DK140" s="12"/>
      <c r="DL140" s="12"/>
      <c r="DM140" s="12"/>
      <c r="DN140" s="12"/>
      <c r="DO140" s="12"/>
      <c r="DP140" s="12"/>
      <c r="DQ140" s="12"/>
      <c r="DR140" s="12"/>
      <c r="DS140" s="12"/>
      <c r="DT140" s="12"/>
      <c r="DU140" s="12"/>
      <c r="DV140" s="12"/>
      <c r="DW140" s="12"/>
      <c r="DX140" s="12"/>
      <c r="DY140" s="12"/>
      <c r="DZ140" s="12"/>
      <c r="EA140" s="12"/>
      <c r="EB140" s="12"/>
      <c r="EC140" s="12"/>
      <c r="ED140" s="12"/>
      <c r="EE140" s="12"/>
      <c r="EF140" s="12"/>
      <c r="EG140" s="12"/>
      <c r="EH140" s="12"/>
      <c r="EI140" s="12"/>
      <c r="EJ140" s="12"/>
      <c r="EK140" s="12"/>
      <c r="EL140" s="12"/>
      <c r="EM140" s="12"/>
      <c r="EN140" s="12"/>
      <c r="EO140" s="12"/>
      <c r="EP140" s="12"/>
      <c r="EQ140" s="12"/>
      <c r="ER140" s="12"/>
      <c r="ES140" s="12"/>
      <c r="ET140" s="12"/>
      <c r="EU140" s="12"/>
      <c r="EV140" s="12"/>
      <c r="EW140" s="12"/>
      <c r="EX140" s="12"/>
      <c r="EY140" s="12"/>
      <c r="EZ140" s="12"/>
      <c r="FA140" s="12"/>
      <c r="FB140" s="12"/>
      <c r="FC140" s="12"/>
      <c r="FD140" s="12"/>
      <c r="FE140" s="12"/>
      <c r="FF140" s="12"/>
      <c r="FG140" s="12"/>
      <c r="FH140" s="12"/>
      <c r="FI140" s="12"/>
      <c r="FJ140" s="12"/>
      <c r="FK140" s="12"/>
      <c r="FL140" s="12"/>
      <c r="FM140" s="12"/>
      <c r="FN140" s="12"/>
      <c r="FO140" s="12"/>
      <c r="FP140" s="12"/>
      <c r="FQ140" s="12"/>
      <c r="FR140" s="12"/>
      <c r="FS140" s="12"/>
      <c r="FT140" s="12"/>
      <c r="FU140" s="12"/>
      <c r="FV140" s="12"/>
      <c r="FW140" s="12"/>
      <c r="FX140" s="12"/>
      <c r="FY140" s="12"/>
      <c r="FZ140" s="12"/>
      <c r="GA140" s="12"/>
      <c r="GB140" s="12"/>
      <c r="GC140" s="12"/>
      <c r="GD140" s="12"/>
      <c r="GE140" s="12"/>
      <c r="GF140" s="12"/>
      <c r="GG140" s="12"/>
      <c r="GH140" s="12"/>
      <c r="GI140" s="12"/>
      <c r="GJ140" s="12"/>
      <c r="GK140" s="12"/>
      <c r="GL140" s="12"/>
      <c r="GM140" s="12"/>
      <c r="GN140" s="12"/>
      <c r="GO140" s="12"/>
      <c r="GP140" s="12"/>
      <c r="GQ140" s="12"/>
      <c r="GR140" s="12"/>
      <c r="GS140" s="12"/>
      <c r="GT140" s="12"/>
      <c r="GU140" s="12"/>
      <c r="GV140" s="12"/>
      <c r="GW140" s="12"/>
      <c r="GX140" s="12"/>
      <c r="GY140" s="12"/>
      <c r="GZ140" s="12"/>
      <c r="HA140" s="12"/>
      <c r="HB140" s="12"/>
      <c r="HC140" s="12"/>
      <c r="HD140" s="12"/>
      <c r="HE140" s="12"/>
      <c r="HF140" s="12"/>
      <c r="HG140" s="12"/>
      <c r="HH140" s="12"/>
      <c r="HI140" s="12"/>
      <c r="HJ140" s="12"/>
      <c r="HK140" s="12"/>
      <c r="HL140" s="12"/>
      <c r="HM140" s="12"/>
      <c r="HN140" s="12"/>
      <c r="HO140" s="12"/>
      <c r="HP140" s="12"/>
      <c r="HQ140" s="12"/>
      <c r="HR140" s="12"/>
      <c r="HS140" s="12"/>
      <c r="HT140" s="12"/>
      <c r="HU140" s="12"/>
      <c r="HV140" s="12"/>
      <c r="HW140" s="12"/>
      <c r="HX140" s="12"/>
      <c r="HY140" s="12"/>
      <c r="HZ140" s="12"/>
      <c r="IA140" s="12"/>
      <c r="IB140" s="12"/>
      <c r="IC140" s="12"/>
      <c r="ID140" s="12"/>
      <c r="IE140" s="12"/>
      <c r="IF140" s="12"/>
      <c r="IG140" s="12"/>
      <c r="IH140" s="12"/>
      <c r="II140" s="12"/>
      <c r="IJ140" s="12"/>
      <c r="IK140" s="12"/>
      <c r="IL140" s="12"/>
      <c r="IM140" s="12"/>
      <c r="IN140" s="12"/>
      <c r="IO140" s="12"/>
      <c r="IP140" s="12"/>
      <c r="IQ140" s="12"/>
      <c r="IR140" s="12"/>
      <c r="IS140" s="12"/>
      <c r="IT140" s="12"/>
      <c r="IU140" s="12"/>
      <c r="IV140" s="12"/>
      <c r="IW140" s="12"/>
    </row>
    <row r="141" customFormat="false" ht="11.25" hidden="false" customHeight="false" outlineLevel="0" collapsed="false">
      <c r="A141" s="25" t="n">
        <f aca="false">DATE(YEAR(A140),MONTH(A140)+1,1)</f>
        <v>50010</v>
      </c>
      <c r="B141" s="21" t="n">
        <v>2.388</v>
      </c>
      <c r="C141" s="21" t="n">
        <v>2.458</v>
      </c>
      <c r="D141" s="25" t="n">
        <f aca="false">DATE(YEAR(D140),MONTH(D140)+1,1)</f>
        <v>50010</v>
      </c>
      <c r="E141" s="21" t="n">
        <v>19.126</v>
      </c>
      <c r="F141" s="21" t="n">
        <v>19.94</v>
      </c>
      <c r="G141" s="6"/>
      <c r="H141" s="22" t="n">
        <f aca="false">A141</f>
        <v>50010</v>
      </c>
      <c r="I141" s="23" t="n">
        <f aca="false">IF($J$1="bid",B141,C141)</f>
        <v>2.458</v>
      </c>
      <c r="J141" s="24" t="n">
        <f aca="false">D141</f>
        <v>50010</v>
      </c>
      <c r="K141" s="23" t="n">
        <f aca="false">IF($J$1="bid",E141,F141)</f>
        <v>19.94</v>
      </c>
      <c r="L141" s="11"/>
      <c r="M141" s="11"/>
      <c r="N141" s="11"/>
      <c r="O141" s="11"/>
      <c r="P141" s="11"/>
      <c r="Q141" s="11"/>
      <c r="R141" s="11"/>
      <c r="S141" s="11"/>
      <c r="T141" s="11"/>
      <c r="U141" s="11"/>
      <c r="V141" s="11"/>
      <c r="W141" s="11"/>
      <c r="X141" s="11"/>
      <c r="Y141" s="11"/>
      <c r="Z141" s="11"/>
      <c r="AA141" s="11"/>
      <c r="AB141" s="11"/>
      <c r="AC141" s="11"/>
      <c r="AD141" s="11"/>
      <c r="AE141" s="11"/>
      <c r="AF141" s="11"/>
      <c r="AG141" s="11"/>
      <c r="AH141" s="11"/>
      <c r="AI141" s="11"/>
      <c r="AJ141" s="11"/>
      <c r="AK141" s="11"/>
      <c r="AL141" s="11"/>
      <c r="AM141" s="11"/>
      <c r="AN141" s="11"/>
      <c r="AO141" s="11"/>
      <c r="AP141" s="11"/>
      <c r="AQ141" s="11"/>
      <c r="AR141" s="5"/>
      <c r="AS141" s="12"/>
      <c r="AT141" s="12"/>
      <c r="AU141" s="12"/>
      <c r="AV141" s="12"/>
      <c r="AW141" s="12"/>
      <c r="AX141" s="12"/>
      <c r="AY141" s="12"/>
      <c r="AZ141" s="12"/>
      <c r="BA141" s="12"/>
      <c r="BB141" s="12"/>
      <c r="BC141" s="12"/>
      <c r="BD141" s="12"/>
      <c r="BE141" s="12"/>
      <c r="BF141" s="12"/>
      <c r="BG141" s="12"/>
      <c r="BH141" s="12"/>
      <c r="BI141" s="12"/>
      <c r="BJ141" s="12"/>
      <c r="BK141" s="12"/>
      <c r="BL141" s="12"/>
      <c r="BM141" s="12"/>
      <c r="BN141" s="12"/>
      <c r="BO141" s="12"/>
      <c r="BP141" s="12"/>
      <c r="BQ141" s="12"/>
      <c r="BR141" s="12"/>
      <c r="BS141" s="12"/>
      <c r="BT141" s="12"/>
      <c r="BU141" s="12"/>
      <c r="BV141" s="12"/>
      <c r="BW141" s="12"/>
      <c r="BX141" s="12"/>
      <c r="BY141" s="12"/>
      <c r="BZ141" s="12"/>
      <c r="CA141" s="12"/>
      <c r="CB141" s="12"/>
      <c r="CC141" s="12"/>
      <c r="CD141" s="12"/>
      <c r="CE141" s="12"/>
      <c r="CF141" s="12"/>
      <c r="CG141" s="12"/>
      <c r="CH141" s="12"/>
      <c r="CI141" s="12"/>
      <c r="CJ141" s="12"/>
      <c r="CK141" s="12"/>
      <c r="CL141" s="12"/>
      <c r="CM141" s="12"/>
      <c r="CN141" s="12"/>
      <c r="CO141" s="12"/>
      <c r="CP141" s="12"/>
      <c r="CQ141" s="12"/>
      <c r="CR141" s="12"/>
      <c r="CS141" s="12"/>
      <c r="CT141" s="12"/>
      <c r="CU141" s="12"/>
      <c r="CV141" s="12"/>
      <c r="CW141" s="12"/>
      <c r="CX141" s="12"/>
      <c r="CY141" s="12"/>
      <c r="CZ141" s="12"/>
      <c r="DA141" s="12"/>
      <c r="DB141" s="12"/>
      <c r="DC141" s="12"/>
      <c r="DD141" s="12"/>
      <c r="DE141" s="12"/>
      <c r="DF141" s="12"/>
      <c r="DG141" s="12"/>
      <c r="DH141" s="12"/>
      <c r="DI141" s="12"/>
      <c r="DJ141" s="12"/>
      <c r="DK141" s="12"/>
      <c r="DL141" s="12"/>
      <c r="DM141" s="12"/>
      <c r="DN141" s="12"/>
      <c r="DO141" s="12"/>
      <c r="DP141" s="12"/>
      <c r="DQ141" s="12"/>
      <c r="DR141" s="12"/>
      <c r="DS141" s="12"/>
      <c r="DT141" s="12"/>
      <c r="DU141" s="12"/>
      <c r="DV141" s="12"/>
      <c r="DW141" s="12"/>
      <c r="DX141" s="12"/>
      <c r="DY141" s="12"/>
      <c r="DZ141" s="12"/>
      <c r="EA141" s="12"/>
      <c r="EB141" s="12"/>
      <c r="EC141" s="12"/>
      <c r="ED141" s="12"/>
      <c r="EE141" s="12"/>
      <c r="EF141" s="12"/>
      <c r="EG141" s="12"/>
      <c r="EH141" s="12"/>
      <c r="EI141" s="12"/>
      <c r="EJ141" s="12"/>
      <c r="EK141" s="12"/>
      <c r="EL141" s="12"/>
      <c r="EM141" s="12"/>
      <c r="EN141" s="12"/>
      <c r="EO141" s="12"/>
      <c r="EP141" s="12"/>
      <c r="EQ141" s="12"/>
      <c r="ER141" s="12"/>
      <c r="ES141" s="12"/>
      <c r="ET141" s="12"/>
      <c r="EU141" s="12"/>
      <c r="EV141" s="12"/>
      <c r="EW141" s="12"/>
      <c r="EX141" s="12"/>
      <c r="EY141" s="12"/>
      <c r="EZ141" s="12"/>
      <c r="FA141" s="12"/>
      <c r="FB141" s="12"/>
      <c r="FC141" s="12"/>
      <c r="FD141" s="12"/>
      <c r="FE141" s="12"/>
      <c r="FF141" s="12"/>
      <c r="FG141" s="12"/>
      <c r="FH141" s="12"/>
      <c r="FI141" s="12"/>
      <c r="FJ141" s="12"/>
      <c r="FK141" s="12"/>
      <c r="FL141" s="12"/>
      <c r="FM141" s="12"/>
      <c r="FN141" s="12"/>
      <c r="FO141" s="12"/>
      <c r="FP141" s="12"/>
      <c r="FQ141" s="12"/>
      <c r="FR141" s="12"/>
      <c r="FS141" s="12"/>
      <c r="FT141" s="12"/>
      <c r="FU141" s="12"/>
      <c r="FV141" s="12"/>
      <c r="FW141" s="12"/>
      <c r="FX141" s="12"/>
      <c r="FY141" s="12"/>
      <c r="FZ141" s="12"/>
      <c r="GA141" s="12"/>
      <c r="GB141" s="12"/>
      <c r="GC141" s="12"/>
      <c r="GD141" s="12"/>
      <c r="GE141" s="12"/>
      <c r="GF141" s="12"/>
      <c r="GG141" s="12"/>
      <c r="GH141" s="12"/>
      <c r="GI141" s="12"/>
      <c r="GJ141" s="12"/>
      <c r="GK141" s="12"/>
      <c r="GL141" s="12"/>
      <c r="GM141" s="12"/>
      <c r="GN141" s="12"/>
      <c r="GO141" s="12"/>
      <c r="GP141" s="12"/>
      <c r="GQ141" s="12"/>
      <c r="GR141" s="12"/>
      <c r="GS141" s="12"/>
      <c r="GT141" s="12"/>
      <c r="GU141" s="12"/>
      <c r="GV141" s="12"/>
      <c r="GW141" s="12"/>
      <c r="GX141" s="12"/>
      <c r="GY141" s="12"/>
      <c r="GZ141" s="12"/>
      <c r="HA141" s="12"/>
      <c r="HB141" s="12"/>
      <c r="HC141" s="12"/>
      <c r="HD141" s="12"/>
      <c r="HE141" s="12"/>
      <c r="HF141" s="12"/>
      <c r="HG141" s="12"/>
      <c r="HH141" s="12"/>
      <c r="HI141" s="12"/>
      <c r="HJ141" s="12"/>
      <c r="HK141" s="12"/>
      <c r="HL141" s="12"/>
      <c r="HM141" s="12"/>
      <c r="HN141" s="12"/>
      <c r="HO141" s="12"/>
      <c r="HP141" s="12"/>
      <c r="HQ141" s="12"/>
      <c r="HR141" s="12"/>
      <c r="HS141" s="12"/>
      <c r="HT141" s="12"/>
      <c r="HU141" s="12"/>
      <c r="HV141" s="12"/>
      <c r="HW141" s="12"/>
      <c r="HX141" s="12"/>
      <c r="HY141" s="12"/>
      <c r="HZ141" s="12"/>
      <c r="IA141" s="12"/>
      <c r="IB141" s="12"/>
      <c r="IC141" s="12"/>
      <c r="ID141" s="12"/>
      <c r="IE141" s="12"/>
      <c r="IF141" s="12"/>
      <c r="IG141" s="12"/>
      <c r="IH141" s="12"/>
      <c r="II141" s="12"/>
      <c r="IJ141" s="12"/>
      <c r="IK141" s="12"/>
      <c r="IL141" s="12"/>
      <c r="IM141" s="12"/>
      <c r="IN141" s="12"/>
      <c r="IO141" s="12"/>
      <c r="IP141" s="12"/>
      <c r="IQ141" s="12"/>
      <c r="IR141" s="12"/>
      <c r="IS141" s="12"/>
      <c r="IT141" s="12"/>
      <c r="IU141" s="12"/>
      <c r="IV141" s="12"/>
      <c r="IW141" s="12"/>
    </row>
    <row r="142" customFormat="false" ht="11.25" hidden="false" customHeight="false" outlineLevel="0" collapsed="false">
      <c r="A142" s="25" t="n">
        <f aca="false">DATE(YEAR(A141),MONTH(A141)+1,1)</f>
        <v>50041</v>
      </c>
      <c r="B142" s="21" t="n">
        <v>2.322</v>
      </c>
      <c r="C142" s="21" t="n">
        <v>2.392</v>
      </c>
      <c r="D142" s="25" t="n">
        <f aca="false">DATE(YEAR(D141),MONTH(D141)+1,1)</f>
        <v>50041</v>
      </c>
      <c r="E142" s="21" t="n">
        <v>19.135</v>
      </c>
      <c r="F142" s="21" t="n">
        <v>19.956</v>
      </c>
      <c r="G142" s="6"/>
      <c r="H142" s="22" t="n">
        <f aca="false">A142</f>
        <v>50041</v>
      </c>
      <c r="I142" s="23" t="n">
        <f aca="false">IF($J$1="bid",B142,C142)</f>
        <v>2.392</v>
      </c>
      <c r="J142" s="24" t="n">
        <f aca="false">D142</f>
        <v>50041</v>
      </c>
      <c r="K142" s="23" t="n">
        <f aca="false">IF($J$1="bid",E142,F142)</f>
        <v>19.956</v>
      </c>
      <c r="L142" s="11"/>
      <c r="M142" s="11"/>
      <c r="N142" s="11"/>
      <c r="O142" s="11"/>
      <c r="P142" s="11"/>
      <c r="Q142" s="11"/>
      <c r="R142" s="11"/>
      <c r="S142" s="11"/>
      <c r="T142" s="11"/>
      <c r="U142" s="11"/>
      <c r="V142" s="11"/>
      <c r="W142" s="11"/>
      <c r="X142" s="11"/>
      <c r="Y142" s="11"/>
      <c r="Z142" s="11"/>
      <c r="AA142" s="11"/>
      <c r="AB142" s="11"/>
      <c r="AC142" s="11"/>
      <c r="AD142" s="11"/>
      <c r="AE142" s="11"/>
      <c r="AF142" s="11"/>
      <c r="AG142" s="11"/>
      <c r="AH142" s="11"/>
      <c r="AI142" s="11"/>
      <c r="AJ142" s="11"/>
      <c r="AK142" s="11"/>
      <c r="AL142" s="11"/>
      <c r="AM142" s="11"/>
      <c r="AN142" s="11"/>
      <c r="AO142" s="11"/>
      <c r="AP142" s="11"/>
      <c r="AQ142" s="11"/>
      <c r="AR142" s="5"/>
      <c r="AS142" s="12"/>
      <c r="AT142" s="12"/>
      <c r="AU142" s="12"/>
      <c r="AV142" s="12"/>
      <c r="AW142" s="12"/>
      <c r="AX142" s="12"/>
      <c r="AY142" s="12"/>
      <c r="AZ142" s="12"/>
      <c r="BA142" s="12"/>
      <c r="BB142" s="12"/>
      <c r="BC142" s="12"/>
      <c r="BD142" s="12"/>
      <c r="BE142" s="12"/>
      <c r="BF142" s="12"/>
      <c r="BG142" s="12"/>
      <c r="BH142" s="12"/>
      <c r="BI142" s="12"/>
      <c r="BJ142" s="12"/>
      <c r="BK142" s="12"/>
      <c r="BL142" s="12"/>
      <c r="BM142" s="12"/>
      <c r="BN142" s="12"/>
      <c r="BO142" s="12"/>
      <c r="BP142" s="12"/>
      <c r="BQ142" s="12"/>
      <c r="BR142" s="12"/>
      <c r="BS142" s="12"/>
      <c r="BT142" s="12"/>
      <c r="BU142" s="12"/>
      <c r="BV142" s="12"/>
      <c r="BW142" s="12"/>
      <c r="BX142" s="12"/>
      <c r="BY142" s="12"/>
      <c r="BZ142" s="12"/>
      <c r="CA142" s="12"/>
      <c r="CB142" s="12"/>
      <c r="CC142" s="12"/>
      <c r="CD142" s="12"/>
      <c r="CE142" s="12"/>
      <c r="CF142" s="12"/>
      <c r="CG142" s="12"/>
      <c r="CH142" s="12"/>
      <c r="CI142" s="12"/>
      <c r="CJ142" s="12"/>
      <c r="CK142" s="12"/>
      <c r="CL142" s="12"/>
      <c r="CM142" s="12"/>
      <c r="CN142" s="12"/>
      <c r="CO142" s="12"/>
      <c r="CP142" s="12"/>
      <c r="CQ142" s="12"/>
      <c r="CR142" s="12"/>
      <c r="CS142" s="12"/>
      <c r="CT142" s="12"/>
      <c r="CU142" s="12"/>
      <c r="CV142" s="12"/>
      <c r="CW142" s="12"/>
      <c r="CX142" s="12"/>
      <c r="CY142" s="12"/>
      <c r="CZ142" s="12"/>
      <c r="DA142" s="12"/>
      <c r="DB142" s="12"/>
      <c r="DC142" s="12"/>
      <c r="DD142" s="12"/>
      <c r="DE142" s="12"/>
      <c r="DF142" s="12"/>
      <c r="DG142" s="12"/>
      <c r="DH142" s="12"/>
      <c r="DI142" s="12"/>
      <c r="DJ142" s="12"/>
      <c r="DK142" s="12"/>
      <c r="DL142" s="12"/>
      <c r="DM142" s="12"/>
      <c r="DN142" s="12"/>
      <c r="DO142" s="12"/>
      <c r="DP142" s="12"/>
      <c r="DQ142" s="12"/>
      <c r="DR142" s="12"/>
      <c r="DS142" s="12"/>
      <c r="DT142" s="12"/>
      <c r="DU142" s="12"/>
      <c r="DV142" s="12"/>
      <c r="DW142" s="12"/>
      <c r="DX142" s="12"/>
      <c r="DY142" s="12"/>
      <c r="DZ142" s="12"/>
      <c r="EA142" s="12"/>
      <c r="EB142" s="12"/>
      <c r="EC142" s="12"/>
      <c r="ED142" s="12"/>
      <c r="EE142" s="12"/>
      <c r="EF142" s="12"/>
      <c r="EG142" s="12"/>
      <c r="EH142" s="12"/>
      <c r="EI142" s="12"/>
      <c r="EJ142" s="12"/>
      <c r="EK142" s="12"/>
      <c r="EL142" s="12"/>
      <c r="EM142" s="12"/>
      <c r="EN142" s="12"/>
      <c r="EO142" s="12"/>
      <c r="EP142" s="12"/>
      <c r="EQ142" s="12"/>
      <c r="ER142" s="12"/>
      <c r="ES142" s="12"/>
      <c r="ET142" s="12"/>
      <c r="EU142" s="12"/>
      <c r="EV142" s="12"/>
      <c r="EW142" s="12"/>
      <c r="EX142" s="12"/>
      <c r="EY142" s="12"/>
      <c r="EZ142" s="12"/>
      <c r="FA142" s="12"/>
      <c r="FB142" s="12"/>
      <c r="FC142" s="12"/>
      <c r="FD142" s="12"/>
      <c r="FE142" s="12"/>
      <c r="FF142" s="12"/>
      <c r="FG142" s="12"/>
      <c r="FH142" s="12"/>
      <c r="FI142" s="12"/>
      <c r="FJ142" s="12"/>
      <c r="FK142" s="12"/>
      <c r="FL142" s="12"/>
      <c r="FM142" s="12"/>
      <c r="FN142" s="12"/>
      <c r="FO142" s="12"/>
      <c r="FP142" s="12"/>
      <c r="FQ142" s="12"/>
      <c r="FR142" s="12"/>
      <c r="FS142" s="12"/>
      <c r="FT142" s="12"/>
      <c r="FU142" s="12"/>
      <c r="FV142" s="12"/>
      <c r="FW142" s="12"/>
      <c r="FX142" s="12"/>
      <c r="FY142" s="12"/>
      <c r="FZ142" s="12"/>
      <c r="GA142" s="12"/>
      <c r="GB142" s="12"/>
      <c r="GC142" s="12"/>
      <c r="GD142" s="12"/>
      <c r="GE142" s="12"/>
      <c r="GF142" s="12"/>
      <c r="GG142" s="12"/>
      <c r="GH142" s="12"/>
      <c r="GI142" s="12"/>
      <c r="GJ142" s="12"/>
      <c r="GK142" s="12"/>
      <c r="GL142" s="12"/>
      <c r="GM142" s="12"/>
      <c r="GN142" s="12"/>
      <c r="GO142" s="12"/>
      <c r="GP142" s="12"/>
      <c r="GQ142" s="12"/>
      <c r="GR142" s="12"/>
      <c r="GS142" s="12"/>
      <c r="GT142" s="12"/>
      <c r="GU142" s="12"/>
      <c r="GV142" s="12"/>
      <c r="GW142" s="12"/>
      <c r="GX142" s="12"/>
      <c r="GY142" s="12"/>
      <c r="GZ142" s="12"/>
      <c r="HA142" s="12"/>
      <c r="HB142" s="12"/>
      <c r="HC142" s="12"/>
      <c r="HD142" s="12"/>
      <c r="HE142" s="12"/>
      <c r="HF142" s="12"/>
      <c r="HG142" s="12"/>
      <c r="HH142" s="12"/>
      <c r="HI142" s="12"/>
      <c r="HJ142" s="12"/>
      <c r="HK142" s="12"/>
      <c r="HL142" s="12"/>
      <c r="HM142" s="12"/>
      <c r="HN142" s="12"/>
      <c r="HO142" s="12"/>
      <c r="HP142" s="12"/>
      <c r="HQ142" s="12"/>
      <c r="HR142" s="12"/>
      <c r="HS142" s="12"/>
      <c r="HT142" s="12"/>
      <c r="HU142" s="12"/>
      <c r="HV142" s="12"/>
      <c r="HW142" s="12"/>
      <c r="HX142" s="12"/>
      <c r="HY142" s="12"/>
      <c r="HZ142" s="12"/>
      <c r="IA142" s="12"/>
      <c r="IB142" s="12"/>
      <c r="IC142" s="12"/>
      <c r="ID142" s="12"/>
      <c r="IE142" s="12"/>
      <c r="IF142" s="12"/>
      <c r="IG142" s="12"/>
      <c r="IH142" s="12"/>
      <c r="II142" s="12"/>
      <c r="IJ142" s="12"/>
      <c r="IK142" s="12"/>
      <c r="IL142" s="12"/>
      <c r="IM142" s="12"/>
      <c r="IN142" s="12"/>
      <c r="IO142" s="12"/>
      <c r="IP142" s="12"/>
      <c r="IQ142" s="12"/>
      <c r="IR142" s="12"/>
      <c r="IS142" s="12"/>
      <c r="IT142" s="12"/>
      <c r="IU142" s="12"/>
      <c r="IV142" s="12"/>
      <c r="IW142" s="12"/>
    </row>
    <row r="143" customFormat="false" ht="11.25" hidden="false" customHeight="false" outlineLevel="0" collapsed="false">
      <c r="A143" s="25" t="n">
        <f aca="false">DATE(YEAR(A142),MONTH(A142)+1,1)</f>
        <v>50072</v>
      </c>
      <c r="B143" s="21" t="n">
        <v>2.273</v>
      </c>
      <c r="C143" s="21" t="n">
        <v>2.343</v>
      </c>
      <c r="D143" s="25" t="n">
        <f aca="false">DATE(YEAR(D142),MONTH(D142)+1,1)</f>
        <v>50072</v>
      </c>
      <c r="E143" s="21" t="n">
        <v>19.144</v>
      </c>
      <c r="F143" s="21" t="n">
        <v>19.974</v>
      </c>
      <c r="G143" s="6"/>
      <c r="H143" s="22" t="n">
        <f aca="false">A143</f>
        <v>50072</v>
      </c>
      <c r="I143" s="23" t="n">
        <f aca="false">IF($J$1="bid",B143,C143)</f>
        <v>2.343</v>
      </c>
      <c r="J143" s="24" t="n">
        <f aca="false">D143</f>
        <v>50072</v>
      </c>
      <c r="K143" s="23" t="n">
        <f aca="false">IF($J$1="bid",E143,F143)</f>
        <v>19.974</v>
      </c>
      <c r="L143" s="11"/>
      <c r="M143" s="11"/>
      <c r="N143" s="11"/>
      <c r="O143" s="11"/>
      <c r="P143" s="11"/>
      <c r="Q143" s="11"/>
      <c r="R143" s="11"/>
      <c r="S143" s="11"/>
      <c r="T143" s="11"/>
      <c r="U143" s="11"/>
      <c r="V143" s="11"/>
      <c r="W143" s="11"/>
      <c r="X143" s="11"/>
      <c r="Y143" s="11"/>
      <c r="Z143" s="11"/>
      <c r="AA143" s="11"/>
      <c r="AB143" s="11"/>
      <c r="AC143" s="11"/>
      <c r="AD143" s="11"/>
      <c r="AE143" s="11"/>
      <c r="AF143" s="11"/>
      <c r="AG143" s="11"/>
      <c r="AH143" s="11"/>
      <c r="AI143" s="11"/>
      <c r="AJ143" s="11"/>
      <c r="AK143" s="11"/>
      <c r="AL143" s="11"/>
      <c r="AM143" s="11"/>
      <c r="AN143" s="11"/>
      <c r="AO143" s="11"/>
      <c r="AP143" s="11"/>
      <c r="AQ143" s="11"/>
      <c r="AR143" s="5"/>
      <c r="AS143" s="12"/>
      <c r="AT143" s="12"/>
      <c r="AU143" s="12"/>
      <c r="AV143" s="12"/>
      <c r="AW143" s="12"/>
      <c r="AX143" s="12"/>
      <c r="AY143" s="12"/>
      <c r="AZ143" s="12"/>
      <c r="BA143" s="12"/>
      <c r="BB143" s="12"/>
      <c r="BC143" s="12"/>
      <c r="BD143" s="12"/>
      <c r="BE143" s="12"/>
      <c r="BF143" s="12"/>
      <c r="BG143" s="12"/>
      <c r="BH143" s="12"/>
      <c r="BI143" s="12"/>
      <c r="BJ143" s="12"/>
      <c r="BK143" s="12"/>
      <c r="BL143" s="12"/>
      <c r="BM143" s="12"/>
      <c r="BN143" s="12"/>
      <c r="BO143" s="12"/>
      <c r="BP143" s="12"/>
      <c r="BQ143" s="12"/>
      <c r="BR143" s="12"/>
      <c r="BS143" s="12"/>
      <c r="BT143" s="12"/>
      <c r="BU143" s="12"/>
      <c r="BV143" s="12"/>
      <c r="BW143" s="12"/>
      <c r="BX143" s="12"/>
      <c r="BY143" s="12"/>
      <c r="BZ143" s="12"/>
      <c r="CA143" s="12"/>
      <c r="CB143" s="12"/>
      <c r="CC143" s="12"/>
      <c r="CD143" s="12"/>
      <c r="CE143" s="12"/>
      <c r="CF143" s="12"/>
      <c r="CG143" s="12"/>
      <c r="CH143" s="12"/>
      <c r="CI143" s="12"/>
      <c r="CJ143" s="12"/>
      <c r="CK143" s="12"/>
      <c r="CL143" s="12"/>
      <c r="CM143" s="12"/>
      <c r="CN143" s="12"/>
      <c r="CO143" s="12"/>
      <c r="CP143" s="12"/>
      <c r="CQ143" s="12"/>
      <c r="CR143" s="12"/>
      <c r="CS143" s="12"/>
      <c r="CT143" s="12"/>
      <c r="CU143" s="12"/>
      <c r="CV143" s="12"/>
      <c r="CW143" s="12"/>
      <c r="CX143" s="12"/>
      <c r="CY143" s="12"/>
      <c r="CZ143" s="12"/>
      <c r="DA143" s="12"/>
      <c r="DB143" s="12"/>
      <c r="DC143" s="12"/>
      <c r="DD143" s="12"/>
      <c r="DE143" s="12"/>
      <c r="DF143" s="12"/>
      <c r="DG143" s="12"/>
      <c r="DH143" s="12"/>
      <c r="DI143" s="12"/>
      <c r="DJ143" s="12"/>
      <c r="DK143" s="12"/>
      <c r="DL143" s="12"/>
      <c r="DM143" s="12"/>
      <c r="DN143" s="12"/>
      <c r="DO143" s="12"/>
      <c r="DP143" s="12"/>
      <c r="DQ143" s="12"/>
      <c r="DR143" s="12"/>
      <c r="DS143" s="12"/>
      <c r="DT143" s="12"/>
      <c r="DU143" s="12"/>
      <c r="DV143" s="12"/>
      <c r="DW143" s="12"/>
      <c r="DX143" s="12"/>
      <c r="DY143" s="12"/>
      <c r="DZ143" s="12"/>
      <c r="EA143" s="12"/>
      <c r="EB143" s="12"/>
      <c r="EC143" s="12"/>
      <c r="ED143" s="12"/>
      <c r="EE143" s="12"/>
      <c r="EF143" s="12"/>
      <c r="EG143" s="12"/>
      <c r="EH143" s="12"/>
      <c r="EI143" s="12"/>
      <c r="EJ143" s="12"/>
      <c r="EK143" s="12"/>
      <c r="EL143" s="12"/>
      <c r="EM143" s="12"/>
      <c r="EN143" s="12"/>
      <c r="EO143" s="12"/>
      <c r="EP143" s="12"/>
      <c r="EQ143" s="12"/>
      <c r="ER143" s="12"/>
      <c r="ES143" s="12"/>
      <c r="ET143" s="12"/>
      <c r="EU143" s="12"/>
      <c r="EV143" s="12"/>
      <c r="EW143" s="12"/>
      <c r="EX143" s="12"/>
      <c r="EY143" s="12"/>
      <c r="EZ143" s="12"/>
      <c r="FA143" s="12"/>
      <c r="FB143" s="12"/>
      <c r="FC143" s="12"/>
      <c r="FD143" s="12"/>
      <c r="FE143" s="12"/>
      <c r="FF143" s="12"/>
      <c r="FG143" s="12"/>
      <c r="FH143" s="12"/>
      <c r="FI143" s="12"/>
      <c r="FJ143" s="12"/>
      <c r="FK143" s="12"/>
      <c r="FL143" s="12"/>
      <c r="FM143" s="12"/>
      <c r="FN143" s="12"/>
      <c r="FO143" s="12"/>
      <c r="FP143" s="12"/>
      <c r="FQ143" s="12"/>
      <c r="FR143" s="12"/>
      <c r="FS143" s="12"/>
      <c r="FT143" s="12"/>
      <c r="FU143" s="12"/>
      <c r="FV143" s="12"/>
      <c r="FW143" s="12"/>
      <c r="FX143" s="12"/>
      <c r="FY143" s="12"/>
      <c r="FZ143" s="12"/>
      <c r="GA143" s="12"/>
      <c r="GB143" s="12"/>
      <c r="GC143" s="12"/>
      <c r="GD143" s="12"/>
      <c r="GE143" s="12"/>
      <c r="GF143" s="12"/>
      <c r="GG143" s="12"/>
      <c r="GH143" s="12"/>
      <c r="GI143" s="12"/>
      <c r="GJ143" s="12"/>
      <c r="GK143" s="12"/>
      <c r="GL143" s="12"/>
      <c r="GM143" s="12"/>
      <c r="GN143" s="12"/>
      <c r="GO143" s="12"/>
      <c r="GP143" s="12"/>
      <c r="GQ143" s="12"/>
      <c r="GR143" s="12"/>
      <c r="GS143" s="12"/>
      <c r="GT143" s="12"/>
      <c r="GU143" s="12"/>
      <c r="GV143" s="12"/>
      <c r="GW143" s="12"/>
      <c r="GX143" s="12"/>
      <c r="GY143" s="12"/>
      <c r="GZ143" s="12"/>
      <c r="HA143" s="12"/>
      <c r="HB143" s="12"/>
      <c r="HC143" s="12"/>
      <c r="HD143" s="12"/>
      <c r="HE143" s="12"/>
      <c r="HF143" s="12"/>
      <c r="HG143" s="12"/>
      <c r="HH143" s="12"/>
      <c r="HI143" s="12"/>
      <c r="HJ143" s="12"/>
      <c r="HK143" s="12"/>
      <c r="HL143" s="12"/>
      <c r="HM143" s="12"/>
      <c r="HN143" s="12"/>
      <c r="HO143" s="12"/>
      <c r="HP143" s="12"/>
      <c r="HQ143" s="12"/>
      <c r="HR143" s="12"/>
      <c r="HS143" s="12"/>
      <c r="HT143" s="12"/>
      <c r="HU143" s="12"/>
      <c r="HV143" s="12"/>
      <c r="HW143" s="12"/>
      <c r="HX143" s="12"/>
      <c r="HY143" s="12"/>
      <c r="HZ143" s="12"/>
      <c r="IA143" s="12"/>
      <c r="IB143" s="12"/>
      <c r="IC143" s="12"/>
      <c r="ID143" s="12"/>
      <c r="IE143" s="12"/>
      <c r="IF143" s="12"/>
      <c r="IG143" s="12"/>
      <c r="IH143" s="12"/>
      <c r="II143" s="12"/>
      <c r="IJ143" s="12"/>
      <c r="IK143" s="12"/>
      <c r="IL143" s="12"/>
      <c r="IM143" s="12"/>
      <c r="IN143" s="12"/>
      <c r="IO143" s="12"/>
      <c r="IP143" s="12"/>
      <c r="IQ143" s="12"/>
      <c r="IR143" s="12"/>
      <c r="IS143" s="12"/>
      <c r="IT143" s="12"/>
      <c r="IU143" s="12"/>
      <c r="IV143" s="12"/>
      <c r="IW143" s="12"/>
    </row>
    <row r="144" customFormat="false" ht="11.25" hidden="false" customHeight="false" outlineLevel="0" collapsed="false">
      <c r="A144" s="25" t="n">
        <f aca="false">DATE(YEAR(A143),MONTH(A143)+1,1)</f>
        <v>50100</v>
      </c>
      <c r="B144" s="21" t="n">
        <v>2.26</v>
      </c>
      <c r="C144" s="21" t="n">
        <v>2.33</v>
      </c>
      <c r="D144" s="25" t="n">
        <f aca="false">DATE(YEAR(D143),MONTH(D143)+1,1)</f>
        <v>50100</v>
      </c>
      <c r="E144" s="21" t="n">
        <v>19.154</v>
      </c>
      <c r="F144" s="21" t="n">
        <v>19.992</v>
      </c>
      <c r="G144" s="6"/>
      <c r="H144" s="22" t="n">
        <f aca="false">A144</f>
        <v>50100</v>
      </c>
      <c r="I144" s="23" t="n">
        <f aca="false">IF($J$1="bid",B144,C144)</f>
        <v>2.33</v>
      </c>
      <c r="J144" s="24" t="n">
        <f aca="false">D144</f>
        <v>50100</v>
      </c>
      <c r="K144" s="23" t="n">
        <f aca="false">IF($J$1="bid",E144,F144)</f>
        <v>19.992</v>
      </c>
      <c r="L144" s="11"/>
      <c r="M144" s="11"/>
      <c r="N144" s="11"/>
      <c r="O144" s="11"/>
      <c r="P144" s="11"/>
      <c r="Q144" s="11"/>
      <c r="R144" s="11"/>
      <c r="S144" s="11"/>
      <c r="T144" s="11"/>
      <c r="U144" s="11"/>
      <c r="V144" s="11"/>
      <c r="W144" s="11"/>
      <c r="X144" s="11"/>
      <c r="Y144" s="11"/>
      <c r="Z144" s="11"/>
      <c r="AA144" s="11"/>
      <c r="AB144" s="11"/>
      <c r="AC144" s="11"/>
      <c r="AD144" s="11"/>
      <c r="AE144" s="11"/>
      <c r="AF144" s="11"/>
      <c r="AG144" s="11"/>
      <c r="AH144" s="11"/>
      <c r="AI144" s="11"/>
      <c r="AJ144" s="11"/>
      <c r="AK144" s="11"/>
      <c r="AL144" s="11"/>
      <c r="AM144" s="11"/>
      <c r="AN144" s="11"/>
      <c r="AO144" s="11"/>
      <c r="AP144" s="11"/>
      <c r="AQ144" s="11"/>
      <c r="AR144" s="5"/>
      <c r="AS144" s="12"/>
      <c r="AT144" s="12"/>
      <c r="AU144" s="12"/>
      <c r="AV144" s="12"/>
      <c r="AW144" s="12"/>
      <c r="AX144" s="12"/>
      <c r="AY144" s="12"/>
      <c r="AZ144" s="12"/>
      <c r="BA144" s="12"/>
      <c r="BB144" s="12"/>
      <c r="BC144" s="12"/>
      <c r="BD144" s="12"/>
      <c r="BE144" s="12"/>
      <c r="BF144" s="12"/>
      <c r="BG144" s="12"/>
      <c r="BH144" s="12"/>
      <c r="BI144" s="12"/>
      <c r="BJ144" s="12"/>
      <c r="BK144" s="12"/>
      <c r="BL144" s="12"/>
      <c r="BM144" s="12"/>
      <c r="BN144" s="12"/>
      <c r="BO144" s="12"/>
      <c r="BP144" s="12"/>
      <c r="BQ144" s="12"/>
      <c r="BR144" s="12"/>
      <c r="BS144" s="12"/>
      <c r="BT144" s="12"/>
      <c r="BU144" s="12"/>
      <c r="BV144" s="12"/>
      <c r="BW144" s="12"/>
      <c r="BX144" s="12"/>
      <c r="BY144" s="12"/>
      <c r="BZ144" s="12"/>
      <c r="CA144" s="12"/>
      <c r="CB144" s="12"/>
      <c r="CC144" s="12"/>
      <c r="CD144" s="12"/>
      <c r="CE144" s="12"/>
      <c r="CF144" s="12"/>
      <c r="CG144" s="12"/>
      <c r="CH144" s="12"/>
      <c r="CI144" s="12"/>
      <c r="CJ144" s="12"/>
      <c r="CK144" s="12"/>
      <c r="CL144" s="12"/>
      <c r="CM144" s="12"/>
      <c r="CN144" s="12"/>
      <c r="CO144" s="12"/>
      <c r="CP144" s="12"/>
      <c r="CQ144" s="12"/>
      <c r="CR144" s="12"/>
      <c r="CS144" s="12"/>
      <c r="CT144" s="12"/>
      <c r="CU144" s="12"/>
      <c r="CV144" s="12"/>
      <c r="CW144" s="12"/>
      <c r="CX144" s="12"/>
      <c r="CY144" s="12"/>
      <c r="CZ144" s="12"/>
      <c r="DA144" s="12"/>
      <c r="DB144" s="12"/>
      <c r="DC144" s="12"/>
      <c r="DD144" s="12"/>
      <c r="DE144" s="12"/>
      <c r="DF144" s="12"/>
      <c r="DG144" s="12"/>
      <c r="DH144" s="12"/>
      <c r="DI144" s="12"/>
      <c r="DJ144" s="12"/>
      <c r="DK144" s="12"/>
      <c r="DL144" s="12"/>
      <c r="DM144" s="12"/>
      <c r="DN144" s="12"/>
      <c r="DO144" s="12"/>
      <c r="DP144" s="12"/>
      <c r="DQ144" s="12"/>
      <c r="DR144" s="12"/>
      <c r="DS144" s="12"/>
      <c r="DT144" s="12"/>
      <c r="DU144" s="12"/>
      <c r="DV144" s="12"/>
      <c r="DW144" s="12"/>
      <c r="DX144" s="12"/>
      <c r="DY144" s="12"/>
      <c r="DZ144" s="12"/>
      <c r="EA144" s="12"/>
      <c r="EB144" s="12"/>
      <c r="EC144" s="12"/>
      <c r="ED144" s="12"/>
      <c r="EE144" s="12"/>
      <c r="EF144" s="12"/>
      <c r="EG144" s="12"/>
      <c r="EH144" s="12"/>
      <c r="EI144" s="12"/>
      <c r="EJ144" s="12"/>
      <c r="EK144" s="12"/>
      <c r="EL144" s="12"/>
      <c r="EM144" s="12"/>
      <c r="EN144" s="12"/>
      <c r="EO144" s="12"/>
      <c r="EP144" s="12"/>
      <c r="EQ144" s="12"/>
      <c r="ER144" s="12"/>
      <c r="ES144" s="12"/>
      <c r="ET144" s="12"/>
      <c r="EU144" s="12"/>
      <c r="EV144" s="12"/>
      <c r="EW144" s="12"/>
      <c r="EX144" s="12"/>
      <c r="EY144" s="12"/>
      <c r="EZ144" s="12"/>
      <c r="FA144" s="12"/>
      <c r="FB144" s="12"/>
      <c r="FC144" s="12"/>
      <c r="FD144" s="12"/>
      <c r="FE144" s="12"/>
      <c r="FF144" s="12"/>
      <c r="FG144" s="12"/>
      <c r="FH144" s="12"/>
      <c r="FI144" s="12"/>
      <c r="FJ144" s="12"/>
      <c r="FK144" s="12"/>
      <c r="FL144" s="12"/>
      <c r="FM144" s="12"/>
      <c r="FN144" s="12"/>
      <c r="FO144" s="12"/>
      <c r="FP144" s="12"/>
      <c r="FQ144" s="12"/>
      <c r="FR144" s="12"/>
      <c r="FS144" s="12"/>
      <c r="FT144" s="12"/>
      <c r="FU144" s="12"/>
      <c r="FV144" s="12"/>
      <c r="FW144" s="12"/>
      <c r="FX144" s="12"/>
      <c r="FY144" s="12"/>
      <c r="FZ144" s="12"/>
      <c r="GA144" s="12"/>
      <c r="GB144" s="12"/>
      <c r="GC144" s="12"/>
      <c r="GD144" s="12"/>
      <c r="GE144" s="12"/>
      <c r="GF144" s="12"/>
      <c r="GG144" s="12"/>
      <c r="GH144" s="12"/>
      <c r="GI144" s="12"/>
      <c r="GJ144" s="12"/>
      <c r="GK144" s="12"/>
      <c r="GL144" s="12"/>
      <c r="GM144" s="12"/>
      <c r="GN144" s="12"/>
      <c r="GO144" s="12"/>
      <c r="GP144" s="12"/>
      <c r="GQ144" s="12"/>
      <c r="GR144" s="12"/>
      <c r="GS144" s="12"/>
      <c r="GT144" s="12"/>
      <c r="GU144" s="12"/>
      <c r="GV144" s="12"/>
      <c r="GW144" s="12"/>
      <c r="GX144" s="12"/>
      <c r="GY144" s="12"/>
      <c r="GZ144" s="12"/>
      <c r="HA144" s="12"/>
      <c r="HB144" s="12"/>
      <c r="HC144" s="12"/>
      <c r="HD144" s="12"/>
      <c r="HE144" s="12"/>
      <c r="HF144" s="12"/>
      <c r="HG144" s="12"/>
      <c r="HH144" s="12"/>
      <c r="HI144" s="12"/>
      <c r="HJ144" s="12"/>
      <c r="HK144" s="12"/>
      <c r="HL144" s="12"/>
      <c r="HM144" s="12"/>
      <c r="HN144" s="12"/>
      <c r="HO144" s="12"/>
      <c r="HP144" s="12"/>
      <c r="HQ144" s="12"/>
      <c r="HR144" s="12"/>
      <c r="HS144" s="12"/>
      <c r="HT144" s="12"/>
      <c r="HU144" s="12"/>
      <c r="HV144" s="12"/>
      <c r="HW144" s="12"/>
      <c r="HX144" s="12"/>
      <c r="HY144" s="12"/>
      <c r="HZ144" s="12"/>
      <c r="IA144" s="12"/>
      <c r="IB144" s="12"/>
      <c r="IC144" s="12"/>
      <c r="ID144" s="12"/>
      <c r="IE144" s="12"/>
      <c r="IF144" s="12"/>
      <c r="IG144" s="12"/>
      <c r="IH144" s="12"/>
      <c r="II144" s="12"/>
      <c r="IJ144" s="12"/>
      <c r="IK144" s="12"/>
      <c r="IL144" s="12"/>
      <c r="IM144" s="12"/>
      <c r="IN144" s="12"/>
      <c r="IO144" s="12"/>
      <c r="IP144" s="12"/>
      <c r="IQ144" s="12"/>
      <c r="IR144" s="12"/>
      <c r="IS144" s="12"/>
      <c r="IT144" s="12"/>
      <c r="IU144" s="12"/>
      <c r="IV144" s="12"/>
      <c r="IW144" s="12"/>
    </row>
    <row r="145" customFormat="false" ht="11.25" hidden="false" customHeight="false" outlineLevel="0" collapsed="false">
      <c r="A145" s="25" t="n">
        <f aca="false">DATE(YEAR(A144),MONTH(A144)+1,1)</f>
        <v>50131</v>
      </c>
      <c r="B145" s="21" t="n">
        <v>2.268</v>
      </c>
      <c r="C145" s="21" t="n">
        <v>2.338</v>
      </c>
      <c r="D145" s="25" t="n">
        <f aca="false">DATE(YEAR(D144),MONTH(D144)+1,1)</f>
        <v>50131</v>
      </c>
      <c r="E145" s="21" t="n">
        <v>19.162</v>
      </c>
      <c r="F145" s="21" t="n">
        <v>20.008</v>
      </c>
      <c r="G145" s="6"/>
      <c r="H145" s="22" t="n">
        <f aca="false">A145</f>
        <v>50131</v>
      </c>
      <c r="I145" s="23" t="n">
        <f aca="false">IF($J$1="bid",B145,C145)</f>
        <v>2.338</v>
      </c>
      <c r="J145" s="24" t="n">
        <f aca="false">D145</f>
        <v>50131</v>
      </c>
      <c r="K145" s="23" t="n">
        <f aca="false">IF($J$1="bid",E145,F145)</f>
        <v>20.008</v>
      </c>
      <c r="L145" s="11"/>
      <c r="M145" s="11"/>
      <c r="N145" s="11"/>
      <c r="O145" s="11"/>
      <c r="P145" s="11"/>
      <c r="Q145" s="11"/>
      <c r="R145" s="11"/>
      <c r="S145" s="11"/>
      <c r="T145" s="11"/>
      <c r="U145" s="11"/>
      <c r="V145" s="11"/>
      <c r="W145" s="11"/>
      <c r="X145" s="11"/>
      <c r="Y145" s="11"/>
      <c r="Z145" s="11"/>
      <c r="AA145" s="11"/>
      <c r="AB145" s="11"/>
      <c r="AC145" s="11"/>
      <c r="AD145" s="11"/>
      <c r="AE145" s="11"/>
      <c r="AF145" s="11"/>
      <c r="AG145" s="11"/>
      <c r="AH145" s="11"/>
      <c r="AI145" s="11"/>
      <c r="AJ145" s="11"/>
      <c r="AK145" s="11"/>
      <c r="AL145" s="11"/>
      <c r="AM145" s="11"/>
      <c r="AN145" s="11"/>
      <c r="AO145" s="11"/>
      <c r="AP145" s="11"/>
      <c r="AQ145" s="11"/>
      <c r="AR145" s="5"/>
      <c r="AS145" s="12"/>
      <c r="AT145" s="12"/>
      <c r="AU145" s="12"/>
      <c r="AV145" s="12"/>
      <c r="AW145" s="12"/>
      <c r="AX145" s="12"/>
      <c r="AY145" s="12"/>
      <c r="AZ145" s="12"/>
      <c r="BA145" s="12"/>
      <c r="BB145" s="12"/>
      <c r="BC145" s="12"/>
      <c r="BD145" s="12"/>
      <c r="BE145" s="12"/>
      <c r="BF145" s="12"/>
      <c r="BG145" s="12"/>
      <c r="BH145" s="12"/>
      <c r="BI145" s="12"/>
      <c r="BJ145" s="12"/>
      <c r="BK145" s="12"/>
      <c r="BL145" s="12"/>
      <c r="BM145" s="12"/>
      <c r="BN145" s="12"/>
      <c r="BO145" s="12"/>
      <c r="BP145" s="12"/>
      <c r="BQ145" s="12"/>
      <c r="BR145" s="12"/>
      <c r="BS145" s="12"/>
      <c r="BT145" s="12"/>
      <c r="BU145" s="12"/>
      <c r="BV145" s="12"/>
      <c r="BW145" s="12"/>
      <c r="BX145" s="12"/>
      <c r="BY145" s="12"/>
      <c r="BZ145" s="12"/>
      <c r="CA145" s="12"/>
      <c r="CB145" s="12"/>
      <c r="CC145" s="12"/>
      <c r="CD145" s="12"/>
      <c r="CE145" s="12"/>
      <c r="CF145" s="12"/>
      <c r="CG145" s="12"/>
      <c r="CH145" s="12"/>
      <c r="CI145" s="12"/>
      <c r="CJ145" s="12"/>
      <c r="CK145" s="12"/>
      <c r="CL145" s="12"/>
      <c r="CM145" s="12"/>
      <c r="CN145" s="12"/>
      <c r="CO145" s="12"/>
      <c r="CP145" s="12"/>
      <c r="CQ145" s="12"/>
      <c r="CR145" s="12"/>
      <c r="CS145" s="12"/>
      <c r="CT145" s="12"/>
      <c r="CU145" s="12"/>
      <c r="CV145" s="12"/>
      <c r="CW145" s="12"/>
      <c r="CX145" s="12"/>
      <c r="CY145" s="12"/>
      <c r="CZ145" s="12"/>
      <c r="DA145" s="12"/>
      <c r="DB145" s="12"/>
      <c r="DC145" s="12"/>
      <c r="DD145" s="12"/>
      <c r="DE145" s="12"/>
      <c r="DF145" s="12"/>
      <c r="DG145" s="12"/>
      <c r="DH145" s="12"/>
      <c r="DI145" s="12"/>
      <c r="DJ145" s="12"/>
      <c r="DK145" s="12"/>
      <c r="DL145" s="12"/>
      <c r="DM145" s="12"/>
      <c r="DN145" s="12"/>
      <c r="DO145" s="12"/>
      <c r="DP145" s="12"/>
      <c r="DQ145" s="12"/>
      <c r="DR145" s="12"/>
      <c r="DS145" s="12"/>
      <c r="DT145" s="12"/>
      <c r="DU145" s="12"/>
      <c r="DV145" s="12"/>
      <c r="DW145" s="12"/>
      <c r="DX145" s="12"/>
      <c r="DY145" s="12"/>
      <c r="DZ145" s="12"/>
      <c r="EA145" s="12"/>
      <c r="EB145" s="12"/>
      <c r="EC145" s="12"/>
      <c r="ED145" s="12"/>
      <c r="EE145" s="12"/>
      <c r="EF145" s="12"/>
      <c r="EG145" s="12"/>
      <c r="EH145" s="12"/>
      <c r="EI145" s="12"/>
      <c r="EJ145" s="12"/>
      <c r="EK145" s="12"/>
      <c r="EL145" s="12"/>
      <c r="EM145" s="12"/>
      <c r="EN145" s="12"/>
      <c r="EO145" s="12"/>
      <c r="EP145" s="12"/>
      <c r="EQ145" s="12"/>
      <c r="ER145" s="12"/>
      <c r="ES145" s="12"/>
      <c r="ET145" s="12"/>
      <c r="EU145" s="12"/>
      <c r="EV145" s="12"/>
      <c r="EW145" s="12"/>
      <c r="EX145" s="12"/>
      <c r="EY145" s="12"/>
      <c r="EZ145" s="12"/>
      <c r="FA145" s="12"/>
      <c r="FB145" s="12"/>
      <c r="FC145" s="12"/>
      <c r="FD145" s="12"/>
      <c r="FE145" s="12"/>
      <c r="FF145" s="12"/>
      <c r="FG145" s="12"/>
      <c r="FH145" s="12"/>
      <c r="FI145" s="12"/>
      <c r="FJ145" s="12"/>
      <c r="FK145" s="12"/>
      <c r="FL145" s="12"/>
      <c r="FM145" s="12"/>
      <c r="FN145" s="12"/>
      <c r="FO145" s="12"/>
      <c r="FP145" s="12"/>
      <c r="FQ145" s="12"/>
      <c r="FR145" s="12"/>
      <c r="FS145" s="12"/>
      <c r="FT145" s="12"/>
      <c r="FU145" s="12"/>
      <c r="FV145" s="12"/>
      <c r="FW145" s="12"/>
      <c r="FX145" s="12"/>
      <c r="FY145" s="12"/>
      <c r="FZ145" s="12"/>
      <c r="GA145" s="12"/>
      <c r="GB145" s="12"/>
      <c r="GC145" s="12"/>
      <c r="GD145" s="12"/>
      <c r="GE145" s="12"/>
      <c r="GF145" s="12"/>
      <c r="GG145" s="12"/>
      <c r="GH145" s="12"/>
      <c r="GI145" s="12"/>
      <c r="GJ145" s="12"/>
      <c r="GK145" s="12"/>
      <c r="GL145" s="12"/>
      <c r="GM145" s="12"/>
      <c r="GN145" s="12"/>
      <c r="GO145" s="12"/>
      <c r="GP145" s="12"/>
      <c r="GQ145" s="12"/>
      <c r="GR145" s="12"/>
      <c r="GS145" s="12"/>
      <c r="GT145" s="12"/>
      <c r="GU145" s="12"/>
      <c r="GV145" s="12"/>
      <c r="GW145" s="12"/>
      <c r="GX145" s="12"/>
      <c r="GY145" s="12"/>
      <c r="GZ145" s="12"/>
      <c r="HA145" s="12"/>
      <c r="HB145" s="12"/>
      <c r="HC145" s="12"/>
      <c r="HD145" s="12"/>
      <c r="HE145" s="12"/>
      <c r="HF145" s="12"/>
      <c r="HG145" s="12"/>
      <c r="HH145" s="12"/>
      <c r="HI145" s="12"/>
      <c r="HJ145" s="12"/>
      <c r="HK145" s="12"/>
      <c r="HL145" s="12"/>
      <c r="HM145" s="12"/>
      <c r="HN145" s="12"/>
      <c r="HO145" s="12"/>
      <c r="HP145" s="12"/>
      <c r="HQ145" s="12"/>
      <c r="HR145" s="12"/>
      <c r="HS145" s="12"/>
      <c r="HT145" s="12"/>
      <c r="HU145" s="12"/>
      <c r="HV145" s="12"/>
      <c r="HW145" s="12"/>
      <c r="HX145" s="12"/>
      <c r="HY145" s="12"/>
      <c r="HZ145" s="12"/>
      <c r="IA145" s="12"/>
      <c r="IB145" s="12"/>
      <c r="IC145" s="12"/>
      <c r="ID145" s="12"/>
      <c r="IE145" s="12"/>
      <c r="IF145" s="12"/>
      <c r="IG145" s="12"/>
      <c r="IH145" s="12"/>
      <c r="II145" s="12"/>
      <c r="IJ145" s="12"/>
      <c r="IK145" s="12"/>
      <c r="IL145" s="12"/>
      <c r="IM145" s="12"/>
      <c r="IN145" s="12"/>
      <c r="IO145" s="12"/>
      <c r="IP145" s="12"/>
      <c r="IQ145" s="12"/>
      <c r="IR145" s="12"/>
      <c r="IS145" s="12"/>
      <c r="IT145" s="12"/>
      <c r="IU145" s="12"/>
      <c r="IV145" s="12"/>
      <c r="IW145" s="12"/>
    </row>
    <row r="146" customFormat="false" ht="11.25" hidden="false" customHeight="false" outlineLevel="0" collapsed="false">
      <c r="A146" s="25" t="n">
        <f aca="false">DATE(YEAR(A145),MONTH(A145)+1,1)</f>
        <v>50161</v>
      </c>
      <c r="B146" s="21" t="n">
        <v>2.26</v>
      </c>
      <c r="C146" s="21" t="n">
        <v>2.33</v>
      </c>
      <c r="D146" s="25" t="n">
        <f aca="false">DATE(YEAR(D145),MONTH(D145)+1,1)</f>
        <v>50161</v>
      </c>
      <c r="E146" s="21" t="n">
        <v>19.172</v>
      </c>
      <c r="F146" s="21" t="n">
        <v>20.027</v>
      </c>
      <c r="G146" s="6"/>
      <c r="H146" s="22" t="n">
        <f aca="false">A146</f>
        <v>50161</v>
      </c>
      <c r="I146" s="23" t="n">
        <f aca="false">IF($J$1="bid",B146,C146)</f>
        <v>2.33</v>
      </c>
      <c r="J146" s="24" t="n">
        <f aca="false">D146</f>
        <v>50161</v>
      </c>
      <c r="K146" s="23" t="n">
        <f aca="false">IF($J$1="bid",E146,F146)</f>
        <v>20.027</v>
      </c>
      <c r="L146" s="11"/>
      <c r="M146" s="11"/>
      <c r="N146" s="11"/>
      <c r="O146" s="11"/>
      <c r="P146" s="11"/>
      <c r="Q146" s="11"/>
      <c r="R146" s="11"/>
      <c r="S146" s="11"/>
      <c r="T146" s="11"/>
      <c r="U146" s="11"/>
      <c r="V146" s="11"/>
      <c r="W146" s="11"/>
      <c r="X146" s="11"/>
      <c r="Y146" s="11"/>
      <c r="Z146" s="11"/>
      <c r="AA146" s="11"/>
      <c r="AB146" s="11"/>
      <c r="AC146" s="11"/>
      <c r="AD146" s="11"/>
      <c r="AE146" s="11"/>
      <c r="AF146" s="11"/>
      <c r="AG146" s="11"/>
      <c r="AH146" s="11"/>
      <c r="AI146" s="11"/>
      <c r="AJ146" s="11"/>
      <c r="AK146" s="11"/>
      <c r="AL146" s="11"/>
      <c r="AM146" s="11"/>
      <c r="AN146" s="11"/>
      <c r="AO146" s="11"/>
      <c r="AP146" s="11"/>
      <c r="AQ146" s="11"/>
      <c r="AR146" s="5"/>
      <c r="AS146" s="12"/>
      <c r="AT146" s="12"/>
      <c r="AU146" s="12"/>
      <c r="AV146" s="12"/>
      <c r="AW146" s="12"/>
      <c r="AX146" s="12"/>
      <c r="AY146" s="12"/>
      <c r="AZ146" s="12"/>
      <c r="BA146" s="12"/>
      <c r="BB146" s="12"/>
      <c r="BC146" s="12"/>
      <c r="BD146" s="12"/>
      <c r="BE146" s="12"/>
      <c r="BF146" s="12"/>
      <c r="BG146" s="12"/>
      <c r="BH146" s="12"/>
      <c r="BI146" s="12"/>
      <c r="BJ146" s="12"/>
      <c r="BK146" s="12"/>
      <c r="BL146" s="12"/>
      <c r="BM146" s="12"/>
      <c r="BN146" s="12"/>
      <c r="BO146" s="12"/>
      <c r="BP146" s="12"/>
      <c r="BQ146" s="12"/>
      <c r="BR146" s="12"/>
      <c r="BS146" s="12"/>
      <c r="BT146" s="12"/>
      <c r="BU146" s="12"/>
      <c r="BV146" s="12"/>
      <c r="BW146" s="12"/>
      <c r="BX146" s="12"/>
      <c r="BY146" s="12"/>
      <c r="BZ146" s="12"/>
      <c r="CA146" s="12"/>
      <c r="CB146" s="12"/>
      <c r="CC146" s="12"/>
      <c r="CD146" s="12"/>
      <c r="CE146" s="12"/>
      <c r="CF146" s="12"/>
      <c r="CG146" s="12"/>
      <c r="CH146" s="12"/>
      <c r="CI146" s="12"/>
      <c r="CJ146" s="12"/>
      <c r="CK146" s="12"/>
      <c r="CL146" s="12"/>
      <c r="CM146" s="12"/>
      <c r="CN146" s="12"/>
      <c r="CO146" s="12"/>
      <c r="CP146" s="12"/>
      <c r="CQ146" s="12"/>
      <c r="CR146" s="12"/>
      <c r="CS146" s="12"/>
      <c r="CT146" s="12"/>
      <c r="CU146" s="12"/>
      <c r="CV146" s="12"/>
      <c r="CW146" s="12"/>
      <c r="CX146" s="12"/>
      <c r="CY146" s="12"/>
      <c r="CZ146" s="12"/>
      <c r="DA146" s="12"/>
      <c r="DB146" s="12"/>
      <c r="DC146" s="12"/>
      <c r="DD146" s="12"/>
      <c r="DE146" s="12"/>
      <c r="DF146" s="12"/>
      <c r="DG146" s="12"/>
      <c r="DH146" s="12"/>
      <c r="DI146" s="12"/>
      <c r="DJ146" s="12"/>
      <c r="DK146" s="12"/>
      <c r="DL146" s="12"/>
      <c r="DM146" s="12"/>
      <c r="DN146" s="12"/>
      <c r="DO146" s="12"/>
      <c r="DP146" s="12"/>
      <c r="DQ146" s="12"/>
      <c r="DR146" s="12"/>
      <c r="DS146" s="12"/>
      <c r="DT146" s="12"/>
      <c r="DU146" s="12"/>
      <c r="DV146" s="12"/>
      <c r="DW146" s="12"/>
      <c r="DX146" s="12"/>
      <c r="DY146" s="12"/>
      <c r="DZ146" s="12"/>
      <c r="EA146" s="12"/>
      <c r="EB146" s="12"/>
      <c r="EC146" s="12"/>
      <c r="ED146" s="12"/>
      <c r="EE146" s="12"/>
      <c r="EF146" s="12"/>
      <c r="EG146" s="12"/>
      <c r="EH146" s="12"/>
      <c r="EI146" s="12"/>
      <c r="EJ146" s="12"/>
      <c r="EK146" s="12"/>
      <c r="EL146" s="12"/>
      <c r="EM146" s="12"/>
      <c r="EN146" s="12"/>
      <c r="EO146" s="12"/>
      <c r="EP146" s="12"/>
      <c r="EQ146" s="12"/>
      <c r="ER146" s="12"/>
      <c r="ES146" s="12"/>
      <c r="ET146" s="12"/>
      <c r="EU146" s="12"/>
      <c r="EV146" s="12"/>
      <c r="EW146" s="12"/>
      <c r="EX146" s="12"/>
      <c r="EY146" s="12"/>
      <c r="EZ146" s="12"/>
      <c r="FA146" s="12"/>
      <c r="FB146" s="12"/>
      <c r="FC146" s="12"/>
      <c r="FD146" s="12"/>
      <c r="FE146" s="12"/>
      <c r="FF146" s="12"/>
      <c r="FG146" s="12"/>
      <c r="FH146" s="12"/>
      <c r="FI146" s="12"/>
      <c r="FJ146" s="12"/>
      <c r="FK146" s="12"/>
      <c r="FL146" s="12"/>
      <c r="FM146" s="12"/>
      <c r="FN146" s="12"/>
      <c r="FO146" s="12"/>
      <c r="FP146" s="12"/>
      <c r="FQ146" s="12"/>
      <c r="FR146" s="12"/>
      <c r="FS146" s="12"/>
      <c r="FT146" s="12"/>
      <c r="FU146" s="12"/>
      <c r="FV146" s="12"/>
      <c r="FW146" s="12"/>
      <c r="FX146" s="12"/>
      <c r="FY146" s="12"/>
      <c r="FZ146" s="12"/>
      <c r="GA146" s="12"/>
      <c r="GB146" s="12"/>
      <c r="GC146" s="12"/>
      <c r="GD146" s="12"/>
      <c r="GE146" s="12"/>
      <c r="GF146" s="12"/>
      <c r="GG146" s="12"/>
      <c r="GH146" s="12"/>
      <c r="GI146" s="12"/>
      <c r="GJ146" s="12"/>
      <c r="GK146" s="12"/>
      <c r="GL146" s="12"/>
      <c r="GM146" s="12"/>
      <c r="GN146" s="12"/>
      <c r="GO146" s="12"/>
      <c r="GP146" s="12"/>
      <c r="GQ146" s="12"/>
      <c r="GR146" s="12"/>
      <c r="GS146" s="12"/>
      <c r="GT146" s="12"/>
      <c r="GU146" s="12"/>
      <c r="GV146" s="12"/>
      <c r="GW146" s="12"/>
      <c r="GX146" s="12"/>
      <c r="GY146" s="12"/>
      <c r="GZ146" s="12"/>
      <c r="HA146" s="12"/>
      <c r="HB146" s="12"/>
      <c r="HC146" s="12"/>
      <c r="HD146" s="12"/>
      <c r="HE146" s="12"/>
      <c r="HF146" s="12"/>
      <c r="HG146" s="12"/>
      <c r="HH146" s="12"/>
      <c r="HI146" s="12"/>
      <c r="HJ146" s="12"/>
      <c r="HK146" s="12"/>
      <c r="HL146" s="12"/>
      <c r="HM146" s="12"/>
      <c r="HN146" s="12"/>
      <c r="HO146" s="12"/>
      <c r="HP146" s="12"/>
      <c r="HQ146" s="12"/>
      <c r="HR146" s="12"/>
      <c r="HS146" s="12"/>
      <c r="HT146" s="12"/>
      <c r="HU146" s="12"/>
      <c r="HV146" s="12"/>
      <c r="HW146" s="12"/>
      <c r="HX146" s="12"/>
      <c r="HY146" s="12"/>
      <c r="HZ146" s="12"/>
      <c r="IA146" s="12"/>
      <c r="IB146" s="12"/>
      <c r="IC146" s="12"/>
      <c r="ID146" s="12"/>
      <c r="IE146" s="12"/>
      <c r="IF146" s="12"/>
      <c r="IG146" s="12"/>
      <c r="IH146" s="12"/>
      <c r="II146" s="12"/>
      <c r="IJ146" s="12"/>
      <c r="IK146" s="12"/>
      <c r="IL146" s="12"/>
      <c r="IM146" s="12"/>
      <c r="IN146" s="12"/>
      <c r="IO146" s="12"/>
      <c r="IP146" s="12"/>
      <c r="IQ146" s="12"/>
      <c r="IR146" s="12"/>
      <c r="IS146" s="12"/>
      <c r="IT146" s="12"/>
      <c r="IU146" s="12"/>
      <c r="IV146" s="12"/>
      <c r="IW146" s="12"/>
    </row>
    <row r="147" customFormat="false" ht="11.25" hidden="false" customHeight="false" outlineLevel="0" collapsed="false">
      <c r="A147" s="25" t="n">
        <f aca="false">DATE(YEAR(A146),MONTH(A146)+1,1)</f>
        <v>50192</v>
      </c>
      <c r="B147" s="21" t="n">
        <v>2.26</v>
      </c>
      <c r="C147" s="21" t="n">
        <v>2.33</v>
      </c>
      <c r="D147" s="25" t="n">
        <f aca="false">DATE(YEAR(D146),MONTH(D146)+1,1)</f>
        <v>50192</v>
      </c>
      <c r="E147" s="21" t="n">
        <v>19.181</v>
      </c>
      <c r="F147" s="21" t="n">
        <v>20.044</v>
      </c>
      <c r="G147" s="6"/>
      <c r="H147" s="22" t="n">
        <f aca="false">A147</f>
        <v>50192</v>
      </c>
      <c r="I147" s="23" t="n">
        <f aca="false">IF($J$1="bid",B147,C147)</f>
        <v>2.33</v>
      </c>
      <c r="J147" s="24" t="n">
        <f aca="false">D147</f>
        <v>50192</v>
      </c>
      <c r="K147" s="23" t="n">
        <f aca="false">IF($J$1="bid",E147,F147)</f>
        <v>20.044</v>
      </c>
      <c r="L147" s="11"/>
      <c r="M147" s="11"/>
      <c r="N147" s="11"/>
      <c r="O147" s="11"/>
      <c r="P147" s="11"/>
      <c r="Q147" s="11"/>
      <c r="R147" s="11"/>
      <c r="S147" s="11"/>
      <c r="T147" s="11"/>
      <c r="U147" s="11"/>
      <c r="V147" s="11"/>
      <c r="W147" s="11"/>
      <c r="X147" s="11"/>
      <c r="Y147" s="11"/>
      <c r="Z147" s="11"/>
      <c r="AA147" s="11"/>
      <c r="AB147" s="11"/>
      <c r="AC147" s="11"/>
      <c r="AD147" s="11"/>
      <c r="AE147" s="11"/>
      <c r="AF147" s="11"/>
      <c r="AG147" s="11"/>
      <c r="AH147" s="11"/>
      <c r="AI147" s="11"/>
      <c r="AJ147" s="11"/>
      <c r="AK147" s="11"/>
      <c r="AL147" s="11"/>
      <c r="AM147" s="11"/>
      <c r="AN147" s="11"/>
      <c r="AO147" s="11"/>
      <c r="AP147" s="11"/>
      <c r="AQ147" s="11"/>
      <c r="AR147" s="5"/>
      <c r="AS147" s="12"/>
      <c r="AT147" s="12"/>
      <c r="AU147" s="12"/>
      <c r="AV147" s="12"/>
      <c r="AW147" s="12"/>
      <c r="AX147" s="12"/>
      <c r="AY147" s="12"/>
      <c r="AZ147" s="12"/>
      <c r="BA147" s="12"/>
      <c r="BB147" s="12"/>
      <c r="BC147" s="12"/>
      <c r="BD147" s="12"/>
      <c r="BE147" s="12"/>
      <c r="BF147" s="12"/>
      <c r="BG147" s="12"/>
      <c r="BH147" s="12"/>
      <c r="BI147" s="12"/>
      <c r="BJ147" s="12"/>
      <c r="BK147" s="12"/>
      <c r="BL147" s="12"/>
      <c r="BM147" s="12"/>
      <c r="BN147" s="12"/>
      <c r="BO147" s="12"/>
      <c r="BP147" s="12"/>
      <c r="BQ147" s="12"/>
      <c r="BR147" s="12"/>
      <c r="BS147" s="12"/>
      <c r="BT147" s="12"/>
      <c r="BU147" s="12"/>
      <c r="BV147" s="12"/>
      <c r="BW147" s="12"/>
      <c r="BX147" s="12"/>
      <c r="BY147" s="12"/>
      <c r="BZ147" s="12"/>
      <c r="CA147" s="12"/>
      <c r="CB147" s="12"/>
      <c r="CC147" s="12"/>
      <c r="CD147" s="12"/>
      <c r="CE147" s="12"/>
      <c r="CF147" s="12"/>
      <c r="CG147" s="12"/>
      <c r="CH147" s="12"/>
      <c r="CI147" s="12"/>
      <c r="CJ147" s="12"/>
      <c r="CK147" s="12"/>
      <c r="CL147" s="12"/>
      <c r="CM147" s="12"/>
      <c r="CN147" s="12"/>
      <c r="CO147" s="12"/>
      <c r="CP147" s="12"/>
      <c r="CQ147" s="12"/>
      <c r="CR147" s="12"/>
      <c r="CS147" s="12"/>
      <c r="CT147" s="12"/>
      <c r="CU147" s="12"/>
      <c r="CV147" s="12"/>
      <c r="CW147" s="12"/>
      <c r="CX147" s="12"/>
      <c r="CY147" s="12"/>
      <c r="CZ147" s="12"/>
      <c r="DA147" s="12"/>
      <c r="DB147" s="12"/>
      <c r="DC147" s="12"/>
      <c r="DD147" s="12"/>
      <c r="DE147" s="12"/>
      <c r="DF147" s="12"/>
      <c r="DG147" s="12"/>
      <c r="DH147" s="12"/>
      <c r="DI147" s="12"/>
      <c r="DJ147" s="12"/>
      <c r="DK147" s="12"/>
      <c r="DL147" s="12"/>
      <c r="DM147" s="12"/>
      <c r="DN147" s="12"/>
      <c r="DO147" s="12"/>
      <c r="DP147" s="12"/>
      <c r="DQ147" s="12"/>
      <c r="DR147" s="12"/>
      <c r="DS147" s="12"/>
      <c r="DT147" s="12"/>
      <c r="DU147" s="12"/>
      <c r="DV147" s="12"/>
      <c r="DW147" s="12"/>
      <c r="DX147" s="12"/>
      <c r="DY147" s="12"/>
      <c r="DZ147" s="12"/>
      <c r="EA147" s="12"/>
      <c r="EB147" s="12"/>
      <c r="EC147" s="12"/>
      <c r="ED147" s="12"/>
      <c r="EE147" s="12"/>
      <c r="EF147" s="12"/>
      <c r="EG147" s="12"/>
      <c r="EH147" s="12"/>
      <c r="EI147" s="12"/>
      <c r="EJ147" s="12"/>
      <c r="EK147" s="12"/>
      <c r="EL147" s="12"/>
      <c r="EM147" s="12"/>
      <c r="EN147" s="12"/>
      <c r="EO147" s="12"/>
      <c r="EP147" s="12"/>
      <c r="EQ147" s="12"/>
      <c r="ER147" s="12"/>
      <c r="ES147" s="12"/>
      <c r="ET147" s="12"/>
      <c r="EU147" s="12"/>
      <c r="EV147" s="12"/>
      <c r="EW147" s="12"/>
      <c r="EX147" s="12"/>
      <c r="EY147" s="12"/>
      <c r="EZ147" s="12"/>
      <c r="FA147" s="12"/>
      <c r="FB147" s="12"/>
      <c r="FC147" s="12"/>
      <c r="FD147" s="12"/>
      <c r="FE147" s="12"/>
      <c r="FF147" s="12"/>
      <c r="FG147" s="12"/>
      <c r="FH147" s="12"/>
      <c r="FI147" s="12"/>
      <c r="FJ147" s="12"/>
      <c r="FK147" s="12"/>
      <c r="FL147" s="12"/>
      <c r="FM147" s="12"/>
      <c r="FN147" s="12"/>
      <c r="FO147" s="12"/>
      <c r="FP147" s="12"/>
      <c r="FQ147" s="12"/>
      <c r="FR147" s="12"/>
      <c r="FS147" s="12"/>
      <c r="FT147" s="12"/>
      <c r="FU147" s="12"/>
      <c r="FV147" s="12"/>
      <c r="FW147" s="12"/>
      <c r="FX147" s="12"/>
      <c r="FY147" s="12"/>
      <c r="FZ147" s="12"/>
      <c r="GA147" s="12"/>
      <c r="GB147" s="12"/>
      <c r="GC147" s="12"/>
      <c r="GD147" s="12"/>
      <c r="GE147" s="12"/>
      <c r="GF147" s="12"/>
      <c r="GG147" s="12"/>
      <c r="GH147" s="12"/>
      <c r="GI147" s="12"/>
      <c r="GJ147" s="12"/>
      <c r="GK147" s="12"/>
      <c r="GL147" s="12"/>
      <c r="GM147" s="12"/>
      <c r="GN147" s="12"/>
      <c r="GO147" s="12"/>
      <c r="GP147" s="12"/>
      <c r="GQ147" s="12"/>
      <c r="GR147" s="12"/>
      <c r="GS147" s="12"/>
      <c r="GT147" s="12"/>
      <c r="GU147" s="12"/>
      <c r="GV147" s="12"/>
      <c r="GW147" s="12"/>
      <c r="GX147" s="12"/>
      <c r="GY147" s="12"/>
      <c r="GZ147" s="12"/>
      <c r="HA147" s="12"/>
      <c r="HB147" s="12"/>
      <c r="HC147" s="12"/>
      <c r="HD147" s="12"/>
      <c r="HE147" s="12"/>
      <c r="HF147" s="12"/>
      <c r="HG147" s="12"/>
      <c r="HH147" s="12"/>
      <c r="HI147" s="12"/>
      <c r="HJ147" s="12"/>
      <c r="HK147" s="12"/>
      <c r="HL147" s="12"/>
      <c r="HM147" s="12"/>
      <c r="HN147" s="12"/>
      <c r="HO147" s="12"/>
      <c r="HP147" s="12"/>
      <c r="HQ147" s="12"/>
      <c r="HR147" s="12"/>
      <c r="HS147" s="12"/>
      <c r="HT147" s="12"/>
      <c r="HU147" s="12"/>
      <c r="HV147" s="12"/>
      <c r="HW147" s="12"/>
      <c r="HX147" s="12"/>
      <c r="HY147" s="12"/>
      <c r="HZ147" s="12"/>
      <c r="IA147" s="12"/>
      <c r="IB147" s="12"/>
      <c r="IC147" s="12"/>
      <c r="ID147" s="12"/>
      <c r="IE147" s="12"/>
      <c r="IF147" s="12"/>
      <c r="IG147" s="12"/>
      <c r="IH147" s="12"/>
      <c r="II147" s="12"/>
      <c r="IJ147" s="12"/>
      <c r="IK147" s="12"/>
      <c r="IL147" s="12"/>
      <c r="IM147" s="12"/>
      <c r="IN147" s="12"/>
      <c r="IO147" s="12"/>
      <c r="IP147" s="12"/>
      <c r="IQ147" s="12"/>
      <c r="IR147" s="12"/>
      <c r="IS147" s="12"/>
      <c r="IT147" s="12"/>
      <c r="IU147" s="12"/>
      <c r="IV147" s="12"/>
      <c r="IW147" s="12"/>
    </row>
    <row r="148" customFormat="false" ht="11.25" hidden="false" customHeight="false" outlineLevel="0" collapsed="false">
      <c r="A148" s="25" t="n">
        <f aca="false">DATE(YEAR(A147),MONTH(A147)+1,1)</f>
        <v>50222</v>
      </c>
      <c r="B148" s="21" t="n">
        <v>2.26</v>
      </c>
      <c r="C148" s="21" t="n">
        <v>2.33</v>
      </c>
      <c r="D148" s="25" t="n">
        <f aca="false">DATE(YEAR(D147),MONTH(D147)+1,1)</f>
        <v>50222</v>
      </c>
      <c r="E148" s="21" t="n">
        <v>19.19</v>
      </c>
      <c r="F148" s="21" t="n">
        <v>20.061</v>
      </c>
      <c r="G148" s="6"/>
      <c r="H148" s="22" t="n">
        <f aca="false">A148</f>
        <v>50222</v>
      </c>
      <c r="I148" s="23" t="n">
        <f aca="false">IF($J$1="bid",B148,C148)</f>
        <v>2.33</v>
      </c>
      <c r="J148" s="24" t="n">
        <f aca="false">D148</f>
        <v>50222</v>
      </c>
      <c r="K148" s="23" t="n">
        <f aca="false">IF($J$1="bid",E148,F148)</f>
        <v>20.061</v>
      </c>
      <c r="L148" s="11"/>
      <c r="M148" s="11"/>
      <c r="N148" s="11"/>
      <c r="O148" s="11"/>
      <c r="P148" s="11"/>
      <c r="Q148" s="11"/>
      <c r="R148" s="11"/>
      <c r="S148" s="11"/>
      <c r="T148" s="11"/>
      <c r="U148" s="11"/>
      <c r="V148" s="11"/>
      <c r="W148" s="11"/>
      <c r="X148" s="11"/>
      <c r="Y148" s="11"/>
      <c r="Z148" s="11"/>
      <c r="AA148" s="11"/>
      <c r="AB148" s="11"/>
      <c r="AC148" s="11"/>
      <c r="AD148" s="11"/>
      <c r="AE148" s="11"/>
      <c r="AF148" s="11"/>
      <c r="AG148" s="11"/>
      <c r="AH148" s="11"/>
      <c r="AI148" s="11"/>
      <c r="AJ148" s="11"/>
      <c r="AK148" s="11"/>
      <c r="AL148" s="11"/>
      <c r="AM148" s="11"/>
      <c r="AN148" s="11"/>
      <c r="AO148" s="11"/>
      <c r="AP148" s="11"/>
      <c r="AQ148" s="11"/>
      <c r="AR148" s="5"/>
      <c r="AS148" s="12"/>
      <c r="AT148" s="12"/>
      <c r="AU148" s="12"/>
      <c r="AV148" s="12"/>
      <c r="AW148" s="12"/>
      <c r="AX148" s="12"/>
      <c r="AY148" s="12"/>
      <c r="AZ148" s="12"/>
      <c r="BA148" s="12"/>
      <c r="BB148" s="12"/>
      <c r="BC148" s="12"/>
      <c r="BD148" s="12"/>
      <c r="BE148" s="12"/>
      <c r="BF148" s="12"/>
      <c r="BG148" s="12"/>
      <c r="BH148" s="12"/>
      <c r="BI148" s="12"/>
      <c r="BJ148" s="12"/>
      <c r="BK148" s="12"/>
      <c r="BL148" s="12"/>
      <c r="BM148" s="12"/>
      <c r="BN148" s="12"/>
      <c r="BO148" s="12"/>
      <c r="BP148" s="12"/>
      <c r="BQ148" s="12"/>
      <c r="BR148" s="12"/>
      <c r="BS148" s="12"/>
      <c r="BT148" s="12"/>
      <c r="BU148" s="12"/>
      <c r="BV148" s="12"/>
      <c r="BW148" s="12"/>
      <c r="BX148" s="12"/>
      <c r="BY148" s="12"/>
      <c r="BZ148" s="12"/>
      <c r="CA148" s="12"/>
      <c r="CB148" s="12"/>
      <c r="CC148" s="12"/>
      <c r="CD148" s="12"/>
      <c r="CE148" s="12"/>
      <c r="CF148" s="12"/>
      <c r="CG148" s="12"/>
      <c r="CH148" s="12"/>
      <c r="CI148" s="12"/>
      <c r="CJ148" s="12"/>
      <c r="CK148" s="12"/>
      <c r="CL148" s="12"/>
      <c r="CM148" s="12"/>
      <c r="CN148" s="12"/>
      <c r="CO148" s="12"/>
      <c r="CP148" s="12"/>
      <c r="CQ148" s="12"/>
      <c r="CR148" s="12"/>
      <c r="CS148" s="12"/>
      <c r="CT148" s="12"/>
      <c r="CU148" s="12"/>
      <c r="CV148" s="12"/>
      <c r="CW148" s="12"/>
      <c r="CX148" s="12"/>
      <c r="CY148" s="12"/>
      <c r="CZ148" s="12"/>
      <c r="DA148" s="12"/>
      <c r="DB148" s="12"/>
      <c r="DC148" s="12"/>
      <c r="DD148" s="12"/>
      <c r="DE148" s="12"/>
      <c r="DF148" s="12"/>
      <c r="DG148" s="12"/>
      <c r="DH148" s="12"/>
      <c r="DI148" s="12"/>
      <c r="DJ148" s="12"/>
      <c r="DK148" s="12"/>
      <c r="DL148" s="12"/>
      <c r="DM148" s="12"/>
      <c r="DN148" s="12"/>
      <c r="DO148" s="12"/>
      <c r="DP148" s="12"/>
      <c r="DQ148" s="12"/>
      <c r="DR148" s="12"/>
      <c r="DS148" s="12"/>
      <c r="DT148" s="12"/>
      <c r="DU148" s="12"/>
      <c r="DV148" s="12"/>
      <c r="DW148" s="12"/>
      <c r="DX148" s="12"/>
      <c r="DY148" s="12"/>
      <c r="DZ148" s="12"/>
      <c r="EA148" s="12"/>
      <c r="EB148" s="12"/>
      <c r="EC148" s="12"/>
      <c r="ED148" s="12"/>
      <c r="EE148" s="12"/>
      <c r="EF148" s="12"/>
      <c r="EG148" s="12"/>
      <c r="EH148" s="12"/>
      <c r="EI148" s="12"/>
      <c r="EJ148" s="12"/>
      <c r="EK148" s="12"/>
      <c r="EL148" s="12"/>
      <c r="EM148" s="12"/>
      <c r="EN148" s="12"/>
      <c r="EO148" s="12"/>
      <c r="EP148" s="12"/>
      <c r="EQ148" s="12"/>
      <c r="ER148" s="12"/>
      <c r="ES148" s="12"/>
      <c r="ET148" s="12"/>
      <c r="EU148" s="12"/>
      <c r="EV148" s="12"/>
      <c r="EW148" s="12"/>
      <c r="EX148" s="12"/>
      <c r="EY148" s="12"/>
      <c r="EZ148" s="12"/>
      <c r="FA148" s="12"/>
      <c r="FB148" s="12"/>
      <c r="FC148" s="12"/>
      <c r="FD148" s="12"/>
      <c r="FE148" s="12"/>
      <c r="FF148" s="12"/>
      <c r="FG148" s="12"/>
      <c r="FH148" s="12"/>
      <c r="FI148" s="12"/>
      <c r="FJ148" s="12"/>
      <c r="FK148" s="12"/>
      <c r="FL148" s="12"/>
      <c r="FM148" s="12"/>
      <c r="FN148" s="12"/>
      <c r="FO148" s="12"/>
      <c r="FP148" s="12"/>
      <c r="FQ148" s="12"/>
      <c r="FR148" s="12"/>
      <c r="FS148" s="12"/>
      <c r="FT148" s="12"/>
      <c r="FU148" s="12"/>
      <c r="FV148" s="12"/>
      <c r="FW148" s="12"/>
      <c r="FX148" s="12"/>
      <c r="FY148" s="12"/>
      <c r="FZ148" s="12"/>
      <c r="GA148" s="12"/>
      <c r="GB148" s="12"/>
      <c r="GC148" s="12"/>
      <c r="GD148" s="12"/>
      <c r="GE148" s="12"/>
      <c r="GF148" s="12"/>
      <c r="GG148" s="12"/>
      <c r="GH148" s="12"/>
      <c r="GI148" s="12"/>
      <c r="GJ148" s="12"/>
      <c r="GK148" s="12"/>
      <c r="GL148" s="12"/>
      <c r="GM148" s="12"/>
      <c r="GN148" s="12"/>
      <c r="GO148" s="12"/>
      <c r="GP148" s="12"/>
      <c r="GQ148" s="12"/>
      <c r="GR148" s="12"/>
      <c r="GS148" s="12"/>
      <c r="GT148" s="12"/>
      <c r="GU148" s="12"/>
      <c r="GV148" s="12"/>
      <c r="GW148" s="12"/>
      <c r="GX148" s="12"/>
      <c r="GY148" s="12"/>
      <c r="GZ148" s="12"/>
      <c r="HA148" s="12"/>
      <c r="HB148" s="12"/>
      <c r="HC148" s="12"/>
      <c r="HD148" s="12"/>
      <c r="HE148" s="12"/>
      <c r="HF148" s="12"/>
      <c r="HG148" s="12"/>
      <c r="HH148" s="12"/>
      <c r="HI148" s="12"/>
      <c r="HJ148" s="12"/>
      <c r="HK148" s="12"/>
      <c r="HL148" s="12"/>
      <c r="HM148" s="12"/>
      <c r="HN148" s="12"/>
      <c r="HO148" s="12"/>
      <c r="HP148" s="12"/>
      <c r="HQ148" s="12"/>
      <c r="HR148" s="12"/>
      <c r="HS148" s="12"/>
      <c r="HT148" s="12"/>
      <c r="HU148" s="12"/>
      <c r="HV148" s="12"/>
      <c r="HW148" s="12"/>
      <c r="HX148" s="12"/>
      <c r="HY148" s="12"/>
      <c r="HZ148" s="12"/>
      <c r="IA148" s="12"/>
      <c r="IB148" s="12"/>
      <c r="IC148" s="12"/>
      <c r="ID148" s="12"/>
      <c r="IE148" s="12"/>
      <c r="IF148" s="12"/>
      <c r="IG148" s="12"/>
      <c r="IH148" s="12"/>
      <c r="II148" s="12"/>
      <c r="IJ148" s="12"/>
      <c r="IK148" s="12"/>
      <c r="IL148" s="12"/>
      <c r="IM148" s="12"/>
      <c r="IN148" s="12"/>
      <c r="IO148" s="12"/>
      <c r="IP148" s="12"/>
      <c r="IQ148" s="12"/>
      <c r="IR148" s="12"/>
      <c r="IS148" s="12"/>
      <c r="IT148" s="12"/>
      <c r="IU148" s="12"/>
      <c r="IV148" s="12"/>
      <c r="IW148" s="12"/>
    </row>
    <row r="149" customFormat="false" ht="11.25" hidden="false" customHeight="false" outlineLevel="0" collapsed="false">
      <c r="A149" s="25" t="n">
        <f aca="false">DATE(YEAR(A148),MONTH(A148)+1,1)</f>
        <v>50253</v>
      </c>
      <c r="B149" s="21" t="n">
        <v>2.26</v>
      </c>
      <c r="C149" s="21" t="n">
        <v>2.33</v>
      </c>
      <c r="D149" s="25" t="n">
        <f aca="false">DATE(YEAR(D148),MONTH(D148)+1,1)</f>
        <v>50253</v>
      </c>
      <c r="E149" s="21" t="n">
        <v>19.2</v>
      </c>
      <c r="F149" s="21" t="n">
        <v>20.08</v>
      </c>
      <c r="G149" s="6"/>
      <c r="H149" s="22" t="n">
        <f aca="false">A149</f>
        <v>50253</v>
      </c>
      <c r="I149" s="23" t="n">
        <f aca="false">IF($J$1="bid",B149,C149)</f>
        <v>2.33</v>
      </c>
      <c r="J149" s="24" t="n">
        <f aca="false">D149</f>
        <v>50253</v>
      </c>
      <c r="K149" s="23" t="n">
        <f aca="false">IF($J$1="bid",E149,F149)</f>
        <v>20.08</v>
      </c>
      <c r="L149" s="11"/>
      <c r="M149" s="11"/>
      <c r="N149" s="11"/>
      <c r="O149" s="11"/>
      <c r="P149" s="11"/>
      <c r="Q149" s="11"/>
      <c r="R149" s="11"/>
      <c r="S149" s="11"/>
      <c r="T149" s="11"/>
      <c r="U149" s="11"/>
      <c r="V149" s="11"/>
      <c r="W149" s="11"/>
      <c r="X149" s="11"/>
      <c r="Y149" s="11"/>
      <c r="Z149" s="11"/>
      <c r="AA149" s="11"/>
      <c r="AB149" s="11"/>
      <c r="AC149" s="11"/>
      <c r="AD149" s="11"/>
      <c r="AE149" s="11"/>
      <c r="AF149" s="11"/>
      <c r="AG149" s="11"/>
      <c r="AH149" s="11"/>
      <c r="AI149" s="11"/>
      <c r="AJ149" s="11"/>
      <c r="AK149" s="11"/>
      <c r="AL149" s="11"/>
      <c r="AM149" s="11"/>
      <c r="AN149" s="11"/>
      <c r="AO149" s="11"/>
      <c r="AP149" s="11"/>
      <c r="AQ149" s="11"/>
      <c r="AR149" s="5"/>
      <c r="AS149" s="12"/>
      <c r="AT149" s="12"/>
      <c r="AU149" s="12"/>
      <c r="AV149" s="12"/>
      <c r="AW149" s="12"/>
      <c r="AX149" s="12"/>
      <c r="AY149" s="12"/>
      <c r="AZ149" s="12"/>
      <c r="BA149" s="12"/>
      <c r="BB149" s="12"/>
      <c r="BC149" s="12"/>
      <c r="BD149" s="12"/>
      <c r="BE149" s="12"/>
      <c r="BF149" s="12"/>
      <c r="BG149" s="12"/>
      <c r="BH149" s="12"/>
      <c r="BI149" s="12"/>
      <c r="BJ149" s="12"/>
      <c r="BK149" s="12"/>
      <c r="BL149" s="12"/>
      <c r="BM149" s="12"/>
      <c r="BN149" s="12"/>
      <c r="BO149" s="12"/>
      <c r="BP149" s="12"/>
      <c r="BQ149" s="12"/>
      <c r="BR149" s="12"/>
      <c r="BS149" s="12"/>
      <c r="BT149" s="12"/>
      <c r="BU149" s="12"/>
      <c r="BV149" s="12"/>
      <c r="BW149" s="12"/>
      <c r="BX149" s="12"/>
      <c r="BY149" s="12"/>
      <c r="BZ149" s="12"/>
      <c r="CA149" s="12"/>
      <c r="CB149" s="12"/>
      <c r="CC149" s="12"/>
      <c r="CD149" s="12"/>
      <c r="CE149" s="12"/>
      <c r="CF149" s="12"/>
      <c r="CG149" s="12"/>
      <c r="CH149" s="12"/>
      <c r="CI149" s="12"/>
      <c r="CJ149" s="12"/>
      <c r="CK149" s="12"/>
      <c r="CL149" s="12"/>
      <c r="CM149" s="12"/>
      <c r="CN149" s="12"/>
      <c r="CO149" s="12"/>
      <c r="CP149" s="12"/>
      <c r="CQ149" s="12"/>
      <c r="CR149" s="12"/>
      <c r="CS149" s="12"/>
      <c r="CT149" s="12"/>
      <c r="CU149" s="12"/>
      <c r="CV149" s="12"/>
      <c r="CW149" s="12"/>
      <c r="CX149" s="12"/>
      <c r="CY149" s="12"/>
      <c r="CZ149" s="12"/>
      <c r="DA149" s="12"/>
      <c r="DB149" s="12"/>
      <c r="DC149" s="12"/>
      <c r="DD149" s="12"/>
      <c r="DE149" s="12"/>
      <c r="DF149" s="12"/>
      <c r="DG149" s="12"/>
      <c r="DH149" s="12"/>
      <c r="DI149" s="12"/>
      <c r="DJ149" s="12"/>
      <c r="DK149" s="12"/>
      <c r="DL149" s="12"/>
      <c r="DM149" s="12"/>
      <c r="DN149" s="12"/>
      <c r="DO149" s="12"/>
      <c r="DP149" s="12"/>
      <c r="DQ149" s="12"/>
      <c r="DR149" s="12"/>
      <c r="DS149" s="12"/>
      <c r="DT149" s="12"/>
      <c r="DU149" s="12"/>
      <c r="DV149" s="12"/>
      <c r="DW149" s="12"/>
      <c r="DX149" s="12"/>
      <c r="DY149" s="12"/>
      <c r="DZ149" s="12"/>
      <c r="EA149" s="12"/>
      <c r="EB149" s="12"/>
      <c r="EC149" s="12"/>
      <c r="ED149" s="12"/>
      <c r="EE149" s="12"/>
      <c r="EF149" s="12"/>
      <c r="EG149" s="12"/>
      <c r="EH149" s="12"/>
      <c r="EI149" s="12"/>
      <c r="EJ149" s="12"/>
      <c r="EK149" s="12"/>
      <c r="EL149" s="12"/>
      <c r="EM149" s="12"/>
      <c r="EN149" s="12"/>
      <c r="EO149" s="12"/>
      <c r="EP149" s="12"/>
      <c r="EQ149" s="12"/>
      <c r="ER149" s="12"/>
      <c r="ES149" s="12"/>
      <c r="ET149" s="12"/>
      <c r="EU149" s="12"/>
      <c r="EV149" s="12"/>
      <c r="EW149" s="12"/>
      <c r="EX149" s="12"/>
      <c r="EY149" s="12"/>
      <c r="EZ149" s="12"/>
      <c r="FA149" s="12"/>
      <c r="FB149" s="12"/>
      <c r="FC149" s="12"/>
      <c r="FD149" s="12"/>
      <c r="FE149" s="12"/>
      <c r="FF149" s="12"/>
      <c r="FG149" s="12"/>
      <c r="FH149" s="12"/>
      <c r="FI149" s="12"/>
      <c r="FJ149" s="12"/>
      <c r="FK149" s="12"/>
      <c r="FL149" s="12"/>
      <c r="FM149" s="12"/>
      <c r="FN149" s="12"/>
      <c r="FO149" s="12"/>
      <c r="FP149" s="12"/>
      <c r="FQ149" s="12"/>
      <c r="FR149" s="12"/>
      <c r="FS149" s="12"/>
      <c r="FT149" s="12"/>
      <c r="FU149" s="12"/>
      <c r="FV149" s="12"/>
      <c r="FW149" s="12"/>
      <c r="FX149" s="12"/>
      <c r="FY149" s="12"/>
      <c r="FZ149" s="12"/>
      <c r="GA149" s="12"/>
      <c r="GB149" s="12"/>
      <c r="GC149" s="12"/>
      <c r="GD149" s="12"/>
      <c r="GE149" s="12"/>
      <c r="GF149" s="12"/>
      <c r="GG149" s="12"/>
      <c r="GH149" s="12"/>
      <c r="GI149" s="12"/>
      <c r="GJ149" s="12"/>
      <c r="GK149" s="12"/>
      <c r="GL149" s="12"/>
      <c r="GM149" s="12"/>
      <c r="GN149" s="12"/>
      <c r="GO149" s="12"/>
      <c r="GP149" s="12"/>
      <c r="GQ149" s="12"/>
      <c r="GR149" s="12"/>
      <c r="GS149" s="12"/>
      <c r="GT149" s="12"/>
      <c r="GU149" s="12"/>
      <c r="GV149" s="12"/>
      <c r="GW149" s="12"/>
      <c r="GX149" s="12"/>
      <c r="GY149" s="12"/>
      <c r="GZ149" s="12"/>
      <c r="HA149" s="12"/>
      <c r="HB149" s="12"/>
      <c r="HC149" s="12"/>
      <c r="HD149" s="12"/>
      <c r="HE149" s="12"/>
      <c r="HF149" s="12"/>
      <c r="HG149" s="12"/>
      <c r="HH149" s="12"/>
      <c r="HI149" s="12"/>
      <c r="HJ149" s="12"/>
      <c r="HK149" s="12"/>
      <c r="HL149" s="12"/>
      <c r="HM149" s="12"/>
      <c r="HN149" s="12"/>
      <c r="HO149" s="12"/>
      <c r="HP149" s="12"/>
      <c r="HQ149" s="12"/>
      <c r="HR149" s="12"/>
      <c r="HS149" s="12"/>
      <c r="HT149" s="12"/>
      <c r="HU149" s="12"/>
      <c r="HV149" s="12"/>
      <c r="HW149" s="12"/>
      <c r="HX149" s="12"/>
      <c r="HY149" s="12"/>
      <c r="HZ149" s="12"/>
      <c r="IA149" s="12"/>
      <c r="IB149" s="12"/>
      <c r="IC149" s="12"/>
      <c r="ID149" s="12"/>
      <c r="IE149" s="12"/>
      <c r="IF149" s="12"/>
      <c r="IG149" s="12"/>
      <c r="IH149" s="12"/>
      <c r="II149" s="12"/>
      <c r="IJ149" s="12"/>
      <c r="IK149" s="12"/>
      <c r="IL149" s="12"/>
      <c r="IM149" s="12"/>
      <c r="IN149" s="12"/>
      <c r="IO149" s="12"/>
      <c r="IP149" s="12"/>
      <c r="IQ149" s="12"/>
      <c r="IR149" s="12"/>
      <c r="IS149" s="12"/>
      <c r="IT149" s="12"/>
      <c r="IU149" s="12"/>
      <c r="IV149" s="12"/>
      <c r="IW149" s="12"/>
    </row>
    <row r="150" customFormat="false" ht="11.25" hidden="false" customHeight="false" outlineLevel="0" collapsed="false">
      <c r="A150" s="25" t="n">
        <f aca="false">DATE(YEAR(A149),MONTH(A149)+1,1)</f>
        <v>50284</v>
      </c>
      <c r="B150" s="21" t="n">
        <v>2.334</v>
      </c>
      <c r="C150" s="21" t="n">
        <v>2.404</v>
      </c>
      <c r="D150" s="25" t="n">
        <f aca="false">DATE(YEAR(D149),MONTH(D149)+1,1)</f>
        <v>50284</v>
      </c>
      <c r="E150" s="21" t="n">
        <v>19.209</v>
      </c>
      <c r="F150" s="21" t="n">
        <v>20.097</v>
      </c>
      <c r="G150" s="6"/>
      <c r="H150" s="22" t="n">
        <f aca="false">A150</f>
        <v>50284</v>
      </c>
      <c r="I150" s="23" t="n">
        <f aca="false">IF($J$1="bid",B150,C150)</f>
        <v>2.404</v>
      </c>
      <c r="J150" s="24" t="n">
        <f aca="false">D150</f>
        <v>50284</v>
      </c>
      <c r="K150" s="23" t="n">
        <f aca="false">IF($J$1="bid",E150,F150)</f>
        <v>20.097</v>
      </c>
      <c r="L150" s="11"/>
      <c r="M150" s="11"/>
      <c r="N150" s="11"/>
      <c r="O150" s="11"/>
      <c r="P150" s="11"/>
      <c r="Q150" s="11"/>
      <c r="R150" s="11"/>
      <c r="S150" s="11"/>
      <c r="T150" s="11"/>
      <c r="U150" s="11"/>
      <c r="V150" s="11"/>
      <c r="W150" s="11"/>
      <c r="X150" s="11"/>
      <c r="Y150" s="11"/>
      <c r="Z150" s="11"/>
      <c r="AA150" s="11"/>
      <c r="AB150" s="11"/>
      <c r="AC150" s="11"/>
      <c r="AD150" s="11"/>
      <c r="AE150" s="11"/>
      <c r="AF150" s="11"/>
      <c r="AG150" s="11"/>
      <c r="AH150" s="11"/>
      <c r="AI150" s="11"/>
      <c r="AJ150" s="11"/>
      <c r="AK150" s="11"/>
      <c r="AL150" s="11"/>
      <c r="AM150" s="11"/>
      <c r="AN150" s="11"/>
      <c r="AO150" s="11"/>
      <c r="AP150" s="11"/>
      <c r="AQ150" s="11"/>
      <c r="AR150" s="5"/>
      <c r="AS150" s="12"/>
      <c r="AT150" s="12"/>
      <c r="AU150" s="12"/>
      <c r="AV150" s="12"/>
      <c r="AW150" s="12"/>
      <c r="AX150" s="12"/>
      <c r="AY150" s="12"/>
      <c r="AZ150" s="12"/>
      <c r="BA150" s="12"/>
      <c r="BB150" s="12"/>
      <c r="BC150" s="12"/>
      <c r="BD150" s="12"/>
      <c r="BE150" s="12"/>
      <c r="BF150" s="12"/>
      <c r="BG150" s="12"/>
      <c r="BH150" s="12"/>
      <c r="BI150" s="12"/>
      <c r="BJ150" s="12"/>
      <c r="BK150" s="12"/>
      <c r="BL150" s="12"/>
      <c r="BM150" s="12"/>
      <c r="BN150" s="12"/>
      <c r="BO150" s="12"/>
      <c r="BP150" s="12"/>
      <c r="BQ150" s="12"/>
      <c r="BR150" s="12"/>
      <c r="BS150" s="12"/>
      <c r="BT150" s="12"/>
      <c r="BU150" s="12"/>
      <c r="BV150" s="12"/>
      <c r="BW150" s="12"/>
      <c r="BX150" s="12"/>
      <c r="BY150" s="12"/>
      <c r="BZ150" s="12"/>
      <c r="CA150" s="12"/>
      <c r="CB150" s="12"/>
      <c r="CC150" s="12"/>
      <c r="CD150" s="12"/>
      <c r="CE150" s="12"/>
      <c r="CF150" s="12"/>
      <c r="CG150" s="12"/>
      <c r="CH150" s="12"/>
      <c r="CI150" s="12"/>
      <c r="CJ150" s="12"/>
      <c r="CK150" s="12"/>
      <c r="CL150" s="12"/>
      <c r="CM150" s="12"/>
      <c r="CN150" s="12"/>
      <c r="CO150" s="12"/>
      <c r="CP150" s="12"/>
      <c r="CQ150" s="12"/>
      <c r="CR150" s="12"/>
      <c r="CS150" s="12"/>
      <c r="CT150" s="12"/>
      <c r="CU150" s="12"/>
      <c r="CV150" s="12"/>
      <c r="CW150" s="12"/>
      <c r="CX150" s="12"/>
      <c r="CY150" s="12"/>
      <c r="CZ150" s="12"/>
      <c r="DA150" s="12"/>
      <c r="DB150" s="12"/>
      <c r="DC150" s="12"/>
      <c r="DD150" s="12"/>
      <c r="DE150" s="12"/>
      <c r="DF150" s="12"/>
      <c r="DG150" s="12"/>
      <c r="DH150" s="12"/>
      <c r="DI150" s="12"/>
      <c r="DJ150" s="12"/>
      <c r="DK150" s="12"/>
      <c r="DL150" s="12"/>
      <c r="DM150" s="12"/>
      <c r="DN150" s="12"/>
      <c r="DO150" s="12"/>
      <c r="DP150" s="12"/>
      <c r="DQ150" s="12"/>
      <c r="DR150" s="12"/>
      <c r="DS150" s="12"/>
      <c r="DT150" s="12"/>
      <c r="DU150" s="12"/>
      <c r="DV150" s="12"/>
      <c r="DW150" s="12"/>
      <c r="DX150" s="12"/>
      <c r="DY150" s="12"/>
      <c r="DZ150" s="12"/>
      <c r="EA150" s="12"/>
      <c r="EB150" s="12"/>
      <c r="EC150" s="12"/>
      <c r="ED150" s="12"/>
      <c r="EE150" s="12"/>
      <c r="EF150" s="12"/>
      <c r="EG150" s="12"/>
      <c r="EH150" s="12"/>
      <c r="EI150" s="12"/>
      <c r="EJ150" s="12"/>
      <c r="EK150" s="12"/>
      <c r="EL150" s="12"/>
      <c r="EM150" s="12"/>
      <c r="EN150" s="12"/>
      <c r="EO150" s="12"/>
      <c r="EP150" s="12"/>
      <c r="EQ150" s="12"/>
      <c r="ER150" s="12"/>
      <c r="ES150" s="12"/>
      <c r="ET150" s="12"/>
      <c r="EU150" s="12"/>
      <c r="EV150" s="12"/>
      <c r="EW150" s="12"/>
      <c r="EX150" s="12"/>
      <c r="EY150" s="12"/>
      <c r="EZ150" s="12"/>
      <c r="FA150" s="12"/>
      <c r="FB150" s="12"/>
      <c r="FC150" s="12"/>
      <c r="FD150" s="12"/>
      <c r="FE150" s="12"/>
      <c r="FF150" s="12"/>
      <c r="FG150" s="12"/>
      <c r="FH150" s="12"/>
      <c r="FI150" s="12"/>
      <c r="FJ150" s="12"/>
      <c r="FK150" s="12"/>
      <c r="FL150" s="12"/>
      <c r="FM150" s="12"/>
      <c r="FN150" s="12"/>
      <c r="FO150" s="12"/>
      <c r="FP150" s="12"/>
      <c r="FQ150" s="12"/>
      <c r="FR150" s="12"/>
      <c r="FS150" s="12"/>
      <c r="FT150" s="12"/>
      <c r="FU150" s="12"/>
      <c r="FV150" s="12"/>
      <c r="FW150" s="12"/>
      <c r="FX150" s="12"/>
      <c r="FY150" s="12"/>
      <c r="FZ150" s="12"/>
      <c r="GA150" s="12"/>
      <c r="GB150" s="12"/>
      <c r="GC150" s="12"/>
      <c r="GD150" s="12"/>
      <c r="GE150" s="12"/>
      <c r="GF150" s="12"/>
      <c r="GG150" s="12"/>
      <c r="GH150" s="12"/>
      <c r="GI150" s="12"/>
      <c r="GJ150" s="12"/>
      <c r="GK150" s="12"/>
      <c r="GL150" s="12"/>
      <c r="GM150" s="12"/>
      <c r="GN150" s="12"/>
      <c r="GO150" s="12"/>
      <c r="GP150" s="12"/>
      <c r="GQ150" s="12"/>
      <c r="GR150" s="12"/>
      <c r="GS150" s="12"/>
      <c r="GT150" s="12"/>
      <c r="GU150" s="12"/>
      <c r="GV150" s="12"/>
      <c r="GW150" s="12"/>
      <c r="GX150" s="12"/>
      <c r="GY150" s="12"/>
      <c r="GZ150" s="12"/>
      <c r="HA150" s="12"/>
      <c r="HB150" s="12"/>
      <c r="HC150" s="12"/>
      <c r="HD150" s="12"/>
      <c r="HE150" s="12"/>
      <c r="HF150" s="12"/>
      <c r="HG150" s="12"/>
      <c r="HH150" s="12"/>
      <c r="HI150" s="12"/>
      <c r="HJ150" s="12"/>
      <c r="HK150" s="12"/>
      <c r="HL150" s="12"/>
      <c r="HM150" s="12"/>
      <c r="HN150" s="12"/>
      <c r="HO150" s="12"/>
      <c r="HP150" s="12"/>
      <c r="HQ150" s="12"/>
      <c r="HR150" s="12"/>
      <c r="HS150" s="12"/>
      <c r="HT150" s="12"/>
      <c r="HU150" s="12"/>
      <c r="HV150" s="12"/>
      <c r="HW150" s="12"/>
      <c r="HX150" s="12"/>
      <c r="HY150" s="12"/>
      <c r="HZ150" s="12"/>
      <c r="IA150" s="12"/>
      <c r="IB150" s="12"/>
      <c r="IC150" s="12"/>
      <c r="ID150" s="12"/>
      <c r="IE150" s="12"/>
      <c r="IF150" s="12"/>
      <c r="IG150" s="12"/>
      <c r="IH150" s="12"/>
      <c r="II150" s="12"/>
      <c r="IJ150" s="12"/>
      <c r="IK150" s="12"/>
      <c r="IL150" s="12"/>
      <c r="IM150" s="12"/>
      <c r="IN150" s="12"/>
      <c r="IO150" s="12"/>
      <c r="IP150" s="12"/>
      <c r="IQ150" s="12"/>
      <c r="IR150" s="12"/>
      <c r="IS150" s="12"/>
      <c r="IT150" s="12"/>
      <c r="IU150" s="12"/>
      <c r="IV150" s="12"/>
      <c r="IW150" s="12"/>
    </row>
    <row r="151" customFormat="false" ht="11.25" hidden="false" customHeight="false" outlineLevel="0" collapsed="false">
      <c r="A151" s="25" t="n">
        <f aca="false">DATE(YEAR(A150),MONTH(A150)+1,1)</f>
        <v>50314</v>
      </c>
      <c r="B151" s="21" t="n">
        <v>2.452</v>
      </c>
      <c r="C151" s="21" t="n">
        <v>2.522</v>
      </c>
      <c r="D151" s="25" t="n">
        <f aca="false">DATE(YEAR(D150),MONTH(D150)+1,1)</f>
        <v>50314</v>
      </c>
      <c r="E151" s="21" t="n">
        <v>19.218</v>
      </c>
      <c r="F151" s="21" t="n">
        <v>20.114</v>
      </c>
      <c r="G151" s="6"/>
      <c r="H151" s="22" t="n">
        <f aca="false">A151</f>
        <v>50314</v>
      </c>
      <c r="I151" s="23" t="n">
        <f aca="false">IF($J$1="bid",B151,C151)</f>
        <v>2.522</v>
      </c>
      <c r="J151" s="24" t="n">
        <f aca="false">D151</f>
        <v>50314</v>
      </c>
      <c r="K151" s="23" t="n">
        <f aca="false">IF($J$1="bid",E151,F151)</f>
        <v>20.114</v>
      </c>
      <c r="L151" s="11"/>
      <c r="M151" s="11"/>
      <c r="N151" s="11"/>
      <c r="O151" s="11"/>
      <c r="P151" s="11"/>
      <c r="Q151" s="11"/>
      <c r="R151" s="11"/>
      <c r="S151" s="11"/>
      <c r="T151" s="11"/>
      <c r="U151" s="11"/>
      <c r="V151" s="11"/>
      <c r="W151" s="11"/>
      <c r="X151" s="11"/>
      <c r="Y151" s="11"/>
      <c r="Z151" s="11"/>
      <c r="AA151" s="11"/>
      <c r="AB151" s="11"/>
      <c r="AC151" s="11"/>
      <c r="AD151" s="11"/>
      <c r="AE151" s="11"/>
      <c r="AF151" s="11"/>
      <c r="AG151" s="11"/>
      <c r="AH151" s="11"/>
      <c r="AI151" s="11"/>
      <c r="AJ151" s="11"/>
      <c r="AK151" s="11"/>
      <c r="AL151" s="11"/>
      <c r="AM151" s="11"/>
      <c r="AN151" s="11"/>
      <c r="AO151" s="11"/>
      <c r="AP151" s="11"/>
      <c r="AQ151" s="11"/>
      <c r="AR151" s="5"/>
      <c r="AS151" s="12"/>
      <c r="AT151" s="12"/>
      <c r="AU151" s="12"/>
      <c r="AV151" s="12"/>
      <c r="AW151" s="12"/>
      <c r="AX151" s="12"/>
      <c r="AY151" s="12"/>
      <c r="AZ151" s="12"/>
      <c r="BA151" s="12"/>
      <c r="BB151" s="12"/>
      <c r="BC151" s="12"/>
      <c r="BD151" s="12"/>
      <c r="BE151" s="12"/>
      <c r="BF151" s="12"/>
      <c r="BG151" s="12"/>
      <c r="BH151" s="12"/>
      <c r="BI151" s="12"/>
      <c r="BJ151" s="12"/>
      <c r="BK151" s="12"/>
      <c r="BL151" s="12"/>
      <c r="BM151" s="12"/>
      <c r="BN151" s="12"/>
      <c r="BO151" s="12"/>
      <c r="BP151" s="12"/>
      <c r="BQ151" s="12"/>
      <c r="BR151" s="12"/>
      <c r="BS151" s="12"/>
      <c r="BT151" s="12"/>
      <c r="BU151" s="12"/>
      <c r="BV151" s="12"/>
      <c r="BW151" s="12"/>
      <c r="BX151" s="12"/>
      <c r="BY151" s="12"/>
      <c r="BZ151" s="12"/>
      <c r="CA151" s="12"/>
      <c r="CB151" s="12"/>
      <c r="CC151" s="12"/>
      <c r="CD151" s="12"/>
      <c r="CE151" s="12"/>
      <c r="CF151" s="12"/>
      <c r="CG151" s="12"/>
      <c r="CH151" s="12"/>
      <c r="CI151" s="12"/>
      <c r="CJ151" s="12"/>
      <c r="CK151" s="12"/>
      <c r="CL151" s="12"/>
      <c r="CM151" s="12"/>
      <c r="CN151" s="12"/>
      <c r="CO151" s="12"/>
      <c r="CP151" s="12"/>
      <c r="CQ151" s="12"/>
      <c r="CR151" s="12"/>
      <c r="CS151" s="12"/>
      <c r="CT151" s="12"/>
      <c r="CU151" s="12"/>
      <c r="CV151" s="12"/>
      <c r="CW151" s="12"/>
      <c r="CX151" s="12"/>
      <c r="CY151" s="12"/>
      <c r="CZ151" s="12"/>
      <c r="DA151" s="12"/>
      <c r="DB151" s="12"/>
      <c r="DC151" s="12"/>
      <c r="DD151" s="12"/>
      <c r="DE151" s="12"/>
      <c r="DF151" s="12"/>
      <c r="DG151" s="12"/>
      <c r="DH151" s="12"/>
      <c r="DI151" s="12"/>
      <c r="DJ151" s="12"/>
      <c r="DK151" s="12"/>
      <c r="DL151" s="12"/>
      <c r="DM151" s="12"/>
      <c r="DN151" s="12"/>
      <c r="DO151" s="12"/>
      <c r="DP151" s="12"/>
      <c r="DQ151" s="12"/>
      <c r="DR151" s="12"/>
      <c r="DS151" s="12"/>
      <c r="DT151" s="12"/>
      <c r="DU151" s="12"/>
      <c r="DV151" s="12"/>
      <c r="DW151" s="12"/>
      <c r="DX151" s="12"/>
      <c r="DY151" s="12"/>
      <c r="DZ151" s="12"/>
      <c r="EA151" s="12"/>
      <c r="EB151" s="12"/>
      <c r="EC151" s="12"/>
      <c r="ED151" s="12"/>
      <c r="EE151" s="12"/>
      <c r="EF151" s="12"/>
      <c r="EG151" s="12"/>
      <c r="EH151" s="12"/>
      <c r="EI151" s="12"/>
      <c r="EJ151" s="12"/>
      <c r="EK151" s="12"/>
      <c r="EL151" s="12"/>
      <c r="EM151" s="12"/>
      <c r="EN151" s="12"/>
      <c r="EO151" s="12"/>
      <c r="EP151" s="12"/>
      <c r="EQ151" s="12"/>
      <c r="ER151" s="12"/>
      <c r="ES151" s="12"/>
      <c r="ET151" s="12"/>
      <c r="EU151" s="12"/>
      <c r="EV151" s="12"/>
      <c r="EW151" s="12"/>
      <c r="EX151" s="12"/>
      <c r="EY151" s="12"/>
      <c r="EZ151" s="12"/>
      <c r="FA151" s="12"/>
      <c r="FB151" s="12"/>
      <c r="FC151" s="12"/>
      <c r="FD151" s="12"/>
      <c r="FE151" s="12"/>
      <c r="FF151" s="12"/>
      <c r="FG151" s="12"/>
      <c r="FH151" s="12"/>
      <c r="FI151" s="12"/>
      <c r="FJ151" s="12"/>
      <c r="FK151" s="12"/>
      <c r="FL151" s="12"/>
      <c r="FM151" s="12"/>
      <c r="FN151" s="12"/>
      <c r="FO151" s="12"/>
      <c r="FP151" s="12"/>
      <c r="FQ151" s="12"/>
      <c r="FR151" s="12"/>
      <c r="FS151" s="12"/>
      <c r="FT151" s="12"/>
      <c r="FU151" s="12"/>
      <c r="FV151" s="12"/>
      <c r="FW151" s="12"/>
      <c r="FX151" s="12"/>
      <c r="FY151" s="12"/>
      <c r="FZ151" s="12"/>
      <c r="GA151" s="12"/>
      <c r="GB151" s="12"/>
      <c r="GC151" s="12"/>
      <c r="GD151" s="12"/>
      <c r="GE151" s="12"/>
      <c r="GF151" s="12"/>
      <c r="GG151" s="12"/>
      <c r="GH151" s="12"/>
      <c r="GI151" s="12"/>
      <c r="GJ151" s="12"/>
      <c r="GK151" s="12"/>
      <c r="GL151" s="12"/>
      <c r="GM151" s="12"/>
      <c r="GN151" s="12"/>
      <c r="GO151" s="12"/>
      <c r="GP151" s="12"/>
      <c r="GQ151" s="12"/>
      <c r="GR151" s="12"/>
      <c r="GS151" s="12"/>
      <c r="GT151" s="12"/>
      <c r="GU151" s="12"/>
      <c r="GV151" s="12"/>
      <c r="GW151" s="12"/>
      <c r="GX151" s="12"/>
      <c r="GY151" s="12"/>
      <c r="GZ151" s="12"/>
      <c r="HA151" s="12"/>
      <c r="HB151" s="12"/>
      <c r="HC151" s="12"/>
      <c r="HD151" s="12"/>
      <c r="HE151" s="12"/>
      <c r="HF151" s="12"/>
      <c r="HG151" s="12"/>
      <c r="HH151" s="12"/>
      <c r="HI151" s="12"/>
      <c r="HJ151" s="12"/>
      <c r="HK151" s="12"/>
      <c r="HL151" s="12"/>
      <c r="HM151" s="12"/>
      <c r="HN151" s="12"/>
      <c r="HO151" s="12"/>
      <c r="HP151" s="12"/>
      <c r="HQ151" s="12"/>
      <c r="HR151" s="12"/>
      <c r="HS151" s="12"/>
      <c r="HT151" s="12"/>
      <c r="HU151" s="12"/>
      <c r="HV151" s="12"/>
      <c r="HW151" s="12"/>
      <c r="HX151" s="12"/>
      <c r="HY151" s="12"/>
      <c r="HZ151" s="12"/>
      <c r="IA151" s="12"/>
      <c r="IB151" s="12"/>
      <c r="IC151" s="12"/>
      <c r="ID151" s="12"/>
      <c r="IE151" s="12"/>
      <c r="IF151" s="12"/>
      <c r="IG151" s="12"/>
      <c r="IH151" s="12"/>
      <c r="II151" s="12"/>
      <c r="IJ151" s="12"/>
      <c r="IK151" s="12"/>
      <c r="IL151" s="12"/>
      <c r="IM151" s="12"/>
      <c r="IN151" s="12"/>
      <c r="IO151" s="12"/>
      <c r="IP151" s="12"/>
      <c r="IQ151" s="12"/>
      <c r="IR151" s="12"/>
      <c r="IS151" s="12"/>
      <c r="IT151" s="12"/>
      <c r="IU151" s="12"/>
      <c r="IV151" s="12"/>
      <c r="IW151" s="12"/>
    </row>
    <row r="152" customFormat="false" ht="11.25" hidden="false" customHeight="false" outlineLevel="0" collapsed="false">
      <c r="A152" s="25" t="n">
        <f aca="false">DATE(YEAR(A151),MONTH(A151)+1,1)</f>
        <v>50345</v>
      </c>
      <c r="B152" s="21" t="n">
        <v>2.593</v>
      </c>
      <c r="C152" s="21" t="n">
        <v>2.663</v>
      </c>
      <c r="D152" s="25" t="n">
        <f aca="false">DATE(YEAR(D151),MONTH(D151)+1,1)</f>
        <v>50345</v>
      </c>
      <c r="E152" s="21" t="n">
        <v>19.227</v>
      </c>
      <c r="F152" s="21" t="n">
        <v>20.133</v>
      </c>
      <c r="G152" s="6"/>
      <c r="H152" s="22" t="n">
        <f aca="false">A152</f>
        <v>50345</v>
      </c>
      <c r="I152" s="23" t="n">
        <f aca="false">IF($J$1="bid",B152,C152)</f>
        <v>2.663</v>
      </c>
      <c r="J152" s="24" t="n">
        <f aca="false">D152</f>
        <v>50345</v>
      </c>
      <c r="K152" s="23" t="n">
        <f aca="false">IF($J$1="bid",E152,F152)</f>
        <v>20.133</v>
      </c>
      <c r="L152" s="11"/>
      <c r="M152" s="11"/>
      <c r="N152" s="11"/>
      <c r="O152" s="11"/>
      <c r="P152" s="11"/>
      <c r="Q152" s="11"/>
      <c r="R152" s="11"/>
      <c r="S152" s="11"/>
      <c r="T152" s="11"/>
      <c r="U152" s="11"/>
      <c r="V152" s="11"/>
      <c r="W152" s="11"/>
      <c r="X152" s="11"/>
      <c r="Y152" s="11"/>
      <c r="Z152" s="11"/>
      <c r="AA152" s="11"/>
      <c r="AB152" s="11"/>
      <c r="AC152" s="11"/>
      <c r="AD152" s="11"/>
      <c r="AE152" s="11"/>
      <c r="AF152" s="11"/>
      <c r="AG152" s="11"/>
      <c r="AH152" s="11"/>
      <c r="AI152" s="11"/>
      <c r="AJ152" s="11"/>
      <c r="AK152" s="11"/>
      <c r="AL152" s="11"/>
      <c r="AM152" s="11"/>
      <c r="AN152" s="11"/>
      <c r="AO152" s="11"/>
      <c r="AP152" s="11"/>
      <c r="AQ152" s="11"/>
      <c r="AR152" s="5"/>
      <c r="AS152" s="12"/>
      <c r="AT152" s="12"/>
      <c r="AU152" s="12"/>
      <c r="AV152" s="12"/>
      <c r="AW152" s="12"/>
      <c r="AX152" s="12"/>
      <c r="AY152" s="12"/>
      <c r="AZ152" s="12"/>
      <c r="BA152" s="12"/>
      <c r="BB152" s="12"/>
      <c r="BC152" s="12"/>
      <c r="BD152" s="12"/>
      <c r="BE152" s="12"/>
      <c r="BF152" s="12"/>
      <c r="BG152" s="12"/>
      <c r="BH152" s="12"/>
      <c r="BI152" s="12"/>
      <c r="BJ152" s="12"/>
      <c r="BK152" s="12"/>
      <c r="BL152" s="12"/>
      <c r="BM152" s="12"/>
      <c r="BN152" s="12"/>
      <c r="BO152" s="12"/>
      <c r="BP152" s="12"/>
      <c r="BQ152" s="12"/>
      <c r="BR152" s="12"/>
      <c r="BS152" s="12"/>
      <c r="BT152" s="12"/>
      <c r="BU152" s="12"/>
      <c r="BV152" s="12"/>
      <c r="BW152" s="12"/>
      <c r="BX152" s="12"/>
      <c r="BY152" s="12"/>
      <c r="BZ152" s="12"/>
      <c r="CA152" s="12"/>
      <c r="CB152" s="12"/>
      <c r="CC152" s="12"/>
      <c r="CD152" s="12"/>
      <c r="CE152" s="12"/>
      <c r="CF152" s="12"/>
      <c r="CG152" s="12"/>
      <c r="CH152" s="12"/>
      <c r="CI152" s="12"/>
      <c r="CJ152" s="12"/>
      <c r="CK152" s="12"/>
      <c r="CL152" s="12"/>
      <c r="CM152" s="12"/>
      <c r="CN152" s="12"/>
      <c r="CO152" s="12"/>
      <c r="CP152" s="12"/>
      <c r="CQ152" s="12"/>
      <c r="CR152" s="12"/>
      <c r="CS152" s="12"/>
      <c r="CT152" s="12"/>
      <c r="CU152" s="12"/>
      <c r="CV152" s="12"/>
      <c r="CW152" s="12"/>
      <c r="CX152" s="12"/>
      <c r="CY152" s="12"/>
      <c r="CZ152" s="12"/>
      <c r="DA152" s="12"/>
      <c r="DB152" s="12"/>
      <c r="DC152" s="12"/>
      <c r="DD152" s="12"/>
      <c r="DE152" s="12"/>
      <c r="DF152" s="12"/>
      <c r="DG152" s="12"/>
      <c r="DH152" s="12"/>
      <c r="DI152" s="12"/>
      <c r="DJ152" s="12"/>
      <c r="DK152" s="12"/>
      <c r="DL152" s="12"/>
      <c r="DM152" s="12"/>
      <c r="DN152" s="12"/>
      <c r="DO152" s="12"/>
      <c r="DP152" s="12"/>
      <c r="DQ152" s="12"/>
      <c r="DR152" s="12"/>
      <c r="DS152" s="12"/>
      <c r="DT152" s="12"/>
      <c r="DU152" s="12"/>
      <c r="DV152" s="12"/>
      <c r="DW152" s="12"/>
      <c r="DX152" s="12"/>
      <c r="DY152" s="12"/>
      <c r="DZ152" s="12"/>
      <c r="EA152" s="12"/>
      <c r="EB152" s="12"/>
      <c r="EC152" s="12"/>
      <c r="ED152" s="12"/>
      <c r="EE152" s="12"/>
      <c r="EF152" s="12"/>
      <c r="EG152" s="12"/>
      <c r="EH152" s="12"/>
      <c r="EI152" s="12"/>
      <c r="EJ152" s="12"/>
      <c r="EK152" s="12"/>
      <c r="EL152" s="12"/>
      <c r="EM152" s="12"/>
      <c r="EN152" s="12"/>
      <c r="EO152" s="12"/>
      <c r="EP152" s="12"/>
      <c r="EQ152" s="12"/>
      <c r="ER152" s="12"/>
      <c r="ES152" s="12"/>
      <c r="ET152" s="12"/>
      <c r="EU152" s="12"/>
      <c r="EV152" s="12"/>
      <c r="EW152" s="12"/>
      <c r="EX152" s="12"/>
      <c r="EY152" s="12"/>
      <c r="EZ152" s="12"/>
      <c r="FA152" s="12"/>
      <c r="FB152" s="12"/>
      <c r="FC152" s="12"/>
      <c r="FD152" s="12"/>
      <c r="FE152" s="12"/>
      <c r="FF152" s="12"/>
      <c r="FG152" s="12"/>
      <c r="FH152" s="12"/>
      <c r="FI152" s="12"/>
      <c r="FJ152" s="12"/>
      <c r="FK152" s="12"/>
      <c r="FL152" s="12"/>
      <c r="FM152" s="12"/>
      <c r="FN152" s="12"/>
      <c r="FO152" s="12"/>
      <c r="FP152" s="12"/>
      <c r="FQ152" s="12"/>
      <c r="FR152" s="12"/>
      <c r="FS152" s="12"/>
      <c r="FT152" s="12"/>
      <c r="FU152" s="12"/>
      <c r="FV152" s="12"/>
      <c r="FW152" s="12"/>
      <c r="FX152" s="12"/>
      <c r="FY152" s="12"/>
      <c r="FZ152" s="12"/>
      <c r="GA152" s="12"/>
      <c r="GB152" s="12"/>
      <c r="GC152" s="12"/>
      <c r="GD152" s="12"/>
      <c r="GE152" s="12"/>
      <c r="GF152" s="12"/>
      <c r="GG152" s="12"/>
      <c r="GH152" s="12"/>
      <c r="GI152" s="12"/>
      <c r="GJ152" s="12"/>
      <c r="GK152" s="12"/>
      <c r="GL152" s="12"/>
      <c r="GM152" s="12"/>
      <c r="GN152" s="12"/>
      <c r="GO152" s="12"/>
      <c r="GP152" s="12"/>
      <c r="GQ152" s="12"/>
      <c r="GR152" s="12"/>
      <c r="GS152" s="12"/>
      <c r="GT152" s="12"/>
      <c r="GU152" s="12"/>
      <c r="GV152" s="12"/>
      <c r="GW152" s="12"/>
      <c r="GX152" s="12"/>
      <c r="GY152" s="12"/>
      <c r="GZ152" s="12"/>
      <c r="HA152" s="12"/>
      <c r="HB152" s="12"/>
      <c r="HC152" s="12"/>
      <c r="HD152" s="12"/>
      <c r="HE152" s="12"/>
      <c r="HF152" s="12"/>
      <c r="HG152" s="12"/>
      <c r="HH152" s="12"/>
      <c r="HI152" s="12"/>
      <c r="HJ152" s="12"/>
      <c r="HK152" s="12"/>
      <c r="HL152" s="12"/>
      <c r="HM152" s="12"/>
      <c r="HN152" s="12"/>
      <c r="HO152" s="12"/>
      <c r="HP152" s="12"/>
      <c r="HQ152" s="12"/>
      <c r="HR152" s="12"/>
      <c r="HS152" s="12"/>
      <c r="HT152" s="12"/>
      <c r="HU152" s="12"/>
      <c r="HV152" s="12"/>
      <c r="HW152" s="12"/>
      <c r="HX152" s="12"/>
      <c r="HY152" s="12"/>
      <c r="HZ152" s="12"/>
      <c r="IA152" s="12"/>
      <c r="IB152" s="12"/>
      <c r="IC152" s="12"/>
      <c r="ID152" s="12"/>
      <c r="IE152" s="12"/>
      <c r="IF152" s="12"/>
      <c r="IG152" s="12"/>
      <c r="IH152" s="12"/>
      <c r="II152" s="12"/>
      <c r="IJ152" s="12"/>
      <c r="IK152" s="12"/>
      <c r="IL152" s="12"/>
      <c r="IM152" s="12"/>
      <c r="IN152" s="12"/>
      <c r="IO152" s="12"/>
      <c r="IP152" s="12"/>
      <c r="IQ152" s="12"/>
      <c r="IR152" s="12"/>
      <c r="IS152" s="12"/>
      <c r="IT152" s="12"/>
      <c r="IU152" s="12"/>
      <c r="IV152" s="12"/>
      <c r="IW152" s="12"/>
    </row>
    <row r="153" customFormat="false" ht="11.25" hidden="false" customHeight="false" outlineLevel="0" collapsed="false">
      <c r="A153" s="25" t="n">
        <f aca="false">DATE(YEAR(A152),MONTH(A152)+1,1)</f>
        <v>50375</v>
      </c>
      <c r="B153" s="21" t="n">
        <v>2.508</v>
      </c>
      <c r="C153" s="21" t="n">
        <v>2.578</v>
      </c>
      <c r="D153" s="25" t="n">
        <f aca="false">DATE(YEAR(D152),MONTH(D152)+1,1)</f>
        <v>50375</v>
      </c>
      <c r="E153" s="21" t="n">
        <v>19.236</v>
      </c>
      <c r="F153" s="21" t="n">
        <v>20.149</v>
      </c>
      <c r="G153" s="6"/>
      <c r="H153" s="22" t="n">
        <f aca="false">A153</f>
        <v>50375</v>
      </c>
      <c r="I153" s="23" t="n">
        <f aca="false">IF($J$1="bid",B153,C153)</f>
        <v>2.578</v>
      </c>
      <c r="J153" s="24" t="n">
        <f aca="false">D153</f>
        <v>50375</v>
      </c>
      <c r="K153" s="23" t="n">
        <f aca="false">IF($J$1="bid",E153,F153)</f>
        <v>20.149</v>
      </c>
      <c r="L153" s="11"/>
      <c r="M153" s="11"/>
      <c r="N153" s="11"/>
      <c r="O153" s="11"/>
      <c r="P153" s="11"/>
      <c r="Q153" s="11"/>
      <c r="R153" s="11"/>
      <c r="S153" s="11"/>
      <c r="T153" s="11"/>
      <c r="U153" s="11"/>
      <c r="V153" s="11"/>
      <c r="W153" s="11"/>
      <c r="X153" s="11"/>
      <c r="Y153" s="11"/>
      <c r="Z153" s="11"/>
      <c r="AA153" s="11"/>
      <c r="AB153" s="11"/>
      <c r="AC153" s="11"/>
      <c r="AD153" s="11"/>
      <c r="AE153" s="11"/>
      <c r="AF153" s="11"/>
      <c r="AG153" s="11"/>
      <c r="AH153" s="11"/>
      <c r="AI153" s="11"/>
      <c r="AJ153" s="11"/>
      <c r="AK153" s="11"/>
      <c r="AL153" s="11"/>
      <c r="AM153" s="11"/>
      <c r="AN153" s="11"/>
      <c r="AO153" s="11"/>
      <c r="AP153" s="11"/>
      <c r="AQ153" s="11"/>
      <c r="AR153" s="5"/>
      <c r="AS153" s="12"/>
      <c r="AT153" s="12"/>
      <c r="AU153" s="12"/>
      <c r="AV153" s="12"/>
      <c r="AW153" s="12"/>
      <c r="AX153" s="12"/>
      <c r="AY153" s="12"/>
      <c r="AZ153" s="12"/>
      <c r="BA153" s="12"/>
      <c r="BB153" s="12"/>
      <c r="BC153" s="12"/>
      <c r="BD153" s="12"/>
      <c r="BE153" s="12"/>
      <c r="BF153" s="12"/>
      <c r="BG153" s="12"/>
      <c r="BH153" s="12"/>
      <c r="BI153" s="12"/>
      <c r="BJ153" s="12"/>
      <c r="BK153" s="12"/>
      <c r="BL153" s="12"/>
      <c r="BM153" s="12"/>
      <c r="BN153" s="12"/>
      <c r="BO153" s="12"/>
      <c r="BP153" s="12"/>
      <c r="BQ153" s="12"/>
      <c r="BR153" s="12"/>
      <c r="BS153" s="12"/>
      <c r="BT153" s="12"/>
      <c r="BU153" s="12"/>
      <c r="BV153" s="12"/>
      <c r="BW153" s="12"/>
      <c r="BX153" s="12"/>
      <c r="BY153" s="12"/>
      <c r="BZ153" s="12"/>
      <c r="CA153" s="12"/>
      <c r="CB153" s="12"/>
      <c r="CC153" s="12"/>
      <c r="CD153" s="12"/>
      <c r="CE153" s="12"/>
      <c r="CF153" s="12"/>
      <c r="CG153" s="12"/>
      <c r="CH153" s="12"/>
      <c r="CI153" s="12"/>
      <c r="CJ153" s="12"/>
      <c r="CK153" s="12"/>
      <c r="CL153" s="12"/>
      <c r="CM153" s="12"/>
      <c r="CN153" s="12"/>
      <c r="CO153" s="12"/>
      <c r="CP153" s="12"/>
      <c r="CQ153" s="12"/>
      <c r="CR153" s="12"/>
      <c r="CS153" s="12"/>
      <c r="CT153" s="12"/>
      <c r="CU153" s="12"/>
      <c r="CV153" s="12"/>
      <c r="CW153" s="12"/>
      <c r="CX153" s="12"/>
      <c r="CY153" s="12"/>
      <c r="CZ153" s="12"/>
      <c r="DA153" s="12"/>
      <c r="DB153" s="12"/>
      <c r="DC153" s="12"/>
      <c r="DD153" s="12"/>
      <c r="DE153" s="12"/>
      <c r="DF153" s="12"/>
      <c r="DG153" s="12"/>
      <c r="DH153" s="12"/>
      <c r="DI153" s="12"/>
      <c r="DJ153" s="12"/>
      <c r="DK153" s="12"/>
      <c r="DL153" s="12"/>
      <c r="DM153" s="12"/>
      <c r="DN153" s="12"/>
      <c r="DO153" s="12"/>
      <c r="DP153" s="12"/>
      <c r="DQ153" s="12"/>
      <c r="DR153" s="12"/>
      <c r="DS153" s="12"/>
      <c r="DT153" s="12"/>
      <c r="DU153" s="12"/>
      <c r="DV153" s="12"/>
      <c r="DW153" s="12"/>
      <c r="DX153" s="12"/>
      <c r="DY153" s="12"/>
      <c r="DZ153" s="12"/>
      <c r="EA153" s="12"/>
      <c r="EB153" s="12"/>
      <c r="EC153" s="12"/>
      <c r="ED153" s="12"/>
      <c r="EE153" s="12"/>
      <c r="EF153" s="12"/>
      <c r="EG153" s="12"/>
      <c r="EH153" s="12"/>
      <c r="EI153" s="12"/>
      <c r="EJ153" s="12"/>
      <c r="EK153" s="12"/>
      <c r="EL153" s="12"/>
      <c r="EM153" s="12"/>
      <c r="EN153" s="12"/>
      <c r="EO153" s="12"/>
      <c r="EP153" s="12"/>
      <c r="EQ153" s="12"/>
      <c r="ER153" s="12"/>
      <c r="ES153" s="12"/>
      <c r="ET153" s="12"/>
      <c r="EU153" s="12"/>
      <c r="EV153" s="12"/>
      <c r="EW153" s="12"/>
      <c r="EX153" s="12"/>
      <c r="EY153" s="12"/>
      <c r="EZ153" s="12"/>
      <c r="FA153" s="12"/>
      <c r="FB153" s="12"/>
      <c r="FC153" s="12"/>
      <c r="FD153" s="12"/>
      <c r="FE153" s="12"/>
      <c r="FF153" s="12"/>
      <c r="FG153" s="12"/>
      <c r="FH153" s="12"/>
      <c r="FI153" s="12"/>
      <c r="FJ153" s="12"/>
      <c r="FK153" s="12"/>
      <c r="FL153" s="12"/>
      <c r="FM153" s="12"/>
      <c r="FN153" s="12"/>
      <c r="FO153" s="12"/>
      <c r="FP153" s="12"/>
      <c r="FQ153" s="12"/>
      <c r="FR153" s="12"/>
      <c r="FS153" s="12"/>
      <c r="FT153" s="12"/>
      <c r="FU153" s="12"/>
      <c r="FV153" s="12"/>
      <c r="FW153" s="12"/>
      <c r="FX153" s="12"/>
      <c r="FY153" s="12"/>
      <c r="FZ153" s="12"/>
      <c r="GA153" s="12"/>
      <c r="GB153" s="12"/>
      <c r="GC153" s="12"/>
      <c r="GD153" s="12"/>
      <c r="GE153" s="12"/>
      <c r="GF153" s="12"/>
      <c r="GG153" s="12"/>
      <c r="GH153" s="12"/>
      <c r="GI153" s="12"/>
      <c r="GJ153" s="12"/>
      <c r="GK153" s="12"/>
      <c r="GL153" s="12"/>
      <c r="GM153" s="12"/>
      <c r="GN153" s="12"/>
      <c r="GO153" s="12"/>
      <c r="GP153" s="12"/>
      <c r="GQ153" s="12"/>
      <c r="GR153" s="12"/>
      <c r="GS153" s="12"/>
      <c r="GT153" s="12"/>
      <c r="GU153" s="12"/>
      <c r="GV153" s="12"/>
      <c r="GW153" s="12"/>
      <c r="GX153" s="12"/>
      <c r="GY153" s="12"/>
      <c r="GZ153" s="12"/>
      <c r="HA153" s="12"/>
      <c r="HB153" s="12"/>
      <c r="HC153" s="12"/>
      <c r="HD153" s="12"/>
      <c r="HE153" s="12"/>
      <c r="HF153" s="12"/>
      <c r="HG153" s="12"/>
      <c r="HH153" s="12"/>
      <c r="HI153" s="12"/>
      <c r="HJ153" s="12"/>
      <c r="HK153" s="12"/>
      <c r="HL153" s="12"/>
      <c r="HM153" s="12"/>
      <c r="HN153" s="12"/>
      <c r="HO153" s="12"/>
      <c r="HP153" s="12"/>
      <c r="HQ153" s="12"/>
      <c r="HR153" s="12"/>
      <c r="HS153" s="12"/>
      <c r="HT153" s="12"/>
      <c r="HU153" s="12"/>
      <c r="HV153" s="12"/>
      <c r="HW153" s="12"/>
      <c r="HX153" s="12"/>
      <c r="HY153" s="12"/>
      <c r="HZ153" s="12"/>
      <c r="IA153" s="12"/>
      <c r="IB153" s="12"/>
      <c r="IC153" s="12"/>
      <c r="ID153" s="12"/>
      <c r="IE153" s="12"/>
      <c r="IF153" s="12"/>
      <c r="IG153" s="12"/>
      <c r="IH153" s="12"/>
      <c r="II153" s="12"/>
      <c r="IJ153" s="12"/>
      <c r="IK153" s="12"/>
      <c r="IL153" s="12"/>
      <c r="IM153" s="12"/>
      <c r="IN153" s="12"/>
      <c r="IO153" s="12"/>
      <c r="IP153" s="12"/>
      <c r="IQ153" s="12"/>
      <c r="IR153" s="12"/>
      <c r="IS153" s="12"/>
      <c r="IT153" s="12"/>
      <c r="IU153" s="12"/>
      <c r="IV153" s="12"/>
      <c r="IW153" s="12"/>
    </row>
    <row r="154" customFormat="false" ht="11.25" hidden="false" customHeight="false" outlineLevel="0" collapsed="false">
      <c r="A154" s="25" t="n">
        <f aca="false">DATE(YEAR(A153),MONTH(A153)+1,1)</f>
        <v>50406</v>
      </c>
      <c r="B154" s="21" t="n">
        <v>2.442</v>
      </c>
      <c r="C154" s="21" t="n">
        <v>2.512</v>
      </c>
      <c r="D154" s="25" t="n">
        <f aca="false">DATE(YEAR(D153),MONTH(D153)+1,1)</f>
        <v>50406</v>
      </c>
      <c r="E154" s="21" t="n">
        <v>19.245</v>
      </c>
      <c r="F154" s="21" t="n">
        <v>20.166</v>
      </c>
      <c r="G154" s="6"/>
      <c r="H154" s="22" t="n">
        <f aca="false">A154</f>
        <v>50406</v>
      </c>
      <c r="I154" s="23" t="n">
        <f aca="false">IF($J$1="bid",B154,C154)</f>
        <v>2.512</v>
      </c>
      <c r="J154" s="24" t="n">
        <f aca="false">D154</f>
        <v>50406</v>
      </c>
      <c r="K154" s="23" t="n">
        <f aca="false">IF($J$1="bid",E154,F154)</f>
        <v>20.166</v>
      </c>
      <c r="L154" s="11"/>
      <c r="M154" s="11"/>
      <c r="N154" s="11"/>
      <c r="O154" s="11"/>
      <c r="P154" s="11"/>
      <c r="Q154" s="11"/>
      <c r="R154" s="11"/>
      <c r="S154" s="11"/>
      <c r="T154" s="11"/>
      <c r="U154" s="11"/>
      <c r="V154" s="11"/>
      <c r="W154" s="11"/>
      <c r="X154" s="11"/>
      <c r="Y154" s="11"/>
      <c r="Z154" s="11"/>
      <c r="AA154" s="11"/>
      <c r="AB154" s="11"/>
      <c r="AC154" s="11"/>
      <c r="AD154" s="11"/>
      <c r="AE154" s="11"/>
      <c r="AF154" s="11"/>
      <c r="AG154" s="11"/>
      <c r="AH154" s="11"/>
      <c r="AI154" s="11"/>
      <c r="AJ154" s="11"/>
      <c r="AK154" s="11"/>
      <c r="AL154" s="11"/>
      <c r="AM154" s="11"/>
      <c r="AN154" s="11"/>
      <c r="AO154" s="11"/>
      <c r="AP154" s="11"/>
      <c r="AQ154" s="11"/>
      <c r="AR154" s="5"/>
      <c r="AS154" s="12"/>
      <c r="AT154" s="12"/>
      <c r="AU154" s="12"/>
      <c r="AV154" s="12"/>
      <c r="AW154" s="12"/>
      <c r="AX154" s="12"/>
      <c r="AY154" s="12"/>
      <c r="AZ154" s="12"/>
      <c r="BA154" s="12"/>
      <c r="BB154" s="12"/>
      <c r="BC154" s="12"/>
      <c r="BD154" s="12"/>
      <c r="BE154" s="12"/>
      <c r="BF154" s="12"/>
      <c r="BG154" s="12"/>
      <c r="BH154" s="12"/>
      <c r="BI154" s="12"/>
      <c r="BJ154" s="12"/>
      <c r="BK154" s="12"/>
      <c r="BL154" s="12"/>
      <c r="BM154" s="12"/>
      <c r="BN154" s="12"/>
      <c r="BO154" s="12"/>
      <c r="BP154" s="12"/>
      <c r="BQ154" s="12"/>
      <c r="BR154" s="12"/>
      <c r="BS154" s="12"/>
      <c r="BT154" s="12"/>
      <c r="BU154" s="12"/>
      <c r="BV154" s="12"/>
      <c r="BW154" s="12"/>
      <c r="BX154" s="12"/>
      <c r="BY154" s="12"/>
      <c r="BZ154" s="12"/>
      <c r="CA154" s="12"/>
      <c r="CB154" s="12"/>
      <c r="CC154" s="12"/>
      <c r="CD154" s="12"/>
      <c r="CE154" s="12"/>
      <c r="CF154" s="12"/>
      <c r="CG154" s="12"/>
      <c r="CH154" s="12"/>
      <c r="CI154" s="12"/>
      <c r="CJ154" s="12"/>
      <c r="CK154" s="12"/>
      <c r="CL154" s="12"/>
      <c r="CM154" s="12"/>
      <c r="CN154" s="12"/>
      <c r="CO154" s="12"/>
      <c r="CP154" s="12"/>
      <c r="CQ154" s="12"/>
      <c r="CR154" s="12"/>
      <c r="CS154" s="12"/>
      <c r="CT154" s="12"/>
      <c r="CU154" s="12"/>
      <c r="CV154" s="12"/>
      <c r="CW154" s="12"/>
      <c r="CX154" s="12"/>
      <c r="CY154" s="12"/>
      <c r="CZ154" s="12"/>
      <c r="DA154" s="12"/>
      <c r="DB154" s="12"/>
      <c r="DC154" s="12"/>
      <c r="DD154" s="12"/>
      <c r="DE154" s="12"/>
      <c r="DF154" s="12"/>
      <c r="DG154" s="12"/>
      <c r="DH154" s="12"/>
      <c r="DI154" s="12"/>
      <c r="DJ154" s="12"/>
      <c r="DK154" s="12"/>
      <c r="DL154" s="12"/>
      <c r="DM154" s="12"/>
      <c r="DN154" s="12"/>
      <c r="DO154" s="12"/>
      <c r="DP154" s="12"/>
      <c r="DQ154" s="12"/>
      <c r="DR154" s="12"/>
      <c r="DS154" s="12"/>
      <c r="DT154" s="12"/>
      <c r="DU154" s="12"/>
      <c r="DV154" s="12"/>
      <c r="DW154" s="12"/>
      <c r="DX154" s="12"/>
      <c r="DY154" s="12"/>
      <c r="DZ154" s="12"/>
      <c r="EA154" s="12"/>
      <c r="EB154" s="12"/>
      <c r="EC154" s="12"/>
      <c r="ED154" s="12"/>
      <c r="EE154" s="12"/>
      <c r="EF154" s="12"/>
      <c r="EG154" s="12"/>
      <c r="EH154" s="12"/>
      <c r="EI154" s="12"/>
      <c r="EJ154" s="12"/>
      <c r="EK154" s="12"/>
      <c r="EL154" s="12"/>
      <c r="EM154" s="12"/>
      <c r="EN154" s="12"/>
      <c r="EO154" s="12"/>
      <c r="EP154" s="12"/>
      <c r="EQ154" s="12"/>
      <c r="ER154" s="12"/>
      <c r="ES154" s="12"/>
      <c r="ET154" s="12"/>
      <c r="EU154" s="12"/>
      <c r="EV154" s="12"/>
      <c r="EW154" s="12"/>
      <c r="EX154" s="12"/>
      <c r="EY154" s="12"/>
      <c r="EZ154" s="12"/>
      <c r="FA154" s="12"/>
      <c r="FB154" s="12"/>
      <c r="FC154" s="12"/>
      <c r="FD154" s="12"/>
      <c r="FE154" s="12"/>
      <c r="FF154" s="12"/>
      <c r="FG154" s="12"/>
      <c r="FH154" s="12"/>
      <c r="FI154" s="12"/>
      <c r="FJ154" s="12"/>
      <c r="FK154" s="12"/>
      <c r="FL154" s="12"/>
      <c r="FM154" s="12"/>
      <c r="FN154" s="12"/>
      <c r="FO154" s="12"/>
      <c r="FP154" s="12"/>
      <c r="FQ154" s="12"/>
      <c r="FR154" s="12"/>
      <c r="FS154" s="12"/>
      <c r="FT154" s="12"/>
      <c r="FU154" s="12"/>
      <c r="FV154" s="12"/>
      <c r="FW154" s="12"/>
      <c r="FX154" s="12"/>
      <c r="FY154" s="12"/>
      <c r="FZ154" s="12"/>
      <c r="GA154" s="12"/>
      <c r="GB154" s="12"/>
      <c r="GC154" s="12"/>
      <c r="GD154" s="12"/>
      <c r="GE154" s="12"/>
      <c r="GF154" s="12"/>
      <c r="GG154" s="12"/>
      <c r="GH154" s="12"/>
      <c r="GI154" s="12"/>
      <c r="GJ154" s="12"/>
      <c r="GK154" s="12"/>
      <c r="GL154" s="12"/>
      <c r="GM154" s="12"/>
      <c r="GN154" s="12"/>
      <c r="GO154" s="12"/>
      <c r="GP154" s="12"/>
      <c r="GQ154" s="12"/>
      <c r="GR154" s="12"/>
      <c r="GS154" s="12"/>
      <c r="GT154" s="12"/>
      <c r="GU154" s="12"/>
      <c r="GV154" s="12"/>
      <c r="GW154" s="12"/>
      <c r="GX154" s="12"/>
      <c r="GY154" s="12"/>
      <c r="GZ154" s="12"/>
      <c r="HA154" s="12"/>
      <c r="HB154" s="12"/>
      <c r="HC154" s="12"/>
      <c r="HD154" s="12"/>
      <c r="HE154" s="12"/>
      <c r="HF154" s="12"/>
      <c r="HG154" s="12"/>
      <c r="HH154" s="12"/>
      <c r="HI154" s="12"/>
      <c r="HJ154" s="12"/>
      <c r="HK154" s="12"/>
      <c r="HL154" s="12"/>
      <c r="HM154" s="12"/>
      <c r="HN154" s="12"/>
      <c r="HO154" s="12"/>
      <c r="HP154" s="12"/>
      <c r="HQ154" s="12"/>
      <c r="HR154" s="12"/>
      <c r="HS154" s="12"/>
      <c r="HT154" s="12"/>
      <c r="HU154" s="12"/>
      <c r="HV154" s="12"/>
      <c r="HW154" s="12"/>
      <c r="HX154" s="12"/>
      <c r="HY154" s="12"/>
      <c r="HZ154" s="12"/>
      <c r="IA154" s="12"/>
      <c r="IB154" s="12"/>
      <c r="IC154" s="12"/>
      <c r="ID154" s="12"/>
      <c r="IE154" s="12"/>
      <c r="IF154" s="12"/>
      <c r="IG154" s="12"/>
      <c r="IH154" s="12"/>
      <c r="II154" s="12"/>
      <c r="IJ154" s="12"/>
      <c r="IK154" s="12"/>
      <c r="IL154" s="12"/>
      <c r="IM154" s="12"/>
      <c r="IN154" s="12"/>
      <c r="IO154" s="12"/>
      <c r="IP154" s="12"/>
      <c r="IQ154" s="12"/>
      <c r="IR154" s="12"/>
      <c r="IS154" s="12"/>
      <c r="IT154" s="12"/>
      <c r="IU154" s="12"/>
      <c r="IV154" s="12"/>
      <c r="IW154" s="12"/>
    </row>
    <row r="155" customFormat="false" ht="11.25" hidden="false" customHeight="false" outlineLevel="0" collapsed="false">
      <c r="A155" s="25" t="n">
        <f aca="false">DATE(YEAR(A154),MONTH(A154)+1,1)</f>
        <v>50437</v>
      </c>
      <c r="B155" s="21" t="n">
        <v>2.393</v>
      </c>
      <c r="C155" s="21" t="n">
        <v>2.463</v>
      </c>
      <c r="D155" s="25" t="n">
        <f aca="false">DATE(YEAR(D154),MONTH(D154)+1,1)</f>
        <v>50437</v>
      </c>
      <c r="E155" s="21" t="n">
        <v>19.255</v>
      </c>
      <c r="F155" s="21" t="n">
        <v>20.185</v>
      </c>
      <c r="G155" s="6"/>
      <c r="H155" s="22" t="n">
        <f aca="false">A155</f>
        <v>50437</v>
      </c>
      <c r="I155" s="23" t="n">
        <f aca="false">IF($J$1="bid",B155,C155)</f>
        <v>2.463</v>
      </c>
      <c r="J155" s="24" t="n">
        <f aca="false">D155</f>
        <v>50437</v>
      </c>
      <c r="K155" s="23" t="n">
        <f aca="false">IF($J$1="bid",E155,F155)</f>
        <v>20.185</v>
      </c>
      <c r="L155" s="11"/>
      <c r="M155" s="11"/>
      <c r="N155" s="11"/>
      <c r="O155" s="11"/>
      <c r="P155" s="11"/>
      <c r="Q155" s="11"/>
      <c r="R155" s="11"/>
      <c r="S155" s="11"/>
      <c r="T155" s="11"/>
      <c r="U155" s="11"/>
      <c r="V155" s="11"/>
      <c r="W155" s="11"/>
      <c r="X155" s="11"/>
      <c r="Y155" s="11"/>
      <c r="Z155" s="11"/>
      <c r="AA155" s="11"/>
      <c r="AB155" s="11"/>
      <c r="AC155" s="11"/>
      <c r="AD155" s="11"/>
      <c r="AE155" s="11"/>
      <c r="AF155" s="11"/>
      <c r="AG155" s="11"/>
      <c r="AH155" s="11"/>
      <c r="AI155" s="11"/>
      <c r="AJ155" s="11"/>
      <c r="AK155" s="11"/>
      <c r="AL155" s="11"/>
      <c r="AM155" s="11"/>
      <c r="AN155" s="11"/>
      <c r="AO155" s="11"/>
      <c r="AP155" s="11"/>
      <c r="AQ155" s="11"/>
      <c r="AR155" s="5"/>
      <c r="AS155" s="12"/>
      <c r="AT155" s="12"/>
      <c r="AU155" s="12"/>
      <c r="AV155" s="12"/>
      <c r="AW155" s="12"/>
      <c r="AX155" s="12"/>
      <c r="AY155" s="12"/>
      <c r="AZ155" s="12"/>
      <c r="BA155" s="12"/>
      <c r="BB155" s="12"/>
      <c r="BC155" s="12"/>
      <c r="BD155" s="12"/>
      <c r="BE155" s="12"/>
      <c r="BF155" s="12"/>
      <c r="BG155" s="12"/>
      <c r="BH155" s="12"/>
      <c r="BI155" s="12"/>
      <c r="BJ155" s="12"/>
      <c r="BK155" s="12"/>
      <c r="BL155" s="12"/>
      <c r="BM155" s="12"/>
      <c r="BN155" s="12"/>
      <c r="BO155" s="12"/>
      <c r="BP155" s="12"/>
      <c r="BQ155" s="12"/>
      <c r="BR155" s="12"/>
      <c r="BS155" s="12"/>
      <c r="BT155" s="12"/>
      <c r="BU155" s="12"/>
      <c r="BV155" s="12"/>
      <c r="BW155" s="12"/>
      <c r="BX155" s="12"/>
      <c r="BY155" s="12"/>
      <c r="BZ155" s="12"/>
      <c r="CA155" s="12"/>
      <c r="CB155" s="12"/>
      <c r="CC155" s="12"/>
      <c r="CD155" s="12"/>
      <c r="CE155" s="12"/>
      <c r="CF155" s="12"/>
      <c r="CG155" s="12"/>
      <c r="CH155" s="12"/>
      <c r="CI155" s="12"/>
      <c r="CJ155" s="12"/>
      <c r="CK155" s="12"/>
      <c r="CL155" s="12"/>
      <c r="CM155" s="12"/>
      <c r="CN155" s="12"/>
      <c r="CO155" s="12"/>
      <c r="CP155" s="12"/>
      <c r="CQ155" s="12"/>
      <c r="CR155" s="12"/>
      <c r="CS155" s="12"/>
      <c r="CT155" s="12"/>
      <c r="CU155" s="12"/>
      <c r="CV155" s="12"/>
      <c r="CW155" s="12"/>
      <c r="CX155" s="12"/>
      <c r="CY155" s="12"/>
      <c r="CZ155" s="12"/>
      <c r="DA155" s="12"/>
      <c r="DB155" s="12"/>
      <c r="DC155" s="12"/>
      <c r="DD155" s="12"/>
      <c r="DE155" s="12"/>
      <c r="DF155" s="12"/>
      <c r="DG155" s="12"/>
      <c r="DH155" s="12"/>
      <c r="DI155" s="12"/>
      <c r="DJ155" s="12"/>
      <c r="DK155" s="12"/>
      <c r="DL155" s="12"/>
      <c r="DM155" s="12"/>
      <c r="DN155" s="12"/>
      <c r="DO155" s="12"/>
      <c r="DP155" s="12"/>
      <c r="DQ155" s="12"/>
      <c r="DR155" s="12"/>
      <c r="DS155" s="12"/>
      <c r="DT155" s="12"/>
      <c r="DU155" s="12"/>
      <c r="DV155" s="12"/>
      <c r="DW155" s="12"/>
      <c r="DX155" s="12"/>
      <c r="DY155" s="12"/>
      <c r="DZ155" s="12"/>
      <c r="EA155" s="12"/>
      <c r="EB155" s="12"/>
      <c r="EC155" s="12"/>
      <c r="ED155" s="12"/>
      <c r="EE155" s="12"/>
      <c r="EF155" s="12"/>
      <c r="EG155" s="12"/>
      <c r="EH155" s="12"/>
      <c r="EI155" s="12"/>
      <c r="EJ155" s="12"/>
      <c r="EK155" s="12"/>
      <c r="EL155" s="12"/>
      <c r="EM155" s="12"/>
      <c r="EN155" s="12"/>
      <c r="EO155" s="12"/>
      <c r="EP155" s="12"/>
      <c r="EQ155" s="12"/>
      <c r="ER155" s="12"/>
      <c r="ES155" s="12"/>
      <c r="ET155" s="12"/>
      <c r="EU155" s="12"/>
      <c r="EV155" s="12"/>
      <c r="EW155" s="12"/>
      <c r="EX155" s="12"/>
      <c r="EY155" s="12"/>
      <c r="EZ155" s="12"/>
      <c r="FA155" s="12"/>
      <c r="FB155" s="12"/>
      <c r="FC155" s="12"/>
      <c r="FD155" s="12"/>
      <c r="FE155" s="12"/>
      <c r="FF155" s="12"/>
      <c r="FG155" s="12"/>
      <c r="FH155" s="12"/>
      <c r="FI155" s="12"/>
      <c r="FJ155" s="12"/>
      <c r="FK155" s="12"/>
      <c r="FL155" s="12"/>
      <c r="FM155" s="12"/>
      <c r="FN155" s="12"/>
      <c r="FO155" s="12"/>
      <c r="FP155" s="12"/>
      <c r="FQ155" s="12"/>
      <c r="FR155" s="12"/>
      <c r="FS155" s="12"/>
      <c r="FT155" s="12"/>
      <c r="FU155" s="12"/>
      <c r="FV155" s="12"/>
      <c r="FW155" s="12"/>
      <c r="FX155" s="12"/>
      <c r="FY155" s="12"/>
      <c r="FZ155" s="12"/>
      <c r="GA155" s="12"/>
      <c r="GB155" s="12"/>
      <c r="GC155" s="12"/>
      <c r="GD155" s="12"/>
      <c r="GE155" s="12"/>
      <c r="GF155" s="12"/>
      <c r="GG155" s="12"/>
      <c r="GH155" s="12"/>
      <c r="GI155" s="12"/>
      <c r="GJ155" s="12"/>
      <c r="GK155" s="12"/>
      <c r="GL155" s="12"/>
      <c r="GM155" s="12"/>
      <c r="GN155" s="12"/>
      <c r="GO155" s="12"/>
      <c r="GP155" s="12"/>
      <c r="GQ155" s="12"/>
      <c r="GR155" s="12"/>
      <c r="GS155" s="12"/>
      <c r="GT155" s="12"/>
      <c r="GU155" s="12"/>
      <c r="GV155" s="12"/>
      <c r="GW155" s="12"/>
      <c r="GX155" s="12"/>
      <c r="GY155" s="12"/>
      <c r="GZ155" s="12"/>
      <c r="HA155" s="12"/>
      <c r="HB155" s="12"/>
      <c r="HC155" s="12"/>
      <c r="HD155" s="12"/>
      <c r="HE155" s="12"/>
      <c r="HF155" s="12"/>
      <c r="HG155" s="12"/>
      <c r="HH155" s="12"/>
      <c r="HI155" s="12"/>
      <c r="HJ155" s="12"/>
      <c r="HK155" s="12"/>
      <c r="HL155" s="12"/>
      <c r="HM155" s="12"/>
      <c r="HN155" s="12"/>
      <c r="HO155" s="12"/>
      <c r="HP155" s="12"/>
      <c r="HQ155" s="12"/>
      <c r="HR155" s="12"/>
      <c r="HS155" s="12"/>
      <c r="HT155" s="12"/>
      <c r="HU155" s="12"/>
      <c r="HV155" s="12"/>
      <c r="HW155" s="12"/>
      <c r="HX155" s="12"/>
      <c r="HY155" s="12"/>
      <c r="HZ155" s="12"/>
      <c r="IA155" s="12"/>
      <c r="IB155" s="12"/>
      <c r="IC155" s="12"/>
      <c r="ID155" s="12"/>
      <c r="IE155" s="12"/>
      <c r="IF155" s="12"/>
      <c r="IG155" s="12"/>
      <c r="IH155" s="12"/>
      <c r="II155" s="12"/>
      <c r="IJ155" s="12"/>
      <c r="IK155" s="12"/>
      <c r="IL155" s="12"/>
      <c r="IM155" s="12"/>
      <c r="IN155" s="12"/>
      <c r="IO155" s="12"/>
      <c r="IP155" s="12"/>
      <c r="IQ155" s="12"/>
      <c r="IR155" s="12"/>
      <c r="IS155" s="12"/>
      <c r="IT155" s="12"/>
      <c r="IU155" s="12"/>
      <c r="IV155" s="12"/>
      <c r="IW155" s="12"/>
    </row>
    <row r="156" customFormat="false" ht="11.25" hidden="false" customHeight="false" outlineLevel="0" collapsed="false">
      <c r="A156" s="25" t="n">
        <f aca="false">DATE(YEAR(A155),MONTH(A155)+1,1)</f>
        <v>50465</v>
      </c>
      <c r="B156" s="21" t="n">
        <v>2.38</v>
      </c>
      <c r="C156" s="21" t="n">
        <v>2.45</v>
      </c>
      <c r="D156" s="25" t="n">
        <f aca="false">DATE(YEAR(D155),MONTH(D155)+1,1)</f>
        <v>50465</v>
      </c>
      <c r="E156" s="21" t="n">
        <v>19.263</v>
      </c>
      <c r="F156" s="21" t="n">
        <v>20.201</v>
      </c>
      <c r="G156" s="6"/>
      <c r="H156" s="22" t="n">
        <f aca="false">A156</f>
        <v>50465</v>
      </c>
      <c r="I156" s="23" t="n">
        <f aca="false">IF($J$1="bid",B156,C156)</f>
        <v>2.45</v>
      </c>
      <c r="J156" s="24" t="n">
        <f aca="false">D156</f>
        <v>50465</v>
      </c>
      <c r="K156" s="23" t="n">
        <f aca="false">IF($J$1="bid",E156,F156)</f>
        <v>20.201</v>
      </c>
      <c r="L156" s="11"/>
      <c r="M156" s="11"/>
      <c r="N156" s="11"/>
      <c r="O156" s="11"/>
      <c r="P156" s="11"/>
      <c r="Q156" s="11"/>
      <c r="R156" s="11"/>
      <c r="S156" s="11"/>
      <c r="T156" s="11"/>
      <c r="U156" s="11"/>
      <c r="V156" s="11"/>
      <c r="W156" s="11"/>
      <c r="X156" s="11"/>
      <c r="Y156" s="11"/>
      <c r="Z156" s="11"/>
      <c r="AA156" s="11"/>
      <c r="AB156" s="11"/>
      <c r="AC156" s="11"/>
      <c r="AD156" s="11"/>
      <c r="AE156" s="11"/>
      <c r="AF156" s="11"/>
      <c r="AG156" s="11"/>
      <c r="AH156" s="11"/>
      <c r="AI156" s="11"/>
      <c r="AJ156" s="11"/>
      <c r="AK156" s="11"/>
      <c r="AL156" s="11"/>
      <c r="AM156" s="11"/>
      <c r="AN156" s="11"/>
      <c r="AO156" s="11"/>
      <c r="AP156" s="11"/>
      <c r="AQ156" s="11"/>
      <c r="AR156" s="5"/>
      <c r="AS156" s="12"/>
      <c r="AT156" s="12"/>
      <c r="AU156" s="12"/>
      <c r="AV156" s="12"/>
      <c r="AW156" s="12"/>
      <c r="AX156" s="12"/>
      <c r="AY156" s="12"/>
      <c r="AZ156" s="12"/>
      <c r="BA156" s="12"/>
      <c r="BB156" s="12"/>
      <c r="BC156" s="12"/>
      <c r="BD156" s="12"/>
      <c r="BE156" s="12"/>
      <c r="BF156" s="12"/>
      <c r="BG156" s="12"/>
      <c r="BH156" s="12"/>
      <c r="BI156" s="12"/>
      <c r="BJ156" s="12"/>
      <c r="BK156" s="12"/>
      <c r="BL156" s="12"/>
      <c r="BM156" s="12"/>
      <c r="BN156" s="12"/>
      <c r="BO156" s="12"/>
      <c r="BP156" s="12"/>
      <c r="BQ156" s="12"/>
      <c r="BR156" s="12"/>
      <c r="BS156" s="12"/>
      <c r="BT156" s="12"/>
      <c r="BU156" s="12"/>
      <c r="BV156" s="12"/>
      <c r="BW156" s="12"/>
      <c r="BX156" s="12"/>
      <c r="BY156" s="12"/>
      <c r="BZ156" s="12"/>
      <c r="CA156" s="12"/>
      <c r="CB156" s="12"/>
      <c r="CC156" s="12"/>
      <c r="CD156" s="12"/>
      <c r="CE156" s="12"/>
      <c r="CF156" s="12"/>
      <c r="CG156" s="12"/>
      <c r="CH156" s="12"/>
      <c r="CI156" s="12"/>
      <c r="CJ156" s="12"/>
      <c r="CK156" s="12"/>
      <c r="CL156" s="12"/>
      <c r="CM156" s="12"/>
      <c r="CN156" s="12"/>
      <c r="CO156" s="12"/>
      <c r="CP156" s="12"/>
      <c r="CQ156" s="12"/>
      <c r="CR156" s="12"/>
      <c r="CS156" s="12"/>
      <c r="CT156" s="12"/>
      <c r="CU156" s="12"/>
      <c r="CV156" s="12"/>
      <c r="CW156" s="12"/>
      <c r="CX156" s="12"/>
      <c r="CY156" s="12"/>
      <c r="CZ156" s="12"/>
      <c r="DA156" s="12"/>
      <c r="DB156" s="12"/>
      <c r="DC156" s="12"/>
      <c r="DD156" s="12"/>
      <c r="DE156" s="12"/>
      <c r="DF156" s="12"/>
      <c r="DG156" s="12"/>
      <c r="DH156" s="12"/>
      <c r="DI156" s="12"/>
      <c r="DJ156" s="12"/>
      <c r="DK156" s="12"/>
      <c r="DL156" s="12"/>
      <c r="DM156" s="12"/>
      <c r="DN156" s="12"/>
      <c r="DO156" s="12"/>
      <c r="DP156" s="12"/>
      <c r="DQ156" s="12"/>
      <c r="DR156" s="12"/>
      <c r="DS156" s="12"/>
      <c r="DT156" s="12"/>
      <c r="DU156" s="12"/>
      <c r="DV156" s="12"/>
      <c r="DW156" s="12"/>
      <c r="DX156" s="12"/>
      <c r="DY156" s="12"/>
      <c r="DZ156" s="12"/>
      <c r="EA156" s="12"/>
      <c r="EB156" s="12"/>
      <c r="EC156" s="12"/>
      <c r="ED156" s="12"/>
      <c r="EE156" s="12"/>
      <c r="EF156" s="12"/>
      <c r="EG156" s="12"/>
      <c r="EH156" s="12"/>
      <c r="EI156" s="12"/>
      <c r="EJ156" s="12"/>
      <c r="EK156" s="12"/>
      <c r="EL156" s="12"/>
      <c r="EM156" s="12"/>
      <c r="EN156" s="12"/>
      <c r="EO156" s="12"/>
      <c r="EP156" s="12"/>
      <c r="EQ156" s="12"/>
      <c r="ER156" s="12"/>
      <c r="ES156" s="12"/>
      <c r="ET156" s="12"/>
      <c r="EU156" s="12"/>
      <c r="EV156" s="12"/>
      <c r="EW156" s="12"/>
      <c r="EX156" s="12"/>
      <c r="EY156" s="12"/>
      <c r="EZ156" s="12"/>
      <c r="FA156" s="12"/>
      <c r="FB156" s="12"/>
      <c r="FC156" s="12"/>
      <c r="FD156" s="12"/>
      <c r="FE156" s="12"/>
      <c r="FF156" s="12"/>
      <c r="FG156" s="12"/>
      <c r="FH156" s="12"/>
      <c r="FI156" s="12"/>
      <c r="FJ156" s="12"/>
      <c r="FK156" s="12"/>
      <c r="FL156" s="12"/>
      <c r="FM156" s="12"/>
      <c r="FN156" s="12"/>
      <c r="FO156" s="12"/>
      <c r="FP156" s="12"/>
      <c r="FQ156" s="12"/>
      <c r="FR156" s="12"/>
      <c r="FS156" s="12"/>
      <c r="FT156" s="12"/>
      <c r="FU156" s="12"/>
      <c r="FV156" s="12"/>
      <c r="FW156" s="12"/>
      <c r="FX156" s="12"/>
      <c r="FY156" s="12"/>
      <c r="FZ156" s="12"/>
      <c r="GA156" s="12"/>
      <c r="GB156" s="12"/>
      <c r="GC156" s="12"/>
      <c r="GD156" s="12"/>
      <c r="GE156" s="12"/>
      <c r="GF156" s="12"/>
      <c r="GG156" s="12"/>
      <c r="GH156" s="12"/>
      <c r="GI156" s="12"/>
      <c r="GJ156" s="12"/>
      <c r="GK156" s="12"/>
      <c r="GL156" s="12"/>
      <c r="GM156" s="12"/>
      <c r="GN156" s="12"/>
      <c r="GO156" s="12"/>
      <c r="GP156" s="12"/>
      <c r="GQ156" s="12"/>
      <c r="GR156" s="12"/>
      <c r="GS156" s="12"/>
      <c r="GT156" s="12"/>
      <c r="GU156" s="12"/>
      <c r="GV156" s="12"/>
      <c r="GW156" s="12"/>
      <c r="GX156" s="12"/>
      <c r="GY156" s="12"/>
      <c r="GZ156" s="12"/>
      <c r="HA156" s="12"/>
      <c r="HB156" s="12"/>
      <c r="HC156" s="12"/>
      <c r="HD156" s="12"/>
      <c r="HE156" s="12"/>
      <c r="HF156" s="12"/>
      <c r="HG156" s="12"/>
      <c r="HH156" s="12"/>
      <c r="HI156" s="12"/>
      <c r="HJ156" s="12"/>
      <c r="HK156" s="12"/>
      <c r="HL156" s="12"/>
      <c r="HM156" s="12"/>
      <c r="HN156" s="12"/>
      <c r="HO156" s="12"/>
      <c r="HP156" s="12"/>
      <c r="HQ156" s="12"/>
      <c r="HR156" s="12"/>
      <c r="HS156" s="12"/>
      <c r="HT156" s="12"/>
      <c r="HU156" s="12"/>
      <c r="HV156" s="12"/>
      <c r="HW156" s="12"/>
      <c r="HX156" s="12"/>
      <c r="HY156" s="12"/>
      <c r="HZ156" s="12"/>
      <c r="IA156" s="12"/>
      <c r="IB156" s="12"/>
      <c r="IC156" s="12"/>
      <c r="ID156" s="12"/>
      <c r="IE156" s="12"/>
      <c r="IF156" s="12"/>
      <c r="IG156" s="12"/>
      <c r="IH156" s="12"/>
      <c r="II156" s="12"/>
      <c r="IJ156" s="12"/>
      <c r="IK156" s="12"/>
      <c r="IL156" s="12"/>
      <c r="IM156" s="12"/>
      <c r="IN156" s="12"/>
      <c r="IO156" s="12"/>
      <c r="IP156" s="12"/>
      <c r="IQ156" s="12"/>
      <c r="IR156" s="12"/>
      <c r="IS156" s="12"/>
      <c r="IT156" s="12"/>
      <c r="IU156" s="12"/>
      <c r="IV156" s="12"/>
      <c r="IW156" s="12"/>
    </row>
    <row r="157" customFormat="false" ht="11.25" hidden="false" customHeight="false" outlineLevel="0" collapsed="false">
      <c r="A157" s="25" t="n">
        <f aca="false">DATE(YEAR(A156),MONTH(A156)+1,1)</f>
        <v>50496</v>
      </c>
      <c r="B157" s="21" t="n">
        <v>2.388</v>
      </c>
      <c r="C157" s="21" t="n">
        <v>2.458</v>
      </c>
      <c r="D157" s="25" t="n">
        <f aca="false">DATE(YEAR(D156),MONTH(D156)+1,1)</f>
        <v>50496</v>
      </c>
      <c r="E157" s="21" t="n">
        <v>19.272</v>
      </c>
      <c r="F157" s="21" t="n">
        <v>20.218</v>
      </c>
      <c r="G157" s="6"/>
      <c r="H157" s="22" t="n">
        <f aca="false">A157</f>
        <v>50496</v>
      </c>
      <c r="I157" s="23" t="n">
        <f aca="false">IF($J$1="bid",B157,C157)</f>
        <v>2.458</v>
      </c>
      <c r="J157" s="24" t="n">
        <f aca="false">D157</f>
        <v>50496</v>
      </c>
      <c r="K157" s="23" t="n">
        <f aca="false">IF($J$1="bid",E157,F157)</f>
        <v>20.218</v>
      </c>
      <c r="L157" s="11"/>
      <c r="M157" s="11"/>
      <c r="N157" s="11"/>
      <c r="O157" s="11"/>
      <c r="P157" s="11"/>
      <c r="Q157" s="11"/>
      <c r="R157" s="11"/>
      <c r="S157" s="11"/>
      <c r="T157" s="11"/>
      <c r="U157" s="11"/>
      <c r="V157" s="11"/>
      <c r="W157" s="11"/>
      <c r="X157" s="11"/>
      <c r="Y157" s="11"/>
      <c r="Z157" s="11"/>
      <c r="AA157" s="11"/>
      <c r="AB157" s="11"/>
      <c r="AC157" s="11"/>
      <c r="AD157" s="11"/>
      <c r="AE157" s="11"/>
      <c r="AF157" s="11"/>
      <c r="AG157" s="11"/>
      <c r="AH157" s="11"/>
      <c r="AI157" s="11"/>
      <c r="AJ157" s="11"/>
      <c r="AK157" s="11"/>
      <c r="AL157" s="11"/>
      <c r="AM157" s="11"/>
      <c r="AN157" s="11"/>
      <c r="AO157" s="11"/>
      <c r="AP157" s="11"/>
      <c r="AQ157" s="11"/>
      <c r="AR157" s="5"/>
      <c r="AS157" s="12"/>
      <c r="AT157" s="12"/>
      <c r="AU157" s="12"/>
      <c r="AV157" s="12"/>
      <c r="AW157" s="12"/>
      <c r="AX157" s="12"/>
      <c r="AY157" s="12"/>
      <c r="AZ157" s="12"/>
      <c r="BA157" s="12"/>
      <c r="BB157" s="12"/>
      <c r="BC157" s="12"/>
      <c r="BD157" s="12"/>
      <c r="BE157" s="12"/>
      <c r="BF157" s="12"/>
      <c r="BG157" s="12"/>
      <c r="BH157" s="12"/>
      <c r="BI157" s="12"/>
      <c r="BJ157" s="12"/>
      <c r="BK157" s="12"/>
      <c r="BL157" s="12"/>
      <c r="BM157" s="12"/>
      <c r="BN157" s="12"/>
      <c r="BO157" s="12"/>
      <c r="BP157" s="12"/>
      <c r="BQ157" s="12"/>
      <c r="BR157" s="12"/>
      <c r="BS157" s="12"/>
      <c r="BT157" s="12"/>
      <c r="BU157" s="12"/>
      <c r="BV157" s="12"/>
      <c r="BW157" s="12"/>
      <c r="BX157" s="12"/>
      <c r="BY157" s="12"/>
      <c r="BZ157" s="12"/>
      <c r="CA157" s="12"/>
      <c r="CB157" s="12"/>
      <c r="CC157" s="12"/>
      <c r="CD157" s="12"/>
      <c r="CE157" s="12"/>
      <c r="CF157" s="12"/>
      <c r="CG157" s="12"/>
      <c r="CH157" s="12"/>
      <c r="CI157" s="12"/>
      <c r="CJ157" s="12"/>
      <c r="CK157" s="12"/>
      <c r="CL157" s="12"/>
      <c r="CM157" s="12"/>
      <c r="CN157" s="12"/>
      <c r="CO157" s="12"/>
      <c r="CP157" s="12"/>
      <c r="CQ157" s="12"/>
      <c r="CR157" s="12"/>
      <c r="CS157" s="12"/>
      <c r="CT157" s="12"/>
      <c r="CU157" s="12"/>
      <c r="CV157" s="12"/>
      <c r="CW157" s="12"/>
      <c r="CX157" s="12"/>
      <c r="CY157" s="12"/>
      <c r="CZ157" s="12"/>
      <c r="DA157" s="12"/>
      <c r="DB157" s="12"/>
      <c r="DC157" s="12"/>
      <c r="DD157" s="12"/>
      <c r="DE157" s="12"/>
      <c r="DF157" s="12"/>
      <c r="DG157" s="12"/>
      <c r="DH157" s="12"/>
      <c r="DI157" s="12"/>
      <c r="DJ157" s="12"/>
      <c r="DK157" s="12"/>
      <c r="DL157" s="12"/>
      <c r="DM157" s="12"/>
      <c r="DN157" s="12"/>
      <c r="DO157" s="12"/>
      <c r="DP157" s="12"/>
      <c r="DQ157" s="12"/>
      <c r="DR157" s="12"/>
      <c r="DS157" s="12"/>
      <c r="DT157" s="12"/>
      <c r="DU157" s="12"/>
      <c r="DV157" s="12"/>
      <c r="DW157" s="12"/>
      <c r="DX157" s="12"/>
      <c r="DY157" s="12"/>
      <c r="DZ157" s="12"/>
      <c r="EA157" s="12"/>
      <c r="EB157" s="12"/>
      <c r="EC157" s="12"/>
      <c r="ED157" s="12"/>
      <c r="EE157" s="12"/>
      <c r="EF157" s="12"/>
      <c r="EG157" s="12"/>
      <c r="EH157" s="12"/>
      <c r="EI157" s="12"/>
      <c r="EJ157" s="12"/>
      <c r="EK157" s="12"/>
      <c r="EL157" s="12"/>
      <c r="EM157" s="12"/>
      <c r="EN157" s="12"/>
      <c r="EO157" s="12"/>
      <c r="EP157" s="12"/>
      <c r="EQ157" s="12"/>
      <c r="ER157" s="12"/>
      <c r="ES157" s="12"/>
      <c r="ET157" s="12"/>
      <c r="EU157" s="12"/>
      <c r="EV157" s="12"/>
      <c r="EW157" s="12"/>
      <c r="EX157" s="12"/>
      <c r="EY157" s="12"/>
      <c r="EZ157" s="12"/>
      <c r="FA157" s="12"/>
      <c r="FB157" s="12"/>
      <c r="FC157" s="12"/>
      <c r="FD157" s="12"/>
      <c r="FE157" s="12"/>
      <c r="FF157" s="12"/>
      <c r="FG157" s="12"/>
      <c r="FH157" s="12"/>
      <c r="FI157" s="12"/>
      <c r="FJ157" s="12"/>
      <c r="FK157" s="12"/>
      <c r="FL157" s="12"/>
      <c r="FM157" s="12"/>
      <c r="FN157" s="12"/>
      <c r="FO157" s="12"/>
      <c r="FP157" s="12"/>
      <c r="FQ157" s="12"/>
      <c r="FR157" s="12"/>
      <c r="FS157" s="12"/>
      <c r="FT157" s="12"/>
      <c r="FU157" s="12"/>
      <c r="FV157" s="12"/>
      <c r="FW157" s="12"/>
      <c r="FX157" s="12"/>
      <c r="FY157" s="12"/>
      <c r="FZ157" s="12"/>
      <c r="GA157" s="12"/>
      <c r="GB157" s="12"/>
      <c r="GC157" s="12"/>
      <c r="GD157" s="12"/>
      <c r="GE157" s="12"/>
      <c r="GF157" s="12"/>
      <c r="GG157" s="12"/>
      <c r="GH157" s="12"/>
      <c r="GI157" s="12"/>
      <c r="GJ157" s="12"/>
      <c r="GK157" s="12"/>
      <c r="GL157" s="12"/>
      <c r="GM157" s="12"/>
      <c r="GN157" s="12"/>
      <c r="GO157" s="12"/>
      <c r="GP157" s="12"/>
      <c r="GQ157" s="12"/>
      <c r="GR157" s="12"/>
      <c r="GS157" s="12"/>
      <c r="GT157" s="12"/>
      <c r="GU157" s="12"/>
      <c r="GV157" s="12"/>
      <c r="GW157" s="12"/>
      <c r="GX157" s="12"/>
      <c r="GY157" s="12"/>
      <c r="GZ157" s="12"/>
      <c r="HA157" s="12"/>
      <c r="HB157" s="12"/>
      <c r="HC157" s="12"/>
      <c r="HD157" s="12"/>
      <c r="HE157" s="12"/>
      <c r="HF157" s="12"/>
      <c r="HG157" s="12"/>
      <c r="HH157" s="12"/>
      <c r="HI157" s="12"/>
      <c r="HJ157" s="12"/>
      <c r="HK157" s="12"/>
      <c r="HL157" s="12"/>
      <c r="HM157" s="12"/>
      <c r="HN157" s="12"/>
      <c r="HO157" s="12"/>
      <c r="HP157" s="12"/>
      <c r="HQ157" s="12"/>
      <c r="HR157" s="12"/>
      <c r="HS157" s="12"/>
      <c r="HT157" s="12"/>
      <c r="HU157" s="12"/>
      <c r="HV157" s="12"/>
      <c r="HW157" s="12"/>
      <c r="HX157" s="12"/>
      <c r="HY157" s="12"/>
      <c r="HZ157" s="12"/>
      <c r="IA157" s="12"/>
      <c r="IB157" s="12"/>
      <c r="IC157" s="12"/>
      <c r="ID157" s="12"/>
      <c r="IE157" s="12"/>
      <c r="IF157" s="12"/>
      <c r="IG157" s="12"/>
      <c r="IH157" s="12"/>
      <c r="II157" s="12"/>
      <c r="IJ157" s="12"/>
      <c r="IK157" s="12"/>
      <c r="IL157" s="12"/>
      <c r="IM157" s="12"/>
      <c r="IN157" s="12"/>
      <c r="IO157" s="12"/>
      <c r="IP157" s="12"/>
      <c r="IQ157" s="12"/>
      <c r="IR157" s="12"/>
      <c r="IS157" s="12"/>
      <c r="IT157" s="12"/>
      <c r="IU157" s="12"/>
      <c r="IV157" s="12"/>
      <c r="IW157" s="12"/>
    </row>
    <row r="158" customFormat="false" ht="11.25" hidden="false" customHeight="false" outlineLevel="0" collapsed="false">
      <c r="A158" s="25" t="n">
        <f aca="false">DATE(YEAR(A157),MONTH(A157)+1,1)</f>
        <v>50526</v>
      </c>
      <c r="B158" s="21" t="n">
        <v>2.38</v>
      </c>
      <c r="C158" s="21" t="n">
        <v>2.45</v>
      </c>
      <c r="D158" s="25" t="n">
        <f aca="false">DATE(YEAR(D157),MONTH(D157)+1,1)</f>
        <v>50526</v>
      </c>
      <c r="E158" s="21" t="n">
        <v>19.282</v>
      </c>
      <c r="F158" s="21" t="n">
        <v>20.237</v>
      </c>
      <c r="G158" s="6"/>
      <c r="H158" s="22" t="n">
        <f aca="false">A158</f>
        <v>50526</v>
      </c>
      <c r="I158" s="23" t="n">
        <f aca="false">IF($J$1="bid",B158,C158)</f>
        <v>2.45</v>
      </c>
      <c r="J158" s="24" t="n">
        <f aca="false">D158</f>
        <v>50526</v>
      </c>
      <c r="K158" s="23" t="n">
        <f aca="false">IF($J$1="bid",E158,F158)</f>
        <v>20.237</v>
      </c>
      <c r="L158" s="11"/>
      <c r="M158" s="11"/>
      <c r="N158" s="11"/>
      <c r="O158" s="11"/>
      <c r="P158" s="11"/>
      <c r="Q158" s="11"/>
      <c r="R158" s="11"/>
      <c r="S158" s="11"/>
      <c r="T158" s="11"/>
      <c r="U158" s="11"/>
      <c r="V158" s="11"/>
      <c r="W158" s="11"/>
      <c r="X158" s="11"/>
      <c r="Y158" s="11"/>
      <c r="Z158" s="11"/>
      <c r="AA158" s="11"/>
      <c r="AB158" s="11"/>
      <c r="AC158" s="11"/>
      <c r="AD158" s="11"/>
      <c r="AE158" s="11"/>
      <c r="AF158" s="11"/>
      <c r="AG158" s="11"/>
      <c r="AH158" s="11"/>
      <c r="AI158" s="11"/>
      <c r="AJ158" s="11"/>
      <c r="AK158" s="11"/>
      <c r="AL158" s="11"/>
      <c r="AM158" s="11"/>
      <c r="AN158" s="11"/>
      <c r="AO158" s="11"/>
      <c r="AP158" s="11"/>
      <c r="AQ158" s="11"/>
      <c r="AR158" s="5"/>
      <c r="AS158" s="12"/>
      <c r="AT158" s="12"/>
      <c r="AU158" s="12"/>
      <c r="AV158" s="12"/>
      <c r="AW158" s="12"/>
      <c r="AX158" s="12"/>
      <c r="AY158" s="12"/>
      <c r="AZ158" s="12"/>
      <c r="BA158" s="12"/>
      <c r="BB158" s="12"/>
      <c r="BC158" s="12"/>
      <c r="BD158" s="12"/>
      <c r="BE158" s="12"/>
      <c r="BF158" s="12"/>
      <c r="BG158" s="12"/>
      <c r="BH158" s="12"/>
      <c r="BI158" s="12"/>
      <c r="BJ158" s="12"/>
      <c r="BK158" s="12"/>
      <c r="BL158" s="12"/>
      <c r="BM158" s="12"/>
      <c r="BN158" s="12"/>
      <c r="BO158" s="12"/>
      <c r="BP158" s="12"/>
      <c r="BQ158" s="12"/>
      <c r="BR158" s="12"/>
      <c r="BS158" s="12"/>
      <c r="BT158" s="12"/>
      <c r="BU158" s="12"/>
      <c r="BV158" s="12"/>
      <c r="BW158" s="12"/>
      <c r="BX158" s="12"/>
      <c r="BY158" s="12"/>
      <c r="BZ158" s="12"/>
      <c r="CA158" s="12"/>
      <c r="CB158" s="12"/>
      <c r="CC158" s="12"/>
      <c r="CD158" s="12"/>
      <c r="CE158" s="12"/>
      <c r="CF158" s="12"/>
      <c r="CG158" s="12"/>
      <c r="CH158" s="12"/>
      <c r="CI158" s="12"/>
      <c r="CJ158" s="12"/>
      <c r="CK158" s="12"/>
      <c r="CL158" s="12"/>
      <c r="CM158" s="12"/>
      <c r="CN158" s="12"/>
      <c r="CO158" s="12"/>
      <c r="CP158" s="12"/>
      <c r="CQ158" s="12"/>
      <c r="CR158" s="12"/>
      <c r="CS158" s="12"/>
      <c r="CT158" s="12"/>
      <c r="CU158" s="12"/>
      <c r="CV158" s="12"/>
      <c r="CW158" s="12"/>
      <c r="CX158" s="12"/>
      <c r="CY158" s="12"/>
      <c r="CZ158" s="12"/>
      <c r="DA158" s="12"/>
      <c r="DB158" s="12"/>
      <c r="DC158" s="12"/>
      <c r="DD158" s="12"/>
      <c r="DE158" s="12"/>
      <c r="DF158" s="12"/>
      <c r="DG158" s="12"/>
      <c r="DH158" s="12"/>
      <c r="DI158" s="12"/>
      <c r="DJ158" s="12"/>
      <c r="DK158" s="12"/>
      <c r="DL158" s="12"/>
      <c r="DM158" s="12"/>
      <c r="DN158" s="12"/>
      <c r="DO158" s="12"/>
      <c r="DP158" s="12"/>
      <c r="DQ158" s="12"/>
      <c r="DR158" s="12"/>
      <c r="DS158" s="12"/>
      <c r="DT158" s="12"/>
      <c r="DU158" s="12"/>
      <c r="DV158" s="12"/>
      <c r="DW158" s="12"/>
      <c r="DX158" s="12"/>
      <c r="DY158" s="12"/>
      <c r="DZ158" s="12"/>
      <c r="EA158" s="12"/>
      <c r="EB158" s="12"/>
      <c r="EC158" s="12"/>
      <c r="ED158" s="12"/>
      <c r="EE158" s="12"/>
      <c r="EF158" s="12"/>
      <c r="EG158" s="12"/>
      <c r="EH158" s="12"/>
      <c r="EI158" s="12"/>
      <c r="EJ158" s="12"/>
      <c r="EK158" s="12"/>
      <c r="EL158" s="12"/>
      <c r="EM158" s="12"/>
      <c r="EN158" s="12"/>
      <c r="EO158" s="12"/>
      <c r="EP158" s="12"/>
      <c r="EQ158" s="12"/>
      <c r="ER158" s="12"/>
      <c r="ES158" s="12"/>
      <c r="ET158" s="12"/>
      <c r="EU158" s="12"/>
      <c r="EV158" s="12"/>
      <c r="EW158" s="12"/>
      <c r="EX158" s="12"/>
      <c r="EY158" s="12"/>
      <c r="EZ158" s="12"/>
      <c r="FA158" s="12"/>
      <c r="FB158" s="12"/>
      <c r="FC158" s="12"/>
      <c r="FD158" s="12"/>
      <c r="FE158" s="12"/>
      <c r="FF158" s="12"/>
      <c r="FG158" s="12"/>
      <c r="FH158" s="12"/>
      <c r="FI158" s="12"/>
      <c r="FJ158" s="12"/>
      <c r="FK158" s="12"/>
      <c r="FL158" s="12"/>
      <c r="FM158" s="12"/>
      <c r="FN158" s="12"/>
      <c r="FO158" s="12"/>
      <c r="FP158" s="12"/>
      <c r="FQ158" s="12"/>
      <c r="FR158" s="12"/>
      <c r="FS158" s="12"/>
      <c r="FT158" s="12"/>
      <c r="FU158" s="12"/>
      <c r="FV158" s="12"/>
      <c r="FW158" s="12"/>
      <c r="FX158" s="12"/>
      <c r="FY158" s="12"/>
      <c r="FZ158" s="12"/>
      <c r="GA158" s="12"/>
      <c r="GB158" s="12"/>
      <c r="GC158" s="12"/>
      <c r="GD158" s="12"/>
      <c r="GE158" s="12"/>
      <c r="GF158" s="12"/>
      <c r="GG158" s="12"/>
      <c r="GH158" s="12"/>
      <c r="GI158" s="12"/>
      <c r="GJ158" s="12"/>
      <c r="GK158" s="12"/>
      <c r="GL158" s="12"/>
      <c r="GM158" s="12"/>
      <c r="GN158" s="12"/>
      <c r="GO158" s="12"/>
      <c r="GP158" s="12"/>
      <c r="GQ158" s="12"/>
      <c r="GR158" s="12"/>
      <c r="GS158" s="12"/>
      <c r="GT158" s="12"/>
      <c r="GU158" s="12"/>
      <c r="GV158" s="12"/>
      <c r="GW158" s="12"/>
      <c r="GX158" s="12"/>
      <c r="GY158" s="12"/>
      <c r="GZ158" s="12"/>
      <c r="HA158" s="12"/>
      <c r="HB158" s="12"/>
      <c r="HC158" s="12"/>
      <c r="HD158" s="12"/>
      <c r="HE158" s="12"/>
      <c r="HF158" s="12"/>
      <c r="HG158" s="12"/>
      <c r="HH158" s="12"/>
      <c r="HI158" s="12"/>
      <c r="HJ158" s="12"/>
      <c r="HK158" s="12"/>
      <c r="HL158" s="12"/>
      <c r="HM158" s="12"/>
      <c r="HN158" s="12"/>
      <c r="HO158" s="12"/>
      <c r="HP158" s="12"/>
      <c r="HQ158" s="12"/>
      <c r="HR158" s="12"/>
      <c r="HS158" s="12"/>
      <c r="HT158" s="12"/>
      <c r="HU158" s="12"/>
      <c r="HV158" s="12"/>
      <c r="HW158" s="12"/>
      <c r="HX158" s="12"/>
      <c r="HY158" s="12"/>
      <c r="HZ158" s="12"/>
      <c r="IA158" s="12"/>
      <c r="IB158" s="12"/>
      <c r="IC158" s="12"/>
      <c r="ID158" s="12"/>
      <c r="IE158" s="12"/>
      <c r="IF158" s="12"/>
      <c r="IG158" s="12"/>
      <c r="IH158" s="12"/>
      <c r="II158" s="12"/>
      <c r="IJ158" s="12"/>
      <c r="IK158" s="12"/>
      <c r="IL158" s="12"/>
      <c r="IM158" s="12"/>
      <c r="IN158" s="12"/>
      <c r="IO158" s="12"/>
      <c r="IP158" s="12"/>
      <c r="IQ158" s="12"/>
      <c r="IR158" s="12"/>
      <c r="IS158" s="12"/>
      <c r="IT158" s="12"/>
      <c r="IU158" s="12"/>
      <c r="IV158" s="12"/>
      <c r="IW158" s="12"/>
    </row>
    <row r="159" customFormat="false" ht="11.25" hidden="false" customHeight="false" outlineLevel="0" collapsed="false">
      <c r="A159" s="25" t="n">
        <f aca="false">DATE(YEAR(A158),MONTH(A158)+1,1)</f>
        <v>50557</v>
      </c>
      <c r="B159" s="21" t="n">
        <v>2.38</v>
      </c>
      <c r="C159" s="21" t="n">
        <v>2.45</v>
      </c>
      <c r="D159" s="25" t="n">
        <f aca="false">DATE(YEAR(D158),MONTH(D158)+1,1)</f>
        <v>50557</v>
      </c>
      <c r="E159" s="21" t="n">
        <v>19.291</v>
      </c>
      <c r="F159" s="21" t="n">
        <v>20.254</v>
      </c>
      <c r="G159" s="6"/>
      <c r="H159" s="22" t="n">
        <f aca="false">A159</f>
        <v>50557</v>
      </c>
      <c r="I159" s="23" t="n">
        <f aca="false">IF($J$1="bid",B159,C159)</f>
        <v>2.45</v>
      </c>
      <c r="J159" s="24" t="n">
        <f aca="false">D159</f>
        <v>50557</v>
      </c>
      <c r="K159" s="23" t="n">
        <f aca="false">IF($J$1="bid",E159,F159)</f>
        <v>20.254</v>
      </c>
      <c r="L159" s="11"/>
      <c r="M159" s="11"/>
      <c r="N159" s="11"/>
      <c r="O159" s="11"/>
      <c r="P159" s="11"/>
      <c r="Q159" s="11"/>
      <c r="R159" s="11"/>
      <c r="S159" s="11"/>
      <c r="T159" s="11"/>
      <c r="U159" s="11"/>
      <c r="V159" s="11"/>
      <c r="W159" s="11"/>
      <c r="X159" s="11"/>
      <c r="Y159" s="11"/>
      <c r="Z159" s="11"/>
      <c r="AA159" s="11"/>
      <c r="AB159" s="11"/>
      <c r="AC159" s="11"/>
      <c r="AD159" s="11"/>
      <c r="AE159" s="11"/>
      <c r="AF159" s="11"/>
      <c r="AG159" s="11"/>
      <c r="AH159" s="11"/>
      <c r="AI159" s="11"/>
      <c r="AJ159" s="11"/>
      <c r="AK159" s="11"/>
      <c r="AL159" s="11"/>
      <c r="AM159" s="11"/>
      <c r="AN159" s="11"/>
      <c r="AO159" s="11"/>
      <c r="AP159" s="11"/>
      <c r="AQ159" s="11"/>
      <c r="AR159" s="5"/>
      <c r="AS159" s="12"/>
      <c r="AT159" s="12"/>
      <c r="AU159" s="12"/>
      <c r="AV159" s="12"/>
      <c r="AW159" s="12"/>
      <c r="AX159" s="12"/>
      <c r="AY159" s="12"/>
      <c r="AZ159" s="12"/>
      <c r="BA159" s="12"/>
      <c r="BB159" s="12"/>
      <c r="BC159" s="12"/>
      <c r="BD159" s="12"/>
      <c r="BE159" s="12"/>
      <c r="BF159" s="12"/>
      <c r="BG159" s="12"/>
      <c r="BH159" s="12"/>
      <c r="BI159" s="12"/>
      <c r="BJ159" s="12"/>
      <c r="BK159" s="12"/>
      <c r="BL159" s="12"/>
      <c r="BM159" s="12"/>
      <c r="BN159" s="12"/>
      <c r="BO159" s="12"/>
      <c r="BP159" s="12"/>
      <c r="BQ159" s="12"/>
      <c r="BR159" s="12"/>
      <c r="BS159" s="12"/>
      <c r="BT159" s="12"/>
      <c r="BU159" s="12"/>
      <c r="BV159" s="12"/>
      <c r="BW159" s="12"/>
      <c r="BX159" s="12"/>
      <c r="BY159" s="12"/>
      <c r="BZ159" s="12"/>
      <c r="CA159" s="12"/>
      <c r="CB159" s="12"/>
      <c r="CC159" s="12"/>
      <c r="CD159" s="12"/>
      <c r="CE159" s="12"/>
      <c r="CF159" s="12"/>
      <c r="CG159" s="12"/>
      <c r="CH159" s="12"/>
      <c r="CI159" s="12"/>
      <c r="CJ159" s="12"/>
      <c r="CK159" s="12"/>
      <c r="CL159" s="12"/>
      <c r="CM159" s="12"/>
      <c r="CN159" s="12"/>
      <c r="CO159" s="12"/>
      <c r="CP159" s="12"/>
      <c r="CQ159" s="12"/>
      <c r="CR159" s="12"/>
      <c r="CS159" s="12"/>
      <c r="CT159" s="12"/>
      <c r="CU159" s="12"/>
      <c r="CV159" s="12"/>
      <c r="CW159" s="12"/>
      <c r="CX159" s="12"/>
      <c r="CY159" s="12"/>
      <c r="CZ159" s="12"/>
      <c r="DA159" s="12"/>
      <c r="DB159" s="12"/>
      <c r="DC159" s="12"/>
      <c r="DD159" s="12"/>
      <c r="DE159" s="12"/>
      <c r="DF159" s="12"/>
      <c r="DG159" s="12"/>
      <c r="DH159" s="12"/>
      <c r="DI159" s="12"/>
      <c r="DJ159" s="12"/>
      <c r="DK159" s="12"/>
      <c r="DL159" s="12"/>
      <c r="DM159" s="12"/>
      <c r="DN159" s="12"/>
      <c r="DO159" s="12"/>
      <c r="DP159" s="12"/>
      <c r="DQ159" s="12"/>
      <c r="DR159" s="12"/>
      <c r="DS159" s="12"/>
      <c r="DT159" s="12"/>
      <c r="DU159" s="12"/>
      <c r="DV159" s="12"/>
      <c r="DW159" s="12"/>
      <c r="DX159" s="12"/>
      <c r="DY159" s="12"/>
      <c r="DZ159" s="12"/>
      <c r="EA159" s="12"/>
      <c r="EB159" s="12"/>
      <c r="EC159" s="12"/>
      <c r="ED159" s="12"/>
      <c r="EE159" s="12"/>
      <c r="EF159" s="12"/>
      <c r="EG159" s="12"/>
      <c r="EH159" s="12"/>
      <c r="EI159" s="12"/>
      <c r="EJ159" s="12"/>
      <c r="EK159" s="12"/>
      <c r="EL159" s="12"/>
      <c r="EM159" s="12"/>
      <c r="EN159" s="12"/>
      <c r="EO159" s="12"/>
      <c r="EP159" s="12"/>
      <c r="EQ159" s="12"/>
      <c r="ER159" s="12"/>
      <c r="ES159" s="12"/>
      <c r="ET159" s="12"/>
      <c r="EU159" s="12"/>
      <c r="EV159" s="12"/>
      <c r="EW159" s="12"/>
      <c r="EX159" s="12"/>
      <c r="EY159" s="12"/>
      <c r="EZ159" s="12"/>
      <c r="FA159" s="12"/>
      <c r="FB159" s="12"/>
      <c r="FC159" s="12"/>
      <c r="FD159" s="12"/>
      <c r="FE159" s="12"/>
      <c r="FF159" s="12"/>
      <c r="FG159" s="12"/>
      <c r="FH159" s="12"/>
      <c r="FI159" s="12"/>
      <c r="FJ159" s="12"/>
      <c r="FK159" s="12"/>
      <c r="FL159" s="12"/>
      <c r="FM159" s="12"/>
      <c r="FN159" s="12"/>
      <c r="FO159" s="12"/>
      <c r="FP159" s="12"/>
      <c r="FQ159" s="12"/>
      <c r="FR159" s="12"/>
      <c r="FS159" s="12"/>
      <c r="FT159" s="12"/>
      <c r="FU159" s="12"/>
      <c r="FV159" s="12"/>
      <c r="FW159" s="12"/>
      <c r="FX159" s="12"/>
      <c r="FY159" s="12"/>
      <c r="FZ159" s="12"/>
      <c r="GA159" s="12"/>
      <c r="GB159" s="12"/>
      <c r="GC159" s="12"/>
      <c r="GD159" s="12"/>
      <c r="GE159" s="12"/>
      <c r="GF159" s="12"/>
      <c r="GG159" s="12"/>
      <c r="GH159" s="12"/>
      <c r="GI159" s="12"/>
      <c r="GJ159" s="12"/>
      <c r="GK159" s="12"/>
      <c r="GL159" s="12"/>
      <c r="GM159" s="12"/>
      <c r="GN159" s="12"/>
      <c r="GO159" s="12"/>
      <c r="GP159" s="12"/>
      <c r="GQ159" s="12"/>
      <c r="GR159" s="12"/>
      <c r="GS159" s="12"/>
      <c r="GT159" s="12"/>
      <c r="GU159" s="12"/>
      <c r="GV159" s="12"/>
      <c r="GW159" s="12"/>
      <c r="GX159" s="12"/>
      <c r="GY159" s="12"/>
      <c r="GZ159" s="12"/>
      <c r="HA159" s="12"/>
      <c r="HB159" s="12"/>
      <c r="HC159" s="12"/>
      <c r="HD159" s="12"/>
      <c r="HE159" s="12"/>
      <c r="HF159" s="12"/>
      <c r="HG159" s="12"/>
      <c r="HH159" s="12"/>
      <c r="HI159" s="12"/>
      <c r="HJ159" s="12"/>
      <c r="HK159" s="12"/>
      <c r="HL159" s="12"/>
      <c r="HM159" s="12"/>
      <c r="HN159" s="12"/>
      <c r="HO159" s="12"/>
      <c r="HP159" s="12"/>
      <c r="HQ159" s="12"/>
      <c r="HR159" s="12"/>
      <c r="HS159" s="12"/>
      <c r="HT159" s="12"/>
      <c r="HU159" s="12"/>
      <c r="HV159" s="12"/>
      <c r="HW159" s="12"/>
      <c r="HX159" s="12"/>
      <c r="HY159" s="12"/>
      <c r="HZ159" s="12"/>
      <c r="IA159" s="12"/>
      <c r="IB159" s="12"/>
      <c r="IC159" s="12"/>
      <c r="ID159" s="12"/>
      <c r="IE159" s="12"/>
      <c r="IF159" s="12"/>
      <c r="IG159" s="12"/>
      <c r="IH159" s="12"/>
      <c r="II159" s="12"/>
      <c r="IJ159" s="12"/>
      <c r="IK159" s="12"/>
      <c r="IL159" s="12"/>
      <c r="IM159" s="12"/>
      <c r="IN159" s="12"/>
      <c r="IO159" s="12"/>
      <c r="IP159" s="12"/>
      <c r="IQ159" s="12"/>
      <c r="IR159" s="12"/>
      <c r="IS159" s="12"/>
      <c r="IT159" s="12"/>
      <c r="IU159" s="12"/>
      <c r="IV159" s="12"/>
      <c r="IW159" s="12"/>
    </row>
    <row r="160" customFormat="false" ht="11.25" hidden="false" customHeight="false" outlineLevel="0" collapsed="false">
      <c r="A160" s="25" t="n">
        <f aca="false">DATE(YEAR(A159),MONTH(A159)+1,1)</f>
        <v>50587</v>
      </c>
      <c r="B160" s="21" t="n">
        <v>2.38</v>
      </c>
      <c r="C160" s="21" t="n">
        <v>2.45</v>
      </c>
      <c r="D160" s="25" t="n">
        <f aca="false">DATE(YEAR(D159),MONTH(D159)+1,1)</f>
        <v>50587</v>
      </c>
      <c r="E160" s="21" t="n">
        <v>19.3</v>
      </c>
      <c r="F160" s="21" t="n">
        <v>20.271</v>
      </c>
      <c r="G160" s="6"/>
      <c r="H160" s="22" t="n">
        <f aca="false">A160</f>
        <v>50587</v>
      </c>
      <c r="I160" s="23" t="n">
        <f aca="false">IF($J$1="bid",B160,C160)</f>
        <v>2.45</v>
      </c>
      <c r="J160" s="24" t="n">
        <f aca="false">D160</f>
        <v>50587</v>
      </c>
      <c r="K160" s="23" t="n">
        <f aca="false">IF($J$1="bid",E160,F160)</f>
        <v>20.271</v>
      </c>
      <c r="L160" s="11"/>
      <c r="M160" s="11"/>
      <c r="N160" s="11"/>
      <c r="O160" s="11"/>
      <c r="P160" s="11"/>
      <c r="Q160" s="11"/>
      <c r="R160" s="11"/>
      <c r="S160" s="11"/>
      <c r="T160" s="11"/>
      <c r="U160" s="11"/>
      <c r="V160" s="11"/>
      <c r="W160" s="11"/>
      <c r="X160" s="11"/>
      <c r="Y160" s="11"/>
      <c r="Z160" s="11"/>
      <c r="AA160" s="11"/>
      <c r="AB160" s="11"/>
      <c r="AC160" s="11"/>
      <c r="AD160" s="11"/>
      <c r="AE160" s="11"/>
      <c r="AF160" s="11"/>
      <c r="AG160" s="11"/>
      <c r="AH160" s="11"/>
      <c r="AI160" s="11"/>
      <c r="AJ160" s="11"/>
      <c r="AK160" s="11"/>
      <c r="AL160" s="11"/>
      <c r="AM160" s="11"/>
      <c r="AN160" s="11"/>
      <c r="AO160" s="11"/>
      <c r="AP160" s="11"/>
      <c r="AQ160" s="11"/>
      <c r="AR160" s="5"/>
      <c r="AS160" s="12"/>
      <c r="AT160" s="12"/>
      <c r="AU160" s="12"/>
      <c r="AV160" s="12"/>
      <c r="AW160" s="12"/>
      <c r="AX160" s="12"/>
      <c r="AY160" s="12"/>
      <c r="AZ160" s="12"/>
      <c r="BA160" s="12"/>
      <c r="BB160" s="12"/>
      <c r="BC160" s="12"/>
      <c r="BD160" s="12"/>
      <c r="BE160" s="12"/>
      <c r="BF160" s="12"/>
      <c r="BG160" s="12"/>
      <c r="BH160" s="12"/>
      <c r="BI160" s="12"/>
      <c r="BJ160" s="12"/>
      <c r="BK160" s="12"/>
      <c r="BL160" s="12"/>
      <c r="BM160" s="12"/>
      <c r="BN160" s="12"/>
      <c r="BO160" s="12"/>
      <c r="BP160" s="12"/>
      <c r="BQ160" s="12"/>
      <c r="BR160" s="12"/>
      <c r="BS160" s="12"/>
      <c r="BT160" s="12"/>
      <c r="BU160" s="12"/>
      <c r="BV160" s="12"/>
      <c r="BW160" s="12"/>
      <c r="BX160" s="12"/>
      <c r="BY160" s="12"/>
      <c r="BZ160" s="12"/>
      <c r="CA160" s="12"/>
      <c r="CB160" s="12"/>
      <c r="CC160" s="12"/>
      <c r="CD160" s="12"/>
      <c r="CE160" s="12"/>
      <c r="CF160" s="12"/>
      <c r="CG160" s="12"/>
      <c r="CH160" s="12"/>
      <c r="CI160" s="12"/>
      <c r="CJ160" s="12"/>
      <c r="CK160" s="12"/>
      <c r="CL160" s="12"/>
      <c r="CM160" s="12"/>
      <c r="CN160" s="12"/>
      <c r="CO160" s="12"/>
      <c r="CP160" s="12"/>
      <c r="CQ160" s="12"/>
      <c r="CR160" s="12"/>
      <c r="CS160" s="12"/>
      <c r="CT160" s="12"/>
      <c r="CU160" s="12"/>
      <c r="CV160" s="12"/>
      <c r="CW160" s="12"/>
      <c r="CX160" s="12"/>
      <c r="CY160" s="12"/>
      <c r="CZ160" s="12"/>
      <c r="DA160" s="12"/>
      <c r="DB160" s="12"/>
      <c r="DC160" s="12"/>
      <c r="DD160" s="12"/>
      <c r="DE160" s="12"/>
      <c r="DF160" s="12"/>
      <c r="DG160" s="12"/>
      <c r="DH160" s="12"/>
      <c r="DI160" s="12"/>
      <c r="DJ160" s="12"/>
      <c r="DK160" s="12"/>
      <c r="DL160" s="12"/>
      <c r="DM160" s="12"/>
      <c r="DN160" s="12"/>
      <c r="DO160" s="12"/>
      <c r="DP160" s="12"/>
      <c r="DQ160" s="12"/>
      <c r="DR160" s="12"/>
      <c r="DS160" s="12"/>
      <c r="DT160" s="12"/>
      <c r="DU160" s="12"/>
      <c r="DV160" s="12"/>
      <c r="DW160" s="12"/>
      <c r="DX160" s="12"/>
      <c r="DY160" s="12"/>
      <c r="DZ160" s="12"/>
      <c r="EA160" s="12"/>
      <c r="EB160" s="12"/>
      <c r="EC160" s="12"/>
      <c r="ED160" s="12"/>
      <c r="EE160" s="12"/>
      <c r="EF160" s="12"/>
      <c r="EG160" s="12"/>
      <c r="EH160" s="12"/>
      <c r="EI160" s="12"/>
      <c r="EJ160" s="12"/>
      <c r="EK160" s="12"/>
      <c r="EL160" s="12"/>
      <c r="EM160" s="12"/>
      <c r="EN160" s="12"/>
      <c r="EO160" s="12"/>
      <c r="EP160" s="12"/>
      <c r="EQ160" s="12"/>
      <c r="ER160" s="12"/>
      <c r="ES160" s="12"/>
      <c r="ET160" s="12"/>
      <c r="EU160" s="12"/>
      <c r="EV160" s="12"/>
      <c r="EW160" s="12"/>
      <c r="EX160" s="12"/>
      <c r="EY160" s="12"/>
      <c r="EZ160" s="12"/>
      <c r="FA160" s="12"/>
      <c r="FB160" s="12"/>
      <c r="FC160" s="12"/>
      <c r="FD160" s="12"/>
      <c r="FE160" s="12"/>
      <c r="FF160" s="12"/>
      <c r="FG160" s="12"/>
      <c r="FH160" s="12"/>
      <c r="FI160" s="12"/>
      <c r="FJ160" s="12"/>
      <c r="FK160" s="12"/>
      <c r="FL160" s="12"/>
      <c r="FM160" s="12"/>
      <c r="FN160" s="12"/>
      <c r="FO160" s="12"/>
      <c r="FP160" s="12"/>
      <c r="FQ160" s="12"/>
      <c r="FR160" s="12"/>
      <c r="FS160" s="12"/>
      <c r="FT160" s="12"/>
      <c r="FU160" s="12"/>
      <c r="FV160" s="12"/>
      <c r="FW160" s="12"/>
      <c r="FX160" s="12"/>
      <c r="FY160" s="12"/>
      <c r="FZ160" s="12"/>
      <c r="GA160" s="12"/>
      <c r="GB160" s="12"/>
      <c r="GC160" s="12"/>
      <c r="GD160" s="12"/>
      <c r="GE160" s="12"/>
      <c r="GF160" s="12"/>
      <c r="GG160" s="12"/>
      <c r="GH160" s="12"/>
      <c r="GI160" s="12"/>
      <c r="GJ160" s="12"/>
      <c r="GK160" s="12"/>
      <c r="GL160" s="12"/>
      <c r="GM160" s="12"/>
      <c r="GN160" s="12"/>
      <c r="GO160" s="12"/>
      <c r="GP160" s="12"/>
      <c r="GQ160" s="12"/>
      <c r="GR160" s="12"/>
      <c r="GS160" s="12"/>
      <c r="GT160" s="12"/>
      <c r="GU160" s="12"/>
      <c r="GV160" s="12"/>
      <c r="GW160" s="12"/>
      <c r="GX160" s="12"/>
      <c r="GY160" s="12"/>
      <c r="GZ160" s="12"/>
      <c r="HA160" s="12"/>
      <c r="HB160" s="12"/>
      <c r="HC160" s="12"/>
      <c r="HD160" s="12"/>
      <c r="HE160" s="12"/>
      <c r="HF160" s="12"/>
      <c r="HG160" s="12"/>
      <c r="HH160" s="12"/>
      <c r="HI160" s="12"/>
      <c r="HJ160" s="12"/>
      <c r="HK160" s="12"/>
      <c r="HL160" s="12"/>
      <c r="HM160" s="12"/>
      <c r="HN160" s="12"/>
      <c r="HO160" s="12"/>
      <c r="HP160" s="12"/>
      <c r="HQ160" s="12"/>
      <c r="HR160" s="12"/>
      <c r="HS160" s="12"/>
      <c r="HT160" s="12"/>
      <c r="HU160" s="12"/>
      <c r="HV160" s="12"/>
      <c r="HW160" s="12"/>
      <c r="HX160" s="12"/>
      <c r="HY160" s="12"/>
      <c r="HZ160" s="12"/>
      <c r="IA160" s="12"/>
      <c r="IB160" s="12"/>
      <c r="IC160" s="12"/>
      <c r="ID160" s="12"/>
      <c r="IE160" s="12"/>
      <c r="IF160" s="12"/>
      <c r="IG160" s="12"/>
      <c r="IH160" s="12"/>
      <c r="II160" s="12"/>
      <c r="IJ160" s="12"/>
      <c r="IK160" s="12"/>
      <c r="IL160" s="12"/>
      <c r="IM160" s="12"/>
      <c r="IN160" s="12"/>
      <c r="IO160" s="12"/>
      <c r="IP160" s="12"/>
      <c r="IQ160" s="12"/>
      <c r="IR160" s="12"/>
      <c r="IS160" s="12"/>
      <c r="IT160" s="12"/>
      <c r="IU160" s="12"/>
      <c r="IV160" s="12"/>
      <c r="IW160" s="12"/>
    </row>
    <row r="161" customFormat="false" ht="11.25" hidden="false" customHeight="false" outlineLevel="0" collapsed="false">
      <c r="A161" s="25" t="n">
        <f aca="false">DATE(YEAR(A160),MONTH(A160)+1,1)</f>
        <v>50618</v>
      </c>
      <c r="B161" s="21" t="n">
        <v>2.38</v>
      </c>
      <c r="C161" s="21" t="n">
        <v>2.45</v>
      </c>
      <c r="D161" s="25" t="n">
        <f aca="false">DATE(YEAR(D160),MONTH(D160)+1,1)</f>
        <v>50618</v>
      </c>
      <c r="E161" s="21" t="n">
        <v>19.31</v>
      </c>
      <c r="F161" s="21" t="n">
        <v>20.29</v>
      </c>
      <c r="G161" s="6"/>
      <c r="H161" s="22" t="n">
        <f aca="false">A161</f>
        <v>50618</v>
      </c>
      <c r="I161" s="23" t="n">
        <f aca="false">IF($J$1="bid",B161,C161)</f>
        <v>2.45</v>
      </c>
      <c r="J161" s="24" t="n">
        <f aca="false">D161</f>
        <v>50618</v>
      </c>
      <c r="K161" s="23" t="n">
        <f aca="false">IF($J$1="bid",E161,F161)</f>
        <v>20.29</v>
      </c>
      <c r="L161" s="11"/>
      <c r="M161" s="11"/>
      <c r="N161" s="11"/>
      <c r="O161" s="11"/>
      <c r="P161" s="11"/>
      <c r="Q161" s="11"/>
      <c r="R161" s="11"/>
      <c r="S161" s="11"/>
      <c r="T161" s="11"/>
      <c r="U161" s="11"/>
      <c r="V161" s="11"/>
      <c r="W161" s="11"/>
      <c r="X161" s="11"/>
      <c r="Y161" s="11"/>
      <c r="Z161" s="11"/>
      <c r="AA161" s="11"/>
      <c r="AB161" s="11"/>
      <c r="AC161" s="11"/>
      <c r="AD161" s="11"/>
      <c r="AE161" s="11"/>
      <c r="AF161" s="11"/>
      <c r="AG161" s="11"/>
      <c r="AH161" s="11"/>
      <c r="AI161" s="11"/>
      <c r="AJ161" s="11"/>
      <c r="AK161" s="11"/>
      <c r="AL161" s="11"/>
      <c r="AM161" s="11"/>
      <c r="AN161" s="11"/>
      <c r="AO161" s="11"/>
      <c r="AP161" s="11"/>
      <c r="AQ161" s="11"/>
      <c r="AR161" s="5"/>
      <c r="AS161" s="12"/>
      <c r="AT161" s="12"/>
      <c r="AU161" s="12"/>
      <c r="AV161" s="12"/>
      <c r="AW161" s="12"/>
      <c r="AX161" s="12"/>
      <c r="AY161" s="12"/>
      <c r="AZ161" s="12"/>
      <c r="BA161" s="12"/>
      <c r="BB161" s="12"/>
      <c r="BC161" s="12"/>
      <c r="BD161" s="12"/>
      <c r="BE161" s="12"/>
      <c r="BF161" s="12"/>
      <c r="BG161" s="12"/>
      <c r="BH161" s="12"/>
      <c r="BI161" s="12"/>
      <c r="BJ161" s="12"/>
      <c r="BK161" s="12"/>
      <c r="BL161" s="12"/>
      <c r="BM161" s="12"/>
      <c r="BN161" s="12"/>
      <c r="BO161" s="12"/>
      <c r="BP161" s="12"/>
      <c r="BQ161" s="12"/>
      <c r="BR161" s="12"/>
      <c r="BS161" s="12"/>
      <c r="BT161" s="12"/>
      <c r="BU161" s="12"/>
      <c r="BV161" s="12"/>
      <c r="BW161" s="12"/>
      <c r="BX161" s="12"/>
      <c r="BY161" s="12"/>
      <c r="BZ161" s="12"/>
      <c r="CA161" s="12"/>
      <c r="CB161" s="12"/>
      <c r="CC161" s="12"/>
      <c r="CD161" s="12"/>
      <c r="CE161" s="12"/>
      <c r="CF161" s="12"/>
      <c r="CG161" s="12"/>
      <c r="CH161" s="12"/>
      <c r="CI161" s="12"/>
      <c r="CJ161" s="12"/>
      <c r="CK161" s="12"/>
      <c r="CL161" s="12"/>
      <c r="CM161" s="12"/>
      <c r="CN161" s="12"/>
      <c r="CO161" s="12"/>
      <c r="CP161" s="12"/>
      <c r="CQ161" s="12"/>
      <c r="CR161" s="12"/>
      <c r="CS161" s="12"/>
      <c r="CT161" s="12"/>
      <c r="CU161" s="12"/>
      <c r="CV161" s="12"/>
      <c r="CW161" s="12"/>
      <c r="CX161" s="12"/>
      <c r="CY161" s="12"/>
      <c r="CZ161" s="12"/>
      <c r="DA161" s="12"/>
      <c r="DB161" s="12"/>
      <c r="DC161" s="12"/>
      <c r="DD161" s="12"/>
      <c r="DE161" s="12"/>
      <c r="DF161" s="12"/>
      <c r="DG161" s="12"/>
      <c r="DH161" s="12"/>
      <c r="DI161" s="12"/>
      <c r="DJ161" s="12"/>
      <c r="DK161" s="12"/>
      <c r="DL161" s="12"/>
      <c r="DM161" s="12"/>
      <c r="DN161" s="12"/>
      <c r="DO161" s="12"/>
      <c r="DP161" s="12"/>
      <c r="DQ161" s="12"/>
      <c r="DR161" s="12"/>
      <c r="DS161" s="12"/>
      <c r="DT161" s="12"/>
      <c r="DU161" s="12"/>
      <c r="DV161" s="12"/>
      <c r="DW161" s="12"/>
      <c r="DX161" s="12"/>
      <c r="DY161" s="12"/>
      <c r="DZ161" s="12"/>
      <c r="EA161" s="12"/>
      <c r="EB161" s="12"/>
      <c r="EC161" s="12"/>
      <c r="ED161" s="12"/>
      <c r="EE161" s="12"/>
      <c r="EF161" s="12"/>
      <c r="EG161" s="12"/>
      <c r="EH161" s="12"/>
      <c r="EI161" s="12"/>
      <c r="EJ161" s="12"/>
      <c r="EK161" s="12"/>
      <c r="EL161" s="12"/>
      <c r="EM161" s="12"/>
      <c r="EN161" s="12"/>
      <c r="EO161" s="12"/>
      <c r="EP161" s="12"/>
      <c r="EQ161" s="12"/>
      <c r="ER161" s="12"/>
      <c r="ES161" s="12"/>
      <c r="ET161" s="12"/>
      <c r="EU161" s="12"/>
      <c r="EV161" s="12"/>
      <c r="EW161" s="12"/>
      <c r="EX161" s="12"/>
      <c r="EY161" s="12"/>
      <c r="EZ161" s="12"/>
      <c r="FA161" s="12"/>
      <c r="FB161" s="12"/>
      <c r="FC161" s="12"/>
      <c r="FD161" s="12"/>
      <c r="FE161" s="12"/>
      <c r="FF161" s="12"/>
      <c r="FG161" s="12"/>
      <c r="FH161" s="12"/>
      <c r="FI161" s="12"/>
      <c r="FJ161" s="12"/>
      <c r="FK161" s="12"/>
      <c r="FL161" s="12"/>
      <c r="FM161" s="12"/>
      <c r="FN161" s="12"/>
      <c r="FO161" s="12"/>
      <c r="FP161" s="12"/>
      <c r="FQ161" s="12"/>
      <c r="FR161" s="12"/>
      <c r="FS161" s="12"/>
      <c r="FT161" s="12"/>
      <c r="FU161" s="12"/>
      <c r="FV161" s="12"/>
      <c r="FW161" s="12"/>
      <c r="FX161" s="12"/>
      <c r="FY161" s="12"/>
      <c r="FZ161" s="12"/>
      <c r="GA161" s="12"/>
      <c r="GB161" s="12"/>
      <c r="GC161" s="12"/>
      <c r="GD161" s="12"/>
      <c r="GE161" s="12"/>
      <c r="GF161" s="12"/>
      <c r="GG161" s="12"/>
      <c r="GH161" s="12"/>
      <c r="GI161" s="12"/>
      <c r="GJ161" s="12"/>
      <c r="GK161" s="12"/>
      <c r="GL161" s="12"/>
      <c r="GM161" s="12"/>
      <c r="GN161" s="12"/>
      <c r="GO161" s="12"/>
      <c r="GP161" s="12"/>
      <c r="GQ161" s="12"/>
      <c r="GR161" s="12"/>
      <c r="GS161" s="12"/>
      <c r="GT161" s="12"/>
      <c r="GU161" s="12"/>
      <c r="GV161" s="12"/>
      <c r="GW161" s="12"/>
      <c r="GX161" s="12"/>
      <c r="GY161" s="12"/>
      <c r="GZ161" s="12"/>
      <c r="HA161" s="12"/>
      <c r="HB161" s="12"/>
      <c r="HC161" s="12"/>
      <c r="HD161" s="12"/>
      <c r="HE161" s="12"/>
      <c r="HF161" s="12"/>
      <c r="HG161" s="12"/>
      <c r="HH161" s="12"/>
      <c r="HI161" s="12"/>
      <c r="HJ161" s="12"/>
      <c r="HK161" s="12"/>
      <c r="HL161" s="12"/>
      <c r="HM161" s="12"/>
      <c r="HN161" s="12"/>
      <c r="HO161" s="12"/>
      <c r="HP161" s="12"/>
      <c r="HQ161" s="12"/>
      <c r="HR161" s="12"/>
      <c r="HS161" s="12"/>
      <c r="HT161" s="12"/>
      <c r="HU161" s="12"/>
      <c r="HV161" s="12"/>
      <c r="HW161" s="12"/>
      <c r="HX161" s="12"/>
      <c r="HY161" s="12"/>
      <c r="HZ161" s="12"/>
      <c r="IA161" s="12"/>
      <c r="IB161" s="12"/>
      <c r="IC161" s="12"/>
      <c r="ID161" s="12"/>
      <c r="IE161" s="12"/>
      <c r="IF161" s="12"/>
      <c r="IG161" s="12"/>
      <c r="IH161" s="12"/>
      <c r="II161" s="12"/>
      <c r="IJ161" s="12"/>
      <c r="IK161" s="12"/>
      <c r="IL161" s="12"/>
      <c r="IM161" s="12"/>
      <c r="IN161" s="12"/>
      <c r="IO161" s="12"/>
      <c r="IP161" s="12"/>
      <c r="IQ161" s="12"/>
      <c r="IR161" s="12"/>
      <c r="IS161" s="12"/>
      <c r="IT161" s="12"/>
      <c r="IU161" s="12"/>
      <c r="IV161" s="12"/>
      <c r="IW161" s="12"/>
    </row>
    <row r="162" customFormat="false" ht="11.25" hidden="false" customHeight="false" outlineLevel="0" collapsed="false">
      <c r="A162" s="25" t="n">
        <f aca="false">DATE(YEAR(A161),MONTH(A161)+1,1)</f>
        <v>50649</v>
      </c>
      <c r="B162" s="21" t="n">
        <v>2.454</v>
      </c>
      <c r="C162" s="21" t="n">
        <v>2.524</v>
      </c>
      <c r="D162" s="25" t="n">
        <f aca="false">DATE(YEAR(D161),MONTH(D161)+1,1)</f>
        <v>50649</v>
      </c>
      <c r="E162" s="21" t="n">
        <v>19.318</v>
      </c>
      <c r="F162" s="21" t="n">
        <v>20.307</v>
      </c>
      <c r="G162" s="6"/>
      <c r="H162" s="22" t="n">
        <f aca="false">A162</f>
        <v>50649</v>
      </c>
      <c r="I162" s="23" t="n">
        <f aca="false">IF($J$1="bid",B162,C162)</f>
        <v>2.524</v>
      </c>
      <c r="J162" s="24" t="n">
        <f aca="false">D162</f>
        <v>50649</v>
      </c>
      <c r="K162" s="23" t="n">
        <f aca="false">IF($J$1="bid",E162,F162)</f>
        <v>20.307</v>
      </c>
      <c r="L162" s="11"/>
      <c r="M162" s="11"/>
      <c r="N162" s="11"/>
      <c r="O162" s="11"/>
      <c r="P162" s="11"/>
      <c r="Q162" s="11"/>
      <c r="R162" s="11"/>
      <c r="S162" s="11"/>
      <c r="T162" s="11"/>
      <c r="U162" s="11"/>
      <c r="V162" s="11"/>
      <c r="W162" s="11"/>
      <c r="X162" s="11"/>
      <c r="Y162" s="11"/>
      <c r="Z162" s="11"/>
      <c r="AA162" s="11"/>
      <c r="AB162" s="11"/>
      <c r="AC162" s="11"/>
      <c r="AD162" s="11"/>
      <c r="AE162" s="11"/>
      <c r="AF162" s="11"/>
      <c r="AG162" s="11"/>
      <c r="AH162" s="11"/>
      <c r="AI162" s="11"/>
      <c r="AJ162" s="11"/>
      <c r="AK162" s="11"/>
      <c r="AL162" s="11"/>
      <c r="AM162" s="11"/>
      <c r="AN162" s="11"/>
      <c r="AO162" s="11"/>
      <c r="AP162" s="11"/>
      <c r="AQ162" s="11"/>
      <c r="AR162" s="5"/>
      <c r="AS162" s="12"/>
      <c r="AT162" s="12"/>
      <c r="AU162" s="12"/>
      <c r="AV162" s="12"/>
      <c r="AW162" s="12"/>
      <c r="AX162" s="12"/>
      <c r="AY162" s="12"/>
      <c r="AZ162" s="12"/>
      <c r="BA162" s="12"/>
      <c r="BB162" s="12"/>
      <c r="BC162" s="12"/>
      <c r="BD162" s="12"/>
      <c r="BE162" s="12"/>
      <c r="BF162" s="12"/>
      <c r="BG162" s="12"/>
      <c r="BH162" s="12"/>
      <c r="BI162" s="12"/>
      <c r="BJ162" s="12"/>
      <c r="BK162" s="12"/>
      <c r="BL162" s="12"/>
      <c r="BM162" s="12"/>
      <c r="BN162" s="12"/>
      <c r="BO162" s="12"/>
      <c r="BP162" s="12"/>
      <c r="BQ162" s="12"/>
      <c r="BR162" s="12"/>
      <c r="BS162" s="12"/>
      <c r="BT162" s="12"/>
      <c r="BU162" s="12"/>
      <c r="BV162" s="12"/>
      <c r="BW162" s="12"/>
      <c r="BX162" s="12"/>
      <c r="BY162" s="12"/>
      <c r="BZ162" s="12"/>
      <c r="CA162" s="12"/>
      <c r="CB162" s="12"/>
      <c r="CC162" s="12"/>
      <c r="CD162" s="12"/>
      <c r="CE162" s="12"/>
      <c r="CF162" s="12"/>
      <c r="CG162" s="12"/>
      <c r="CH162" s="12"/>
      <c r="CI162" s="12"/>
      <c r="CJ162" s="12"/>
      <c r="CK162" s="12"/>
      <c r="CL162" s="12"/>
      <c r="CM162" s="12"/>
      <c r="CN162" s="12"/>
      <c r="CO162" s="12"/>
      <c r="CP162" s="12"/>
      <c r="CQ162" s="12"/>
      <c r="CR162" s="12"/>
      <c r="CS162" s="12"/>
      <c r="CT162" s="12"/>
      <c r="CU162" s="12"/>
      <c r="CV162" s="12"/>
      <c r="CW162" s="12"/>
      <c r="CX162" s="12"/>
      <c r="CY162" s="12"/>
      <c r="CZ162" s="12"/>
      <c r="DA162" s="12"/>
      <c r="DB162" s="12"/>
      <c r="DC162" s="12"/>
      <c r="DD162" s="12"/>
      <c r="DE162" s="12"/>
      <c r="DF162" s="12"/>
      <c r="DG162" s="12"/>
      <c r="DH162" s="12"/>
      <c r="DI162" s="12"/>
      <c r="DJ162" s="12"/>
      <c r="DK162" s="12"/>
      <c r="DL162" s="12"/>
      <c r="DM162" s="12"/>
      <c r="DN162" s="12"/>
      <c r="DO162" s="12"/>
      <c r="DP162" s="12"/>
      <c r="DQ162" s="12"/>
      <c r="DR162" s="12"/>
      <c r="DS162" s="12"/>
      <c r="DT162" s="12"/>
      <c r="DU162" s="12"/>
      <c r="DV162" s="12"/>
      <c r="DW162" s="12"/>
      <c r="DX162" s="12"/>
      <c r="DY162" s="12"/>
      <c r="DZ162" s="12"/>
      <c r="EA162" s="12"/>
      <c r="EB162" s="12"/>
      <c r="EC162" s="12"/>
      <c r="ED162" s="12"/>
      <c r="EE162" s="12"/>
      <c r="EF162" s="12"/>
      <c r="EG162" s="12"/>
      <c r="EH162" s="12"/>
      <c r="EI162" s="12"/>
      <c r="EJ162" s="12"/>
      <c r="EK162" s="12"/>
      <c r="EL162" s="12"/>
      <c r="EM162" s="12"/>
      <c r="EN162" s="12"/>
      <c r="EO162" s="12"/>
      <c r="EP162" s="12"/>
      <c r="EQ162" s="12"/>
      <c r="ER162" s="12"/>
      <c r="ES162" s="12"/>
      <c r="ET162" s="12"/>
      <c r="EU162" s="12"/>
      <c r="EV162" s="12"/>
      <c r="EW162" s="12"/>
      <c r="EX162" s="12"/>
      <c r="EY162" s="12"/>
      <c r="EZ162" s="12"/>
      <c r="FA162" s="12"/>
      <c r="FB162" s="12"/>
      <c r="FC162" s="12"/>
      <c r="FD162" s="12"/>
      <c r="FE162" s="12"/>
      <c r="FF162" s="12"/>
      <c r="FG162" s="12"/>
      <c r="FH162" s="12"/>
      <c r="FI162" s="12"/>
      <c r="FJ162" s="12"/>
      <c r="FK162" s="12"/>
      <c r="FL162" s="12"/>
      <c r="FM162" s="12"/>
      <c r="FN162" s="12"/>
      <c r="FO162" s="12"/>
      <c r="FP162" s="12"/>
      <c r="FQ162" s="12"/>
      <c r="FR162" s="12"/>
      <c r="FS162" s="12"/>
      <c r="FT162" s="12"/>
      <c r="FU162" s="12"/>
      <c r="FV162" s="12"/>
      <c r="FW162" s="12"/>
      <c r="FX162" s="12"/>
      <c r="FY162" s="12"/>
      <c r="FZ162" s="12"/>
      <c r="GA162" s="12"/>
      <c r="GB162" s="12"/>
      <c r="GC162" s="12"/>
      <c r="GD162" s="12"/>
      <c r="GE162" s="12"/>
      <c r="GF162" s="12"/>
      <c r="GG162" s="12"/>
      <c r="GH162" s="12"/>
      <c r="GI162" s="12"/>
      <c r="GJ162" s="12"/>
      <c r="GK162" s="12"/>
      <c r="GL162" s="12"/>
      <c r="GM162" s="12"/>
      <c r="GN162" s="12"/>
      <c r="GO162" s="12"/>
      <c r="GP162" s="12"/>
      <c r="GQ162" s="12"/>
      <c r="GR162" s="12"/>
      <c r="GS162" s="12"/>
      <c r="GT162" s="12"/>
      <c r="GU162" s="12"/>
      <c r="GV162" s="12"/>
      <c r="GW162" s="12"/>
      <c r="GX162" s="12"/>
      <c r="GY162" s="12"/>
      <c r="GZ162" s="12"/>
      <c r="HA162" s="12"/>
      <c r="HB162" s="12"/>
      <c r="HC162" s="12"/>
      <c r="HD162" s="12"/>
      <c r="HE162" s="12"/>
      <c r="HF162" s="12"/>
      <c r="HG162" s="12"/>
      <c r="HH162" s="12"/>
      <c r="HI162" s="12"/>
      <c r="HJ162" s="12"/>
      <c r="HK162" s="12"/>
      <c r="HL162" s="12"/>
      <c r="HM162" s="12"/>
      <c r="HN162" s="12"/>
      <c r="HO162" s="12"/>
      <c r="HP162" s="12"/>
      <c r="HQ162" s="12"/>
      <c r="HR162" s="12"/>
      <c r="HS162" s="12"/>
      <c r="HT162" s="12"/>
      <c r="HU162" s="12"/>
      <c r="HV162" s="12"/>
      <c r="HW162" s="12"/>
      <c r="HX162" s="12"/>
      <c r="HY162" s="12"/>
      <c r="HZ162" s="12"/>
      <c r="IA162" s="12"/>
      <c r="IB162" s="12"/>
      <c r="IC162" s="12"/>
      <c r="ID162" s="12"/>
      <c r="IE162" s="12"/>
      <c r="IF162" s="12"/>
      <c r="IG162" s="12"/>
      <c r="IH162" s="12"/>
      <c r="II162" s="12"/>
      <c r="IJ162" s="12"/>
      <c r="IK162" s="12"/>
      <c r="IL162" s="12"/>
      <c r="IM162" s="12"/>
      <c r="IN162" s="12"/>
      <c r="IO162" s="12"/>
      <c r="IP162" s="12"/>
      <c r="IQ162" s="12"/>
      <c r="IR162" s="12"/>
      <c r="IS162" s="12"/>
      <c r="IT162" s="12"/>
      <c r="IU162" s="12"/>
      <c r="IV162" s="12"/>
      <c r="IW162" s="12"/>
    </row>
    <row r="163" customFormat="false" ht="11.25" hidden="false" customHeight="false" outlineLevel="0" collapsed="false">
      <c r="A163" s="25" t="n">
        <f aca="false">DATE(YEAR(A162),MONTH(A162)+1,1)</f>
        <v>50679</v>
      </c>
      <c r="B163" s="21" t="n">
        <v>2.572</v>
      </c>
      <c r="C163" s="21" t="n">
        <v>2.642</v>
      </c>
      <c r="D163" s="25" t="n">
        <f aca="false">DATE(YEAR(D162),MONTH(D162)+1,1)</f>
        <v>50679</v>
      </c>
      <c r="E163" s="21" t="n">
        <v>19.328</v>
      </c>
      <c r="F163" s="21" t="n">
        <v>20.324</v>
      </c>
      <c r="G163" s="6"/>
      <c r="H163" s="22" t="n">
        <f aca="false">A163</f>
        <v>50679</v>
      </c>
      <c r="I163" s="23" t="n">
        <f aca="false">IF($J$1="bid",B163,C163)</f>
        <v>2.642</v>
      </c>
      <c r="J163" s="24" t="n">
        <f aca="false">D163</f>
        <v>50679</v>
      </c>
      <c r="K163" s="23" t="n">
        <f aca="false">IF($J$1="bid",E163,F163)</f>
        <v>20.324</v>
      </c>
      <c r="L163" s="11"/>
      <c r="M163" s="11"/>
      <c r="N163" s="11"/>
      <c r="O163" s="11"/>
      <c r="P163" s="11"/>
      <c r="Q163" s="11"/>
      <c r="R163" s="11"/>
      <c r="S163" s="11"/>
      <c r="T163" s="11"/>
      <c r="U163" s="11"/>
      <c r="V163" s="11"/>
      <c r="W163" s="11"/>
      <c r="X163" s="11"/>
      <c r="Y163" s="11"/>
      <c r="Z163" s="11"/>
      <c r="AA163" s="11"/>
      <c r="AB163" s="11"/>
      <c r="AC163" s="11"/>
      <c r="AD163" s="11"/>
      <c r="AE163" s="11"/>
      <c r="AF163" s="11"/>
      <c r="AG163" s="11"/>
      <c r="AH163" s="11"/>
      <c r="AI163" s="11"/>
      <c r="AJ163" s="11"/>
      <c r="AK163" s="11"/>
      <c r="AL163" s="11"/>
      <c r="AM163" s="11"/>
      <c r="AN163" s="11"/>
      <c r="AO163" s="11"/>
      <c r="AP163" s="11"/>
      <c r="AQ163" s="11"/>
      <c r="AR163" s="5"/>
      <c r="AS163" s="12"/>
      <c r="AT163" s="12"/>
      <c r="AU163" s="12"/>
      <c r="AV163" s="12"/>
      <c r="AW163" s="12"/>
      <c r="AX163" s="12"/>
      <c r="AY163" s="12"/>
      <c r="AZ163" s="12"/>
      <c r="BA163" s="12"/>
      <c r="BB163" s="12"/>
      <c r="BC163" s="12"/>
      <c r="BD163" s="12"/>
      <c r="BE163" s="12"/>
      <c r="BF163" s="12"/>
      <c r="BG163" s="12"/>
      <c r="BH163" s="12"/>
      <c r="BI163" s="12"/>
      <c r="BJ163" s="12"/>
      <c r="BK163" s="12"/>
      <c r="BL163" s="12"/>
      <c r="BM163" s="12"/>
      <c r="BN163" s="12"/>
      <c r="BO163" s="12"/>
      <c r="BP163" s="12"/>
      <c r="BQ163" s="12"/>
      <c r="BR163" s="12"/>
      <c r="BS163" s="12"/>
      <c r="BT163" s="12"/>
      <c r="BU163" s="12"/>
      <c r="BV163" s="12"/>
      <c r="BW163" s="12"/>
      <c r="BX163" s="12"/>
      <c r="BY163" s="12"/>
      <c r="BZ163" s="12"/>
      <c r="CA163" s="12"/>
      <c r="CB163" s="12"/>
      <c r="CC163" s="12"/>
      <c r="CD163" s="12"/>
      <c r="CE163" s="12"/>
      <c r="CF163" s="12"/>
      <c r="CG163" s="12"/>
      <c r="CH163" s="12"/>
      <c r="CI163" s="12"/>
      <c r="CJ163" s="12"/>
      <c r="CK163" s="12"/>
      <c r="CL163" s="12"/>
      <c r="CM163" s="12"/>
      <c r="CN163" s="12"/>
      <c r="CO163" s="12"/>
      <c r="CP163" s="12"/>
      <c r="CQ163" s="12"/>
      <c r="CR163" s="12"/>
      <c r="CS163" s="12"/>
      <c r="CT163" s="12"/>
      <c r="CU163" s="12"/>
      <c r="CV163" s="12"/>
      <c r="CW163" s="12"/>
      <c r="CX163" s="12"/>
      <c r="CY163" s="12"/>
      <c r="CZ163" s="12"/>
      <c r="DA163" s="12"/>
      <c r="DB163" s="12"/>
      <c r="DC163" s="12"/>
      <c r="DD163" s="12"/>
      <c r="DE163" s="12"/>
      <c r="DF163" s="12"/>
      <c r="DG163" s="12"/>
      <c r="DH163" s="12"/>
      <c r="DI163" s="12"/>
      <c r="DJ163" s="12"/>
      <c r="DK163" s="12"/>
      <c r="DL163" s="12"/>
      <c r="DM163" s="12"/>
      <c r="DN163" s="12"/>
      <c r="DO163" s="12"/>
      <c r="DP163" s="12"/>
      <c r="DQ163" s="12"/>
      <c r="DR163" s="12"/>
      <c r="DS163" s="12"/>
      <c r="DT163" s="12"/>
      <c r="DU163" s="12"/>
      <c r="DV163" s="12"/>
      <c r="DW163" s="12"/>
      <c r="DX163" s="12"/>
      <c r="DY163" s="12"/>
      <c r="DZ163" s="12"/>
      <c r="EA163" s="12"/>
      <c r="EB163" s="12"/>
      <c r="EC163" s="12"/>
      <c r="ED163" s="12"/>
      <c r="EE163" s="12"/>
      <c r="EF163" s="12"/>
      <c r="EG163" s="12"/>
      <c r="EH163" s="12"/>
      <c r="EI163" s="12"/>
      <c r="EJ163" s="12"/>
      <c r="EK163" s="12"/>
      <c r="EL163" s="12"/>
      <c r="EM163" s="12"/>
      <c r="EN163" s="12"/>
      <c r="EO163" s="12"/>
      <c r="EP163" s="12"/>
      <c r="EQ163" s="12"/>
      <c r="ER163" s="12"/>
      <c r="ES163" s="12"/>
      <c r="ET163" s="12"/>
      <c r="EU163" s="12"/>
      <c r="EV163" s="12"/>
      <c r="EW163" s="12"/>
      <c r="EX163" s="12"/>
      <c r="EY163" s="12"/>
      <c r="EZ163" s="12"/>
      <c r="FA163" s="12"/>
      <c r="FB163" s="12"/>
      <c r="FC163" s="12"/>
      <c r="FD163" s="12"/>
      <c r="FE163" s="12"/>
      <c r="FF163" s="12"/>
      <c r="FG163" s="12"/>
      <c r="FH163" s="12"/>
      <c r="FI163" s="12"/>
      <c r="FJ163" s="12"/>
      <c r="FK163" s="12"/>
      <c r="FL163" s="12"/>
      <c r="FM163" s="12"/>
      <c r="FN163" s="12"/>
      <c r="FO163" s="12"/>
      <c r="FP163" s="12"/>
      <c r="FQ163" s="12"/>
      <c r="FR163" s="12"/>
      <c r="FS163" s="12"/>
      <c r="FT163" s="12"/>
      <c r="FU163" s="12"/>
      <c r="FV163" s="12"/>
      <c r="FW163" s="12"/>
      <c r="FX163" s="12"/>
      <c r="FY163" s="12"/>
      <c r="FZ163" s="12"/>
      <c r="GA163" s="12"/>
      <c r="GB163" s="12"/>
      <c r="GC163" s="12"/>
      <c r="GD163" s="12"/>
      <c r="GE163" s="12"/>
      <c r="GF163" s="12"/>
      <c r="GG163" s="12"/>
      <c r="GH163" s="12"/>
      <c r="GI163" s="12"/>
      <c r="GJ163" s="12"/>
      <c r="GK163" s="12"/>
      <c r="GL163" s="12"/>
      <c r="GM163" s="12"/>
      <c r="GN163" s="12"/>
      <c r="GO163" s="12"/>
      <c r="GP163" s="12"/>
      <c r="GQ163" s="12"/>
      <c r="GR163" s="12"/>
      <c r="GS163" s="12"/>
      <c r="GT163" s="12"/>
      <c r="GU163" s="12"/>
      <c r="GV163" s="12"/>
      <c r="GW163" s="12"/>
      <c r="GX163" s="12"/>
      <c r="GY163" s="12"/>
      <c r="GZ163" s="12"/>
      <c r="HA163" s="12"/>
      <c r="HB163" s="12"/>
      <c r="HC163" s="12"/>
      <c r="HD163" s="12"/>
      <c r="HE163" s="12"/>
      <c r="HF163" s="12"/>
      <c r="HG163" s="12"/>
      <c r="HH163" s="12"/>
      <c r="HI163" s="12"/>
      <c r="HJ163" s="12"/>
      <c r="HK163" s="12"/>
      <c r="HL163" s="12"/>
      <c r="HM163" s="12"/>
      <c r="HN163" s="12"/>
      <c r="HO163" s="12"/>
      <c r="HP163" s="12"/>
      <c r="HQ163" s="12"/>
      <c r="HR163" s="12"/>
      <c r="HS163" s="12"/>
      <c r="HT163" s="12"/>
      <c r="HU163" s="12"/>
      <c r="HV163" s="12"/>
      <c r="HW163" s="12"/>
      <c r="HX163" s="12"/>
      <c r="HY163" s="12"/>
      <c r="HZ163" s="12"/>
      <c r="IA163" s="12"/>
      <c r="IB163" s="12"/>
      <c r="IC163" s="12"/>
      <c r="ID163" s="12"/>
      <c r="IE163" s="12"/>
      <c r="IF163" s="12"/>
      <c r="IG163" s="12"/>
      <c r="IH163" s="12"/>
      <c r="II163" s="12"/>
      <c r="IJ163" s="12"/>
      <c r="IK163" s="12"/>
      <c r="IL163" s="12"/>
      <c r="IM163" s="12"/>
      <c r="IN163" s="12"/>
      <c r="IO163" s="12"/>
      <c r="IP163" s="12"/>
      <c r="IQ163" s="12"/>
      <c r="IR163" s="12"/>
      <c r="IS163" s="12"/>
      <c r="IT163" s="12"/>
      <c r="IU163" s="12"/>
      <c r="IV163" s="12"/>
      <c r="IW163" s="12"/>
    </row>
    <row r="164" customFormat="false" ht="11.25" hidden="false" customHeight="false" outlineLevel="0" collapsed="false">
      <c r="A164" s="25" t="n">
        <f aca="false">DATE(YEAR(A163),MONTH(A163)+1,1)</f>
        <v>50710</v>
      </c>
      <c r="B164" s="21" t="n">
        <v>2.693</v>
      </c>
      <c r="C164" s="21" t="n">
        <v>2.793</v>
      </c>
      <c r="D164" s="25" t="n">
        <f aca="false">DATE(YEAR(D163),MONTH(D163)+1,1)</f>
        <v>50710</v>
      </c>
      <c r="E164" s="21" t="n">
        <v>19.337</v>
      </c>
      <c r="F164" s="21" t="n">
        <v>20.342</v>
      </c>
      <c r="G164" s="6"/>
      <c r="H164" s="22" t="n">
        <f aca="false">A164</f>
        <v>50710</v>
      </c>
      <c r="I164" s="23" t="n">
        <f aca="false">IF($J$1="bid",B164,C164)</f>
        <v>2.793</v>
      </c>
      <c r="J164" s="24" t="n">
        <f aca="false">D164</f>
        <v>50710</v>
      </c>
      <c r="K164" s="23" t="n">
        <f aca="false">IF($J$1="bid",E164,F164)</f>
        <v>20.342</v>
      </c>
      <c r="L164" s="11"/>
      <c r="M164" s="11"/>
      <c r="N164" s="11"/>
      <c r="O164" s="11"/>
      <c r="P164" s="11"/>
      <c r="Q164" s="11"/>
      <c r="R164" s="11"/>
      <c r="S164" s="11"/>
      <c r="T164" s="11"/>
      <c r="U164" s="11"/>
      <c r="V164" s="11"/>
      <c r="W164" s="11"/>
      <c r="X164" s="11"/>
      <c r="Y164" s="11"/>
      <c r="Z164" s="11"/>
      <c r="AA164" s="11"/>
      <c r="AB164" s="11"/>
      <c r="AC164" s="11"/>
      <c r="AD164" s="11"/>
      <c r="AE164" s="11"/>
      <c r="AF164" s="11"/>
      <c r="AG164" s="11"/>
      <c r="AH164" s="11"/>
      <c r="AI164" s="11"/>
      <c r="AJ164" s="11"/>
      <c r="AK164" s="11"/>
      <c r="AL164" s="11"/>
      <c r="AM164" s="11"/>
      <c r="AN164" s="11"/>
      <c r="AO164" s="11"/>
      <c r="AP164" s="11"/>
      <c r="AQ164" s="11"/>
      <c r="AR164" s="5"/>
      <c r="AS164" s="12"/>
      <c r="AT164" s="12"/>
      <c r="AU164" s="12"/>
      <c r="AV164" s="12"/>
      <c r="AW164" s="12"/>
      <c r="AX164" s="12"/>
      <c r="AY164" s="12"/>
      <c r="AZ164" s="12"/>
      <c r="BA164" s="12"/>
      <c r="BB164" s="12"/>
      <c r="BC164" s="12"/>
      <c r="BD164" s="12"/>
      <c r="BE164" s="12"/>
      <c r="BF164" s="12"/>
      <c r="BG164" s="12"/>
      <c r="BH164" s="12"/>
      <c r="BI164" s="12"/>
      <c r="BJ164" s="12"/>
      <c r="BK164" s="12"/>
      <c r="BL164" s="12"/>
      <c r="BM164" s="12"/>
      <c r="BN164" s="12"/>
      <c r="BO164" s="12"/>
      <c r="BP164" s="12"/>
      <c r="BQ164" s="12"/>
      <c r="BR164" s="12"/>
      <c r="BS164" s="12"/>
      <c r="BT164" s="12"/>
      <c r="BU164" s="12"/>
      <c r="BV164" s="12"/>
      <c r="BW164" s="12"/>
      <c r="BX164" s="12"/>
      <c r="BY164" s="12"/>
      <c r="BZ164" s="12"/>
      <c r="CA164" s="12"/>
      <c r="CB164" s="12"/>
      <c r="CC164" s="12"/>
      <c r="CD164" s="12"/>
      <c r="CE164" s="12"/>
      <c r="CF164" s="12"/>
      <c r="CG164" s="12"/>
      <c r="CH164" s="12"/>
      <c r="CI164" s="12"/>
      <c r="CJ164" s="12"/>
      <c r="CK164" s="12"/>
      <c r="CL164" s="12"/>
      <c r="CM164" s="12"/>
      <c r="CN164" s="12"/>
      <c r="CO164" s="12"/>
      <c r="CP164" s="12"/>
      <c r="CQ164" s="12"/>
      <c r="CR164" s="12"/>
      <c r="CS164" s="12"/>
      <c r="CT164" s="12"/>
      <c r="CU164" s="12"/>
      <c r="CV164" s="12"/>
      <c r="CW164" s="12"/>
      <c r="CX164" s="12"/>
      <c r="CY164" s="12"/>
      <c r="CZ164" s="12"/>
      <c r="DA164" s="12"/>
      <c r="DB164" s="12"/>
      <c r="DC164" s="12"/>
      <c r="DD164" s="12"/>
      <c r="DE164" s="12"/>
      <c r="DF164" s="12"/>
      <c r="DG164" s="12"/>
      <c r="DH164" s="12"/>
      <c r="DI164" s="12"/>
      <c r="DJ164" s="12"/>
      <c r="DK164" s="12"/>
      <c r="DL164" s="12"/>
      <c r="DM164" s="12"/>
      <c r="DN164" s="12"/>
      <c r="DO164" s="12"/>
      <c r="DP164" s="12"/>
      <c r="DQ164" s="12"/>
      <c r="DR164" s="12"/>
      <c r="DS164" s="12"/>
      <c r="DT164" s="12"/>
      <c r="DU164" s="12"/>
      <c r="DV164" s="12"/>
      <c r="DW164" s="12"/>
      <c r="DX164" s="12"/>
      <c r="DY164" s="12"/>
      <c r="DZ164" s="12"/>
      <c r="EA164" s="12"/>
      <c r="EB164" s="12"/>
      <c r="EC164" s="12"/>
      <c r="ED164" s="12"/>
      <c r="EE164" s="12"/>
      <c r="EF164" s="12"/>
      <c r="EG164" s="12"/>
      <c r="EH164" s="12"/>
      <c r="EI164" s="12"/>
      <c r="EJ164" s="12"/>
      <c r="EK164" s="12"/>
      <c r="EL164" s="12"/>
      <c r="EM164" s="12"/>
      <c r="EN164" s="12"/>
      <c r="EO164" s="12"/>
      <c r="EP164" s="12"/>
      <c r="EQ164" s="12"/>
      <c r="ER164" s="12"/>
      <c r="ES164" s="12"/>
      <c r="ET164" s="12"/>
      <c r="EU164" s="12"/>
      <c r="EV164" s="12"/>
      <c r="EW164" s="12"/>
      <c r="EX164" s="12"/>
      <c r="EY164" s="12"/>
      <c r="EZ164" s="12"/>
      <c r="FA164" s="12"/>
      <c r="FB164" s="12"/>
      <c r="FC164" s="12"/>
      <c r="FD164" s="12"/>
      <c r="FE164" s="12"/>
      <c r="FF164" s="12"/>
      <c r="FG164" s="12"/>
      <c r="FH164" s="12"/>
      <c r="FI164" s="12"/>
      <c r="FJ164" s="12"/>
      <c r="FK164" s="12"/>
      <c r="FL164" s="12"/>
      <c r="FM164" s="12"/>
      <c r="FN164" s="12"/>
      <c r="FO164" s="12"/>
      <c r="FP164" s="12"/>
      <c r="FQ164" s="12"/>
      <c r="FR164" s="12"/>
      <c r="FS164" s="12"/>
      <c r="FT164" s="12"/>
      <c r="FU164" s="12"/>
      <c r="FV164" s="12"/>
      <c r="FW164" s="12"/>
      <c r="FX164" s="12"/>
      <c r="FY164" s="12"/>
      <c r="FZ164" s="12"/>
      <c r="GA164" s="12"/>
      <c r="GB164" s="12"/>
      <c r="GC164" s="12"/>
      <c r="GD164" s="12"/>
      <c r="GE164" s="12"/>
      <c r="GF164" s="12"/>
      <c r="GG164" s="12"/>
      <c r="GH164" s="12"/>
      <c r="GI164" s="12"/>
      <c r="GJ164" s="12"/>
      <c r="GK164" s="12"/>
      <c r="GL164" s="12"/>
      <c r="GM164" s="12"/>
      <c r="GN164" s="12"/>
      <c r="GO164" s="12"/>
      <c r="GP164" s="12"/>
      <c r="GQ164" s="12"/>
      <c r="GR164" s="12"/>
      <c r="GS164" s="12"/>
      <c r="GT164" s="12"/>
      <c r="GU164" s="12"/>
      <c r="GV164" s="12"/>
      <c r="GW164" s="12"/>
      <c r="GX164" s="12"/>
      <c r="GY164" s="12"/>
      <c r="GZ164" s="12"/>
      <c r="HA164" s="12"/>
      <c r="HB164" s="12"/>
      <c r="HC164" s="12"/>
      <c r="HD164" s="12"/>
      <c r="HE164" s="12"/>
      <c r="HF164" s="12"/>
      <c r="HG164" s="12"/>
      <c r="HH164" s="12"/>
      <c r="HI164" s="12"/>
      <c r="HJ164" s="12"/>
      <c r="HK164" s="12"/>
      <c r="HL164" s="12"/>
      <c r="HM164" s="12"/>
      <c r="HN164" s="12"/>
      <c r="HO164" s="12"/>
      <c r="HP164" s="12"/>
      <c r="HQ164" s="12"/>
      <c r="HR164" s="12"/>
      <c r="HS164" s="12"/>
      <c r="HT164" s="12"/>
      <c r="HU164" s="12"/>
      <c r="HV164" s="12"/>
      <c r="HW164" s="12"/>
      <c r="HX164" s="12"/>
      <c r="HY164" s="12"/>
      <c r="HZ164" s="12"/>
      <c r="IA164" s="12"/>
      <c r="IB164" s="12"/>
      <c r="IC164" s="12"/>
      <c r="ID164" s="12"/>
      <c r="IE164" s="12"/>
      <c r="IF164" s="12"/>
      <c r="IG164" s="12"/>
      <c r="IH164" s="12"/>
      <c r="II164" s="12"/>
      <c r="IJ164" s="12"/>
      <c r="IK164" s="12"/>
      <c r="IL164" s="12"/>
      <c r="IM164" s="12"/>
      <c r="IN164" s="12"/>
      <c r="IO164" s="12"/>
      <c r="IP164" s="12"/>
      <c r="IQ164" s="12"/>
      <c r="IR164" s="12"/>
      <c r="IS164" s="12"/>
      <c r="IT164" s="12"/>
      <c r="IU164" s="12"/>
      <c r="IV164" s="12"/>
      <c r="IW164" s="12"/>
    </row>
    <row r="165" customFormat="false" ht="11.25" hidden="false" customHeight="false" outlineLevel="0" collapsed="false">
      <c r="A165" s="25" t="n">
        <f aca="false">DATE(YEAR(A164),MONTH(A164)+1,1)</f>
        <v>50740</v>
      </c>
      <c r="B165" s="21" t="n">
        <v>2.608</v>
      </c>
      <c r="C165" s="21" t="n">
        <v>2.708</v>
      </c>
      <c r="D165" s="25" t="n">
        <f aca="false">DATE(YEAR(D164),MONTH(D164)+1,1)</f>
        <v>50740</v>
      </c>
      <c r="E165" s="21" t="n">
        <v>19.345</v>
      </c>
      <c r="F165" s="21" t="n">
        <v>20.358</v>
      </c>
      <c r="G165" s="6"/>
      <c r="H165" s="22" t="n">
        <f aca="false">A165</f>
        <v>50740</v>
      </c>
      <c r="I165" s="23" t="n">
        <f aca="false">IF($J$1="bid",B165,C165)</f>
        <v>2.708</v>
      </c>
      <c r="J165" s="24" t="n">
        <f aca="false">D165</f>
        <v>50740</v>
      </c>
      <c r="K165" s="23" t="n">
        <f aca="false">IF($J$1="bid",E165,F165)</f>
        <v>20.358</v>
      </c>
      <c r="L165" s="11"/>
      <c r="M165" s="11"/>
      <c r="N165" s="11"/>
      <c r="O165" s="11"/>
      <c r="P165" s="11"/>
      <c r="Q165" s="11"/>
      <c r="R165" s="11"/>
      <c r="S165" s="11"/>
      <c r="T165" s="11"/>
      <c r="U165" s="11"/>
      <c r="V165" s="11"/>
      <c r="W165" s="11"/>
      <c r="X165" s="11"/>
      <c r="Y165" s="11"/>
      <c r="Z165" s="11"/>
      <c r="AA165" s="11"/>
      <c r="AB165" s="11"/>
      <c r="AC165" s="11"/>
      <c r="AD165" s="11"/>
      <c r="AE165" s="11"/>
      <c r="AF165" s="11"/>
      <c r="AG165" s="11"/>
      <c r="AH165" s="11"/>
      <c r="AI165" s="11"/>
      <c r="AJ165" s="11"/>
      <c r="AK165" s="11"/>
      <c r="AL165" s="11"/>
      <c r="AM165" s="11"/>
      <c r="AN165" s="11"/>
      <c r="AO165" s="11"/>
      <c r="AP165" s="11"/>
      <c r="AQ165" s="11"/>
      <c r="AR165" s="5"/>
      <c r="AS165" s="12"/>
      <c r="AT165" s="12"/>
      <c r="AU165" s="12"/>
      <c r="AV165" s="12"/>
      <c r="AW165" s="12"/>
      <c r="AX165" s="12"/>
      <c r="AY165" s="12"/>
      <c r="AZ165" s="12"/>
      <c r="BA165" s="12"/>
      <c r="BB165" s="12"/>
      <c r="BC165" s="12"/>
      <c r="BD165" s="12"/>
      <c r="BE165" s="12"/>
      <c r="BF165" s="12"/>
      <c r="BG165" s="12"/>
      <c r="BH165" s="12"/>
      <c r="BI165" s="12"/>
      <c r="BJ165" s="12"/>
      <c r="BK165" s="12"/>
      <c r="BL165" s="12"/>
      <c r="BM165" s="12"/>
      <c r="BN165" s="12"/>
      <c r="BO165" s="12"/>
      <c r="BP165" s="12"/>
      <c r="BQ165" s="12"/>
      <c r="BR165" s="12"/>
      <c r="BS165" s="12"/>
      <c r="BT165" s="12"/>
      <c r="BU165" s="12"/>
      <c r="BV165" s="12"/>
      <c r="BW165" s="12"/>
      <c r="BX165" s="12"/>
      <c r="BY165" s="12"/>
      <c r="BZ165" s="12"/>
      <c r="CA165" s="12"/>
      <c r="CB165" s="12"/>
      <c r="CC165" s="12"/>
      <c r="CD165" s="12"/>
      <c r="CE165" s="12"/>
      <c r="CF165" s="12"/>
      <c r="CG165" s="12"/>
      <c r="CH165" s="12"/>
      <c r="CI165" s="12"/>
      <c r="CJ165" s="12"/>
      <c r="CK165" s="12"/>
      <c r="CL165" s="12"/>
      <c r="CM165" s="12"/>
      <c r="CN165" s="12"/>
      <c r="CO165" s="12"/>
      <c r="CP165" s="12"/>
      <c r="CQ165" s="12"/>
      <c r="CR165" s="12"/>
      <c r="CS165" s="12"/>
      <c r="CT165" s="12"/>
      <c r="CU165" s="12"/>
      <c r="CV165" s="12"/>
      <c r="CW165" s="12"/>
      <c r="CX165" s="12"/>
      <c r="CY165" s="12"/>
      <c r="CZ165" s="12"/>
      <c r="DA165" s="12"/>
      <c r="DB165" s="12"/>
      <c r="DC165" s="12"/>
      <c r="DD165" s="12"/>
      <c r="DE165" s="12"/>
      <c r="DF165" s="12"/>
      <c r="DG165" s="12"/>
      <c r="DH165" s="12"/>
      <c r="DI165" s="12"/>
      <c r="DJ165" s="12"/>
      <c r="DK165" s="12"/>
      <c r="DL165" s="12"/>
      <c r="DM165" s="12"/>
      <c r="DN165" s="12"/>
      <c r="DO165" s="12"/>
      <c r="DP165" s="12"/>
      <c r="DQ165" s="12"/>
      <c r="DR165" s="12"/>
      <c r="DS165" s="12"/>
      <c r="DT165" s="12"/>
      <c r="DU165" s="12"/>
      <c r="DV165" s="12"/>
      <c r="DW165" s="12"/>
      <c r="DX165" s="12"/>
      <c r="DY165" s="12"/>
      <c r="DZ165" s="12"/>
      <c r="EA165" s="12"/>
      <c r="EB165" s="12"/>
      <c r="EC165" s="12"/>
      <c r="ED165" s="12"/>
      <c r="EE165" s="12"/>
      <c r="EF165" s="12"/>
      <c r="EG165" s="12"/>
      <c r="EH165" s="12"/>
      <c r="EI165" s="12"/>
      <c r="EJ165" s="12"/>
      <c r="EK165" s="12"/>
      <c r="EL165" s="12"/>
      <c r="EM165" s="12"/>
      <c r="EN165" s="12"/>
      <c r="EO165" s="12"/>
      <c r="EP165" s="12"/>
      <c r="EQ165" s="12"/>
      <c r="ER165" s="12"/>
      <c r="ES165" s="12"/>
      <c r="ET165" s="12"/>
      <c r="EU165" s="12"/>
      <c r="EV165" s="12"/>
      <c r="EW165" s="12"/>
      <c r="EX165" s="12"/>
      <c r="EY165" s="12"/>
      <c r="EZ165" s="12"/>
      <c r="FA165" s="12"/>
      <c r="FB165" s="12"/>
      <c r="FC165" s="12"/>
      <c r="FD165" s="12"/>
      <c r="FE165" s="12"/>
      <c r="FF165" s="12"/>
      <c r="FG165" s="12"/>
      <c r="FH165" s="12"/>
      <c r="FI165" s="12"/>
      <c r="FJ165" s="12"/>
      <c r="FK165" s="12"/>
      <c r="FL165" s="12"/>
      <c r="FM165" s="12"/>
      <c r="FN165" s="12"/>
      <c r="FO165" s="12"/>
      <c r="FP165" s="12"/>
      <c r="FQ165" s="12"/>
      <c r="FR165" s="12"/>
      <c r="FS165" s="12"/>
      <c r="FT165" s="12"/>
      <c r="FU165" s="12"/>
      <c r="FV165" s="12"/>
      <c r="FW165" s="12"/>
      <c r="FX165" s="12"/>
      <c r="FY165" s="12"/>
      <c r="FZ165" s="12"/>
      <c r="GA165" s="12"/>
      <c r="GB165" s="12"/>
      <c r="GC165" s="12"/>
      <c r="GD165" s="12"/>
      <c r="GE165" s="12"/>
      <c r="GF165" s="12"/>
      <c r="GG165" s="12"/>
      <c r="GH165" s="12"/>
      <c r="GI165" s="12"/>
      <c r="GJ165" s="12"/>
      <c r="GK165" s="12"/>
      <c r="GL165" s="12"/>
      <c r="GM165" s="12"/>
      <c r="GN165" s="12"/>
      <c r="GO165" s="12"/>
      <c r="GP165" s="12"/>
      <c r="GQ165" s="12"/>
      <c r="GR165" s="12"/>
      <c r="GS165" s="12"/>
      <c r="GT165" s="12"/>
      <c r="GU165" s="12"/>
      <c r="GV165" s="12"/>
      <c r="GW165" s="12"/>
      <c r="GX165" s="12"/>
      <c r="GY165" s="12"/>
      <c r="GZ165" s="12"/>
      <c r="HA165" s="12"/>
      <c r="HB165" s="12"/>
      <c r="HC165" s="12"/>
      <c r="HD165" s="12"/>
      <c r="HE165" s="12"/>
      <c r="HF165" s="12"/>
      <c r="HG165" s="12"/>
      <c r="HH165" s="12"/>
      <c r="HI165" s="12"/>
      <c r="HJ165" s="12"/>
      <c r="HK165" s="12"/>
      <c r="HL165" s="12"/>
      <c r="HM165" s="12"/>
      <c r="HN165" s="12"/>
      <c r="HO165" s="12"/>
      <c r="HP165" s="12"/>
      <c r="HQ165" s="12"/>
      <c r="HR165" s="12"/>
      <c r="HS165" s="12"/>
      <c r="HT165" s="12"/>
      <c r="HU165" s="12"/>
      <c r="HV165" s="12"/>
      <c r="HW165" s="12"/>
      <c r="HX165" s="12"/>
      <c r="HY165" s="12"/>
      <c r="HZ165" s="12"/>
      <c r="IA165" s="12"/>
      <c r="IB165" s="12"/>
      <c r="IC165" s="12"/>
      <c r="ID165" s="12"/>
      <c r="IE165" s="12"/>
      <c r="IF165" s="12"/>
      <c r="IG165" s="12"/>
      <c r="IH165" s="12"/>
      <c r="II165" s="12"/>
      <c r="IJ165" s="12"/>
      <c r="IK165" s="12"/>
      <c r="IL165" s="12"/>
      <c r="IM165" s="12"/>
      <c r="IN165" s="12"/>
      <c r="IO165" s="12"/>
      <c r="IP165" s="12"/>
      <c r="IQ165" s="12"/>
      <c r="IR165" s="12"/>
      <c r="IS165" s="12"/>
      <c r="IT165" s="12"/>
      <c r="IU165" s="12"/>
      <c r="IV165" s="12"/>
      <c r="IW165" s="12"/>
    </row>
    <row r="166" customFormat="false" ht="11.25" hidden="false" customHeight="false" outlineLevel="0" collapsed="false">
      <c r="A166" s="25" t="n">
        <f aca="false">DATE(YEAR(A165),MONTH(A165)+1,1)</f>
        <v>50771</v>
      </c>
      <c r="B166" s="21" t="n">
        <v>2.542</v>
      </c>
      <c r="C166" s="21" t="n">
        <v>2.642</v>
      </c>
      <c r="D166" s="25" t="n">
        <f aca="false">DATE(YEAR(D165),MONTH(D165)+1,1)</f>
        <v>50771</v>
      </c>
      <c r="E166" s="21" t="n">
        <v>19.355</v>
      </c>
      <c r="F166" s="21" t="n">
        <v>20.376</v>
      </c>
      <c r="G166" s="6"/>
      <c r="H166" s="22" t="n">
        <f aca="false">A166</f>
        <v>50771</v>
      </c>
      <c r="I166" s="23" t="n">
        <f aca="false">IF($J$1="bid",B166,C166)</f>
        <v>2.642</v>
      </c>
      <c r="J166" s="24" t="n">
        <f aca="false">D166</f>
        <v>50771</v>
      </c>
      <c r="K166" s="23" t="n">
        <f aca="false">IF($J$1="bid",E166,F166)</f>
        <v>20.376</v>
      </c>
      <c r="L166" s="11"/>
      <c r="M166" s="11"/>
      <c r="N166" s="11"/>
      <c r="O166" s="11"/>
      <c r="P166" s="11"/>
      <c r="Q166" s="11"/>
      <c r="R166" s="11"/>
      <c r="S166" s="11"/>
      <c r="T166" s="11"/>
      <c r="U166" s="11"/>
      <c r="V166" s="11"/>
      <c r="W166" s="11"/>
      <c r="X166" s="11"/>
      <c r="Y166" s="11"/>
      <c r="Z166" s="11"/>
      <c r="AA166" s="11"/>
      <c r="AB166" s="11"/>
      <c r="AC166" s="11"/>
      <c r="AD166" s="11"/>
      <c r="AE166" s="11"/>
      <c r="AF166" s="11"/>
      <c r="AG166" s="11"/>
      <c r="AH166" s="11"/>
      <c r="AI166" s="11"/>
      <c r="AJ166" s="11"/>
      <c r="AK166" s="11"/>
      <c r="AL166" s="11"/>
      <c r="AM166" s="11"/>
      <c r="AN166" s="11"/>
      <c r="AO166" s="11"/>
      <c r="AP166" s="11"/>
      <c r="AQ166" s="11"/>
      <c r="AR166" s="5"/>
      <c r="AS166" s="12"/>
      <c r="AT166" s="12"/>
      <c r="AU166" s="12"/>
      <c r="AV166" s="12"/>
      <c r="AW166" s="12"/>
      <c r="AX166" s="12"/>
      <c r="AY166" s="12"/>
      <c r="AZ166" s="12"/>
      <c r="BA166" s="12"/>
      <c r="BB166" s="12"/>
      <c r="BC166" s="12"/>
      <c r="BD166" s="12"/>
      <c r="BE166" s="12"/>
      <c r="BF166" s="12"/>
      <c r="BG166" s="12"/>
      <c r="BH166" s="12"/>
      <c r="BI166" s="12"/>
      <c r="BJ166" s="12"/>
      <c r="BK166" s="12"/>
      <c r="BL166" s="12"/>
      <c r="BM166" s="12"/>
      <c r="BN166" s="12"/>
      <c r="BO166" s="12"/>
      <c r="BP166" s="12"/>
      <c r="BQ166" s="12"/>
      <c r="BR166" s="12"/>
      <c r="BS166" s="12"/>
      <c r="BT166" s="12"/>
      <c r="BU166" s="12"/>
      <c r="BV166" s="12"/>
      <c r="BW166" s="12"/>
      <c r="BX166" s="12"/>
      <c r="BY166" s="12"/>
      <c r="BZ166" s="12"/>
      <c r="CA166" s="12"/>
      <c r="CB166" s="12"/>
      <c r="CC166" s="12"/>
      <c r="CD166" s="12"/>
      <c r="CE166" s="12"/>
      <c r="CF166" s="12"/>
      <c r="CG166" s="12"/>
      <c r="CH166" s="12"/>
      <c r="CI166" s="12"/>
      <c r="CJ166" s="12"/>
      <c r="CK166" s="12"/>
      <c r="CL166" s="12"/>
      <c r="CM166" s="12"/>
      <c r="CN166" s="12"/>
      <c r="CO166" s="12"/>
      <c r="CP166" s="12"/>
      <c r="CQ166" s="12"/>
      <c r="CR166" s="12"/>
      <c r="CS166" s="12"/>
      <c r="CT166" s="12"/>
      <c r="CU166" s="12"/>
      <c r="CV166" s="12"/>
      <c r="CW166" s="12"/>
      <c r="CX166" s="12"/>
      <c r="CY166" s="12"/>
      <c r="CZ166" s="12"/>
      <c r="DA166" s="12"/>
      <c r="DB166" s="12"/>
      <c r="DC166" s="12"/>
      <c r="DD166" s="12"/>
      <c r="DE166" s="12"/>
      <c r="DF166" s="12"/>
      <c r="DG166" s="12"/>
      <c r="DH166" s="12"/>
      <c r="DI166" s="12"/>
      <c r="DJ166" s="12"/>
      <c r="DK166" s="12"/>
      <c r="DL166" s="12"/>
      <c r="DM166" s="12"/>
      <c r="DN166" s="12"/>
      <c r="DO166" s="12"/>
      <c r="DP166" s="12"/>
      <c r="DQ166" s="12"/>
      <c r="DR166" s="12"/>
      <c r="DS166" s="12"/>
      <c r="DT166" s="12"/>
      <c r="DU166" s="12"/>
      <c r="DV166" s="12"/>
      <c r="DW166" s="12"/>
      <c r="DX166" s="12"/>
      <c r="DY166" s="12"/>
      <c r="DZ166" s="12"/>
      <c r="EA166" s="12"/>
      <c r="EB166" s="12"/>
      <c r="EC166" s="12"/>
      <c r="ED166" s="12"/>
      <c r="EE166" s="12"/>
      <c r="EF166" s="12"/>
      <c r="EG166" s="12"/>
      <c r="EH166" s="12"/>
      <c r="EI166" s="12"/>
      <c r="EJ166" s="12"/>
      <c r="EK166" s="12"/>
      <c r="EL166" s="12"/>
      <c r="EM166" s="12"/>
      <c r="EN166" s="12"/>
      <c r="EO166" s="12"/>
      <c r="EP166" s="12"/>
      <c r="EQ166" s="12"/>
      <c r="ER166" s="12"/>
      <c r="ES166" s="12"/>
      <c r="ET166" s="12"/>
      <c r="EU166" s="12"/>
      <c r="EV166" s="12"/>
      <c r="EW166" s="12"/>
      <c r="EX166" s="12"/>
      <c r="EY166" s="12"/>
      <c r="EZ166" s="12"/>
      <c r="FA166" s="12"/>
      <c r="FB166" s="12"/>
      <c r="FC166" s="12"/>
      <c r="FD166" s="12"/>
      <c r="FE166" s="12"/>
      <c r="FF166" s="12"/>
      <c r="FG166" s="12"/>
      <c r="FH166" s="12"/>
      <c r="FI166" s="12"/>
      <c r="FJ166" s="12"/>
      <c r="FK166" s="12"/>
      <c r="FL166" s="12"/>
      <c r="FM166" s="12"/>
      <c r="FN166" s="12"/>
      <c r="FO166" s="12"/>
      <c r="FP166" s="12"/>
      <c r="FQ166" s="12"/>
      <c r="FR166" s="12"/>
      <c r="FS166" s="12"/>
      <c r="FT166" s="12"/>
      <c r="FU166" s="12"/>
      <c r="FV166" s="12"/>
      <c r="FW166" s="12"/>
      <c r="FX166" s="12"/>
      <c r="FY166" s="12"/>
      <c r="FZ166" s="12"/>
      <c r="GA166" s="12"/>
      <c r="GB166" s="12"/>
      <c r="GC166" s="12"/>
      <c r="GD166" s="12"/>
      <c r="GE166" s="12"/>
      <c r="GF166" s="12"/>
      <c r="GG166" s="12"/>
      <c r="GH166" s="12"/>
      <c r="GI166" s="12"/>
      <c r="GJ166" s="12"/>
      <c r="GK166" s="12"/>
      <c r="GL166" s="12"/>
      <c r="GM166" s="12"/>
      <c r="GN166" s="12"/>
      <c r="GO166" s="12"/>
      <c r="GP166" s="12"/>
      <c r="GQ166" s="12"/>
      <c r="GR166" s="12"/>
      <c r="GS166" s="12"/>
      <c r="GT166" s="12"/>
      <c r="GU166" s="12"/>
      <c r="GV166" s="12"/>
      <c r="GW166" s="12"/>
      <c r="GX166" s="12"/>
      <c r="GY166" s="12"/>
      <c r="GZ166" s="12"/>
      <c r="HA166" s="12"/>
      <c r="HB166" s="12"/>
      <c r="HC166" s="12"/>
      <c r="HD166" s="12"/>
      <c r="HE166" s="12"/>
      <c r="HF166" s="12"/>
      <c r="HG166" s="12"/>
      <c r="HH166" s="12"/>
      <c r="HI166" s="12"/>
      <c r="HJ166" s="12"/>
      <c r="HK166" s="12"/>
      <c r="HL166" s="12"/>
      <c r="HM166" s="12"/>
      <c r="HN166" s="12"/>
      <c r="HO166" s="12"/>
      <c r="HP166" s="12"/>
      <c r="HQ166" s="12"/>
      <c r="HR166" s="12"/>
      <c r="HS166" s="12"/>
      <c r="HT166" s="12"/>
      <c r="HU166" s="12"/>
      <c r="HV166" s="12"/>
      <c r="HW166" s="12"/>
      <c r="HX166" s="12"/>
      <c r="HY166" s="12"/>
      <c r="HZ166" s="12"/>
      <c r="IA166" s="12"/>
      <c r="IB166" s="12"/>
      <c r="IC166" s="12"/>
      <c r="ID166" s="12"/>
      <c r="IE166" s="12"/>
      <c r="IF166" s="12"/>
      <c r="IG166" s="12"/>
      <c r="IH166" s="12"/>
      <c r="II166" s="12"/>
      <c r="IJ166" s="12"/>
      <c r="IK166" s="12"/>
      <c r="IL166" s="12"/>
      <c r="IM166" s="12"/>
      <c r="IN166" s="12"/>
      <c r="IO166" s="12"/>
      <c r="IP166" s="12"/>
      <c r="IQ166" s="12"/>
      <c r="IR166" s="12"/>
      <c r="IS166" s="12"/>
      <c r="IT166" s="12"/>
      <c r="IU166" s="12"/>
      <c r="IV166" s="12"/>
      <c r="IW166" s="12"/>
    </row>
    <row r="167" customFormat="false" ht="11.25" hidden="false" customHeight="false" outlineLevel="0" collapsed="false">
      <c r="A167" s="25" t="n">
        <f aca="false">DATE(YEAR(A166),MONTH(A166)+1,1)</f>
        <v>50802</v>
      </c>
      <c r="B167" s="21" t="n">
        <v>2.493</v>
      </c>
      <c r="C167" s="21" t="n">
        <v>2.593</v>
      </c>
      <c r="D167" s="25" t="n">
        <f aca="false">DATE(YEAR(D166),MONTH(D166)+1,1)</f>
        <v>50802</v>
      </c>
      <c r="E167" s="21" t="n">
        <v>19.365</v>
      </c>
      <c r="F167" s="21" t="n">
        <v>20.395</v>
      </c>
      <c r="G167" s="6"/>
      <c r="H167" s="22" t="n">
        <f aca="false">A167</f>
        <v>50802</v>
      </c>
      <c r="I167" s="23" t="n">
        <f aca="false">IF($J$1="bid",B167,C167)</f>
        <v>2.593</v>
      </c>
      <c r="J167" s="24" t="n">
        <f aca="false">D167</f>
        <v>50802</v>
      </c>
      <c r="K167" s="23" t="n">
        <f aca="false">IF($J$1="bid",E167,F167)</f>
        <v>20.395</v>
      </c>
      <c r="L167" s="11"/>
      <c r="M167" s="11"/>
      <c r="N167" s="11"/>
      <c r="O167" s="11"/>
      <c r="P167" s="11"/>
      <c r="Q167" s="11"/>
      <c r="R167" s="11"/>
      <c r="S167" s="11"/>
      <c r="T167" s="11"/>
      <c r="U167" s="11"/>
      <c r="V167" s="11"/>
      <c r="W167" s="11"/>
      <c r="X167" s="11"/>
      <c r="Y167" s="11"/>
      <c r="Z167" s="11"/>
      <c r="AA167" s="11"/>
      <c r="AB167" s="11"/>
      <c r="AC167" s="11"/>
      <c r="AD167" s="11"/>
      <c r="AE167" s="11"/>
      <c r="AF167" s="11"/>
      <c r="AG167" s="11"/>
      <c r="AH167" s="11"/>
      <c r="AI167" s="11"/>
      <c r="AJ167" s="11"/>
      <c r="AK167" s="11"/>
      <c r="AL167" s="11"/>
      <c r="AM167" s="11"/>
      <c r="AN167" s="11"/>
      <c r="AO167" s="11"/>
      <c r="AP167" s="11"/>
      <c r="AQ167" s="11"/>
      <c r="AR167" s="5"/>
      <c r="AS167" s="12"/>
      <c r="AT167" s="12"/>
      <c r="AU167" s="12"/>
      <c r="AV167" s="12"/>
      <c r="AW167" s="12"/>
      <c r="AX167" s="12"/>
      <c r="AY167" s="12"/>
      <c r="AZ167" s="12"/>
      <c r="BA167" s="12"/>
      <c r="BB167" s="12"/>
      <c r="BC167" s="12"/>
      <c r="BD167" s="12"/>
      <c r="BE167" s="12"/>
      <c r="BF167" s="12"/>
      <c r="BG167" s="12"/>
      <c r="BH167" s="12"/>
      <c r="BI167" s="12"/>
      <c r="BJ167" s="12"/>
      <c r="BK167" s="12"/>
      <c r="BL167" s="12"/>
      <c r="BM167" s="12"/>
      <c r="BN167" s="12"/>
      <c r="BO167" s="12"/>
      <c r="BP167" s="12"/>
      <c r="BQ167" s="12"/>
      <c r="BR167" s="12"/>
      <c r="BS167" s="12"/>
      <c r="BT167" s="12"/>
      <c r="BU167" s="12"/>
      <c r="BV167" s="12"/>
      <c r="BW167" s="12"/>
      <c r="BX167" s="12"/>
      <c r="BY167" s="12"/>
      <c r="BZ167" s="12"/>
      <c r="CA167" s="12"/>
      <c r="CB167" s="12"/>
      <c r="CC167" s="12"/>
      <c r="CD167" s="12"/>
      <c r="CE167" s="12"/>
      <c r="CF167" s="12"/>
      <c r="CG167" s="12"/>
      <c r="CH167" s="12"/>
      <c r="CI167" s="12"/>
      <c r="CJ167" s="12"/>
      <c r="CK167" s="12"/>
      <c r="CL167" s="12"/>
      <c r="CM167" s="12"/>
      <c r="CN167" s="12"/>
      <c r="CO167" s="12"/>
      <c r="CP167" s="12"/>
      <c r="CQ167" s="12"/>
      <c r="CR167" s="12"/>
      <c r="CS167" s="12"/>
      <c r="CT167" s="12"/>
      <c r="CU167" s="12"/>
      <c r="CV167" s="12"/>
      <c r="CW167" s="12"/>
      <c r="CX167" s="12"/>
      <c r="CY167" s="12"/>
      <c r="CZ167" s="12"/>
      <c r="DA167" s="12"/>
      <c r="DB167" s="12"/>
      <c r="DC167" s="12"/>
      <c r="DD167" s="12"/>
      <c r="DE167" s="12"/>
      <c r="DF167" s="12"/>
      <c r="DG167" s="12"/>
      <c r="DH167" s="12"/>
      <c r="DI167" s="12"/>
      <c r="DJ167" s="12"/>
      <c r="DK167" s="12"/>
      <c r="DL167" s="12"/>
      <c r="DM167" s="12"/>
      <c r="DN167" s="12"/>
      <c r="DO167" s="12"/>
      <c r="DP167" s="12"/>
      <c r="DQ167" s="12"/>
      <c r="DR167" s="12"/>
      <c r="DS167" s="12"/>
      <c r="DT167" s="12"/>
      <c r="DU167" s="12"/>
      <c r="DV167" s="12"/>
      <c r="DW167" s="12"/>
      <c r="DX167" s="12"/>
      <c r="DY167" s="12"/>
      <c r="DZ167" s="12"/>
      <c r="EA167" s="12"/>
      <c r="EB167" s="12"/>
      <c r="EC167" s="12"/>
      <c r="ED167" s="12"/>
      <c r="EE167" s="12"/>
      <c r="EF167" s="12"/>
      <c r="EG167" s="12"/>
      <c r="EH167" s="12"/>
      <c r="EI167" s="12"/>
      <c r="EJ167" s="12"/>
      <c r="EK167" s="12"/>
      <c r="EL167" s="12"/>
      <c r="EM167" s="12"/>
      <c r="EN167" s="12"/>
      <c r="EO167" s="12"/>
      <c r="EP167" s="12"/>
      <c r="EQ167" s="12"/>
      <c r="ER167" s="12"/>
      <c r="ES167" s="12"/>
      <c r="ET167" s="12"/>
      <c r="EU167" s="12"/>
      <c r="EV167" s="12"/>
      <c r="EW167" s="12"/>
      <c r="EX167" s="12"/>
      <c r="EY167" s="12"/>
      <c r="EZ167" s="12"/>
      <c r="FA167" s="12"/>
      <c r="FB167" s="12"/>
      <c r="FC167" s="12"/>
      <c r="FD167" s="12"/>
      <c r="FE167" s="12"/>
      <c r="FF167" s="12"/>
      <c r="FG167" s="12"/>
      <c r="FH167" s="12"/>
      <c r="FI167" s="12"/>
      <c r="FJ167" s="12"/>
      <c r="FK167" s="12"/>
      <c r="FL167" s="12"/>
      <c r="FM167" s="12"/>
      <c r="FN167" s="12"/>
      <c r="FO167" s="12"/>
      <c r="FP167" s="12"/>
      <c r="FQ167" s="12"/>
      <c r="FR167" s="12"/>
      <c r="FS167" s="12"/>
      <c r="FT167" s="12"/>
      <c r="FU167" s="12"/>
      <c r="FV167" s="12"/>
      <c r="FW167" s="12"/>
      <c r="FX167" s="12"/>
      <c r="FY167" s="12"/>
      <c r="FZ167" s="12"/>
      <c r="GA167" s="12"/>
      <c r="GB167" s="12"/>
      <c r="GC167" s="12"/>
      <c r="GD167" s="12"/>
      <c r="GE167" s="12"/>
      <c r="GF167" s="12"/>
      <c r="GG167" s="12"/>
      <c r="GH167" s="12"/>
      <c r="GI167" s="12"/>
      <c r="GJ167" s="12"/>
      <c r="GK167" s="12"/>
      <c r="GL167" s="12"/>
      <c r="GM167" s="12"/>
      <c r="GN167" s="12"/>
      <c r="GO167" s="12"/>
      <c r="GP167" s="12"/>
      <c r="GQ167" s="12"/>
      <c r="GR167" s="12"/>
      <c r="GS167" s="12"/>
      <c r="GT167" s="12"/>
      <c r="GU167" s="12"/>
      <c r="GV167" s="12"/>
      <c r="GW167" s="12"/>
      <c r="GX167" s="12"/>
      <c r="GY167" s="12"/>
      <c r="GZ167" s="12"/>
      <c r="HA167" s="12"/>
      <c r="HB167" s="12"/>
      <c r="HC167" s="12"/>
      <c r="HD167" s="12"/>
      <c r="HE167" s="12"/>
      <c r="HF167" s="12"/>
      <c r="HG167" s="12"/>
      <c r="HH167" s="12"/>
      <c r="HI167" s="12"/>
      <c r="HJ167" s="12"/>
      <c r="HK167" s="12"/>
      <c r="HL167" s="12"/>
      <c r="HM167" s="12"/>
      <c r="HN167" s="12"/>
      <c r="HO167" s="12"/>
      <c r="HP167" s="12"/>
      <c r="HQ167" s="12"/>
      <c r="HR167" s="12"/>
      <c r="HS167" s="12"/>
      <c r="HT167" s="12"/>
      <c r="HU167" s="12"/>
      <c r="HV167" s="12"/>
      <c r="HW167" s="12"/>
      <c r="HX167" s="12"/>
      <c r="HY167" s="12"/>
      <c r="HZ167" s="12"/>
      <c r="IA167" s="12"/>
      <c r="IB167" s="12"/>
      <c r="IC167" s="12"/>
      <c r="ID167" s="12"/>
      <c r="IE167" s="12"/>
      <c r="IF167" s="12"/>
      <c r="IG167" s="12"/>
      <c r="IH167" s="12"/>
      <c r="II167" s="12"/>
      <c r="IJ167" s="12"/>
      <c r="IK167" s="12"/>
      <c r="IL167" s="12"/>
      <c r="IM167" s="12"/>
      <c r="IN167" s="12"/>
      <c r="IO167" s="12"/>
      <c r="IP167" s="12"/>
      <c r="IQ167" s="12"/>
      <c r="IR167" s="12"/>
      <c r="IS167" s="12"/>
      <c r="IT167" s="12"/>
      <c r="IU167" s="12"/>
      <c r="IV167" s="12"/>
      <c r="IW167" s="12"/>
    </row>
    <row r="168" customFormat="false" ht="11.25" hidden="false" customHeight="false" outlineLevel="0" collapsed="false">
      <c r="A168" s="25" t="n">
        <f aca="false">DATE(YEAR(A167),MONTH(A167)+1,1)</f>
        <v>50830</v>
      </c>
      <c r="B168" s="21" t="n">
        <v>2.48</v>
      </c>
      <c r="C168" s="21" t="n">
        <v>2.58</v>
      </c>
      <c r="D168" s="25" t="n">
        <f aca="false">DATE(YEAR(D167),MONTH(D167)+1,1)</f>
        <v>50830</v>
      </c>
      <c r="E168" s="21" t="n">
        <v>19.373</v>
      </c>
      <c r="F168" s="21" t="n">
        <v>20.411</v>
      </c>
      <c r="G168" s="6"/>
      <c r="H168" s="22" t="n">
        <f aca="false">A168</f>
        <v>50830</v>
      </c>
      <c r="I168" s="23" t="n">
        <f aca="false">IF($J$1="bid",B168,C168)</f>
        <v>2.58</v>
      </c>
      <c r="J168" s="24" t="n">
        <f aca="false">D168</f>
        <v>50830</v>
      </c>
      <c r="K168" s="23" t="n">
        <f aca="false">IF($J$1="bid",E168,F168)</f>
        <v>20.411</v>
      </c>
      <c r="L168" s="11"/>
      <c r="M168" s="11"/>
      <c r="N168" s="11"/>
      <c r="O168" s="11"/>
      <c r="P168" s="11"/>
      <c r="Q168" s="11"/>
      <c r="R168" s="11"/>
      <c r="S168" s="11"/>
      <c r="T168" s="11"/>
      <c r="U168" s="11"/>
      <c r="V168" s="11"/>
      <c r="W168" s="11"/>
      <c r="X168" s="11"/>
      <c r="Y168" s="11"/>
      <c r="Z168" s="11"/>
      <c r="AA168" s="11"/>
      <c r="AB168" s="11"/>
      <c r="AC168" s="11"/>
      <c r="AD168" s="11"/>
      <c r="AE168" s="11"/>
      <c r="AF168" s="11"/>
      <c r="AG168" s="11"/>
      <c r="AH168" s="11"/>
      <c r="AI168" s="11"/>
      <c r="AJ168" s="11"/>
      <c r="AK168" s="11"/>
      <c r="AL168" s="11"/>
      <c r="AM168" s="11"/>
      <c r="AN168" s="11"/>
      <c r="AO168" s="11"/>
      <c r="AP168" s="11"/>
      <c r="AQ168" s="11"/>
      <c r="AR168" s="5"/>
      <c r="AS168" s="12"/>
      <c r="AT168" s="12"/>
      <c r="AU168" s="12"/>
      <c r="AV168" s="12"/>
      <c r="AW168" s="12"/>
      <c r="AX168" s="12"/>
      <c r="AY168" s="12"/>
      <c r="AZ168" s="12"/>
      <c r="BA168" s="12"/>
      <c r="BB168" s="12"/>
      <c r="BC168" s="12"/>
      <c r="BD168" s="12"/>
      <c r="BE168" s="12"/>
      <c r="BF168" s="12"/>
      <c r="BG168" s="12"/>
      <c r="BH168" s="12"/>
      <c r="BI168" s="12"/>
      <c r="BJ168" s="12"/>
      <c r="BK168" s="12"/>
      <c r="BL168" s="12"/>
      <c r="BM168" s="12"/>
      <c r="BN168" s="12"/>
      <c r="BO168" s="12"/>
      <c r="BP168" s="12"/>
      <c r="BQ168" s="12"/>
      <c r="BR168" s="12"/>
      <c r="BS168" s="12"/>
      <c r="BT168" s="12"/>
      <c r="BU168" s="12"/>
      <c r="BV168" s="12"/>
      <c r="BW168" s="12"/>
      <c r="BX168" s="12"/>
      <c r="BY168" s="12"/>
      <c r="BZ168" s="12"/>
      <c r="CA168" s="12"/>
      <c r="CB168" s="12"/>
      <c r="CC168" s="12"/>
      <c r="CD168" s="12"/>
      <c r="CE168" s="12"/>
      <c r="CF168" s="12"/>
      <c r="CG168" s="12"/>
      <c r="CH168" s="12"/>
      <c r="CI168" s="12"/>
      <c r="CJ168" s="12"/>
      <c r="CK168" s="12"/>
      <c r="CL168" s="12"/>
      <c r="CM168" s="12"/>
      <c r="CN168" s="12"/>
      <c r="CO168" s="12"/>
      <c r="CP168" s="12"/>
      <c r="CQ168" s="12"/>
      <c r="CR168" s="12"/>
      <c r="CS168" s="12"/>
      <c r="CT168" s="12"/>
      <c r="CU168" s="12"/>
      <c r="CV168" s="12"/>
      <c r="CW168" s="12"/>
      <c r="CX168" s="12"/>
      <c r="CY168" s="12"/>
      <c r="CZ168" s="12"/>
      <c r="DA168" s="12"/>
      <c r="DB168" s="12"/>
      <c r="DC168" s="12"/>
      <c r="DD168" s="12"/>
      <c r="DE168" s="12"/>
      <c r="DF168" s="12"/>
      <c r="DG168" s="12"/>
      <c r="DH168" s="12"/>
      <c r="DI168" s="12"/>
      <c r="DJ168" s="12"/>
      <c r="DK168" s="12"/>
      <c r="DL168" s="12"/>
      <c r="DM168" s="12"/>
      <c r="DN168" s="12"/>
      <c r="DO168" s="12"/>
      <c r="DP168" s="12"/>
      <c r="DQ168" s="12"/>
      <c r="DR168" s="12"/>
      <c r="DS168" s="12"/>
      <c r="DT168" s="12"/>
      <c r="DU168" s="12"/>
      <c r="DV168" s="12"/>
      <c r="DW168" s="12"/>
      <c r="DX168" s="12"/>
      <c r="DY168" s="12"/>
      <c r="DZ168" s="12"/>
      <c r="EA168" s="12"/>
      <c r="EB168" s="12"/>
      <c r="EC168" s="12"/>
      <c r="ED168" s="12"/>
      <c r="EE168" s="12"/>
      <c r="EF168" s="12"/>
      <c r="EG168" s="12"/>
      <c r="EH168" s="12"/>
      <c r="EI168" s="12"/>
      <c r="EJ168" s="12"/>
      <c r="EK168" s="12"/>
      <c r="EL168" s="12"/>
      <c r="EM168" s="12"/>
      <c r="EN168" s="12"/>
      <c r="EO168" s="12"/>
      <c r="EP168" s="12"/>
      <c r="EQ168" s="12"/>
      <c r="ER168" s="12"/>
      <c r="ES168" s="12"/>
      <c r="ET168" s="12"/>
      <c r="EU168" s="12"/>
      <c r="EV168" s="12"/>
      <c r="EW168" s="12"/>
      <c r="EX168" s="12"/>
      <c r="EY168" s="12"/>
      <c r="EZ168" s="12"/>
      <c r="FA168" s="12"/>
      <c r="FB168" s="12"/>
      <c r="FC168" s="12"/>
      <c r="FD168" s="12"/>
      <c r="FE168" s="12"/>
      <c r="FF168" s="12"/>
      <c r="FG168" s="12"/>
      <c r="FH168" s="12"/>
      <c r="FI168" s="12"/>
      <c r="FJ168" s="12"/>
      <c r="FK168" s="12"/>
      <c r="FL168" s="12"/>
      <c r="FM168" s="12"/>
      <c r="FN168" s="12"/>
      <c r="FO168" s="12"/>
      <c r="FP168" s="12"/>
      <c r="FQ168" s="12"/>
      <c r="FR168" s="12"/>
      <c r="FS168" s="12"/>
      <c r="FT168" s="12"/>
      <c r="FU168" s="12"/>
      <c r="FV168" s="12"/>
      <c r="FW168" s="12"/>
      <c r="FX168" s="12"/>
      <c r="FY168" s="12"/>
      <c r="FZ168" s="12"/>
      <c r="GA168" s="12"/>
      <c r="GB168" s="12"/>
      <c r="GC168" s="12"/>
      <c r="GD168" s="12"/>
      <c r="GE168" s="12"/>
      <c r="GF168" s="12"/>
      <c r="GG168" s="12"/>
      <c r="GH168" s="12"/>
      <c r="GI168" s="12"/>
      <c r="GJ168" s="12"/>
      <c r="GK168" s="12"/>
      <c r="GL168" s="12"/>
      <c r="GM168" s="12"/>
      <c r="GN168" s="12"/>
      <c r="GO168" s="12"/>
      <c r="GP168" s="12"/>
      <c r="GQ168" s="12"/>
      <c r="GR168" s="12"/>
      <c r="GS168" s="12"/>
      <c r="GT168" s="12"/>
      <c r="GU168" s="12"/>
      <c r="GV168" s="12"/>
      <c r="GW168" s="12"/>
      <c r="GX168" s="12"/>
      <c r="GY168" s="12"/>
      <c r="GZ168" s="12"/>
      <c r="HA168" s="12"/>
      <c r="HB168" s="12"/>
      <c r="HC168" s="12"/>
      <c r="HD168" s="12"/>
      <c r="HE168" s="12"/>
      <c r="HF168" s="12"/>
      <c r="HG168" s="12"/>
      <c r="HH168" s="12"/>
      <c r="HI168" s="12"/>
      <c r="HJ168" s="12"/>
      <c r="HK168" s="12"/>
      <c r="HL168" s="12"/>
      <c r="HM168" s="12"/>
      <c r="HN168" s="12"/>
      <c r="HO168" s="12"/>
      <c r="HP168" s="12"/>
      <c r="HQ168" s="12"/>
      <c r="HR168" s="12"/>
      <c r="HS168" s="12"/>
      <c r="HT168" s="12"/>
      <c r="HU168" s="12"/>
      <c r="HV168" s="12"/>
      <c r="HW168" s="12"/>
      <c r="HX168" s="12"/>
      <c r="HY168" s="12"/>
      <c r="HZ168" s="12"/>
      <c r="IA168" s="12"/>
      <c r="IB168" s="12"/>
      <c r="IC168" s="12"/>
      <c r="ID168" s="12"/>
      <c r="IE168" s="12"/>
      <c r="IF168" s="12"/>
      <c r="IG168" s="12"/>
      <c r="IH168" s="12"/>
      <c r="II168" s="12"/>
      <c r="IJ168" s="12"/>
      <c r="IK168" s="12"/>
      <c r="IL168" s="12"/>
      <c r="IM168" s="12"/>
      <c r="IN168" s="12"/>
      <c r="IO168" s="12"/>
      <c r="IP168" s="12"/>
      <c r="IQ168" s="12"/>
      <c r="IR168" s="12"/>
      <c r="IS168" s="12"/>
      <c r="IT168" s="12"/>
      <c r="IU168" s="12"/>
      <c r="IV168" s="12"/>
      <c r="IW168" s="12"/>
    </row>
    <row r="169" customFormat="false" ht="11.25" hidden="false" customHeight="false" outlineLevel="0" collapsed="false">
      <c r="A169" s="25" t="n">
        <f aca="false">DATE(YEAR(A168),MONTH(A168)+1,1)</f>
        <v>50861</v>
      </c>
      <c r="B169" s="21" t="n">
        <v>2.488</v>
      </c>
      <c r="C169" s="21" t="n">
        <v>2.588</v>
      </c>
      <c r="D169" s="25" t="n">
        <f aca="false">DATE(YEAR(D168),MONTH(D168)+1,1)</f>
        <v>50861</v>
      </c>
      <c r="E169" s="21" t="n">
        <v>19.382</v>
      </c>
      <c r="F169" s="21" t="n">
        <v>20.429</v>
      </c>
      <c r="G169" s="6"/>
      <c r="H169" s="22" t="n">
        <f aca="false">A169</f>
        <v>50861</v>
      </c>
      <c r="I169" s="23" t="n">
        <f aca="false">IF($J$1="bid",B169,C169)</f>
        <v>2.588</v>
      </c>
      <c r="J169" s="24" t="n">
        <f aca="false">D169</f>
        <v>50861</v>
      </c>
      <c r="K169" s="23" t="n">
        <f aca="false">IF($J$1="bid",E169,F169)</f>
        <v>20.429</v>
      </c>
      <c r="L169" s="11"/>
      <c r="M169" s="11"/>
      <c r="N169" s="11"/>
      <c r="O169" s="11"/>
      <c r="P169" s="11"/>
      <c r="Q169" s="11"/>
      <c r="R169" s="11"/>
      <c r="S169" s="11"/>
      <c r="T169" s="11"/>
      <c r="U169" s="11"/>
      <c r="V169" s="11"/>
      <c r="W169" s="11"/>
      <c r="X169" s="11"/>
      <c r="Y169" s="11"/>
      <c r="Z169" s="11"/>
      <c r="AA169" s="11"/>
      <c r="AB169" s="11"/>
      <c r="AC169" s="11"/>
      <c r="AD169" s="11"/>
      <c r="AE169" s="11"/>
      <c r="AF169" s="11"/>
      <c r="AG169" s="11"/>
      <c r="AH169" s="11"/>
      <c r="AI169" s="11"/>
      <c r="AJ169" s="11"/>
      <c r="AK169" s="11"/>
      <c r="AL169" s="11"/>
      <c r="AM169" s="11"/>
      <c r="AN169" s="11"/>
      <c r="AO169" s="11"/>
      <c r="AP169" s="11"/>
      <c r="AQ169" s="11"/>
      <c r="AR169" s="5"/>
      <c r="AS169" s="12"/>
      <c r="AT169" s="12"/>
      <c r="AU169" s="12"/>
      <c r="AV169" s="12"/>
      <c r="AW169" s="12"/>
      <c r="AX169" s="12"/>
      <c r="AY169" s="12"/>
      <c r="AZ169" s="12"/>
      <c r="BA169" s="12"/>
      <c r="BB169" s="12"/>
      <c r="BC169" s="12"/>
      <c r="BD169" s="12"/>
      <c r="BE169" s="12"/>
      <c r="BF169" s="12"/>
      <c r="BG169" s="12"/>
      <c r="BH169" s="12"/>
      <c r="BI169" s="12"/>
      <c r="BJ169" s="12"/>
      <c r="BK169" s="12"/>
      <c r="BL169" s="12"/>
      <c r="BM169" s="12"/>
      <c r="BN169" s="12"/>
      <c r="BO169" s="12"/>
      <c r="BP169" s="12"/>
      <c r="BQ169" s="12"/>
      <c r="BR169" s="12"/>
      <c r="BS169" s="12"/>
      <c r="BT169" s="12"/>
      <c r="BU169" s="12"/>
      <c r="BV169" s="12"/>
      <c r="BW169" s="12"/>
      <c r="BX169" s="12"/>
      <c r="BY169" s="12"/>
      <c r="BZ169" s="12"/>
      <c r="CA169" s="12"/>
      <c r="CB169" s="12"/>
      <c r="CC169" s="12"/>
      <c r="CD169" s="12"/>
      <c r="CE169" s="12"/>
      <c r="CF169" s="12"/>
      <c r="CG169" s="12"/>
      <c r="CH169" s="12"/>
      <c r="CI169" s="12"/>
      <c r="CJ169" s="12"/>
      <c r="CK169" s="12"/>
      <c r="CL169" s="12"/>
      <c r="CM169" s="12"/>
      <c r="CN169" s="12"/>
      <c r="CO169" s="12"/>
      <c r="CP169" s="12"/>
      <c r="CQ169" s="12"/>
      <c r="CR169" s="12"/>
      <c r="CS169" s="12"/>
      <c r="CT169" s="12"/>
      <c r="CU169" s="12"/>
      <c r="CV169" s="12"/>
      <c r="CW169" s="12"/>
      <c r="CX169" s="12"/>
      <c r="CY169" s="12"/>
      <c r="CZ169" s="12"/>
      <c r="DA169" s="12"/>
      <c r="DB169" s="12"/>
      <c r="DC169" s="12"/>
      <c r="DD169" s="12"/>
      <c r="DE169" s="12"/>
      <c r="DF169" s="12"/>
      <c r="DG169" s="12"/>
      <c r="DH169" s="12"/>
      <c r="DI169" s="12"/>
      <c r="DJ169" s="12"/>
      <c r="DK169" s="12"/>
      <c r="DL169" s="12"/>
      <c r="DM169" s="12"/>
      <c r="DN169" s="12"/>
      <c r="DO169" s="12"/>
      <c r="DP169" s="12"/>
      <c r="DQ169" s="12"/>
      <c r="DR169" s="12"/>
      <c r="DS169" s="12"/>
      <c r="DT169" s="12"/>
      <c r="DU169" s="12"/>
      <c r="DV169" s="12"/>
      <c r="DW169" s="12"/>
      <c r="DX169" s="12"/>
      <c r="DY169" s="12"/>
      <c r="DZ169" s="12"/>
      <c r="EA169" s="12"/>
      <c r="EB169" s="12"/>
      <c r="EC169" s="12"/>
      <c r="ED169" s="12"/>
      <c r="EE169" s="12"/>
      <c r="EF169" s="12"/>
      <c r="EG169" s="12"/>
      <c r="EH169" s="12"/>
      <c r="EI169" s="12"/>
      <c r="EJ169" s="12"/>
      <c r="EK169" s="12"/>
      <c r="EL169" s="12"/>
      <c r="EM169" s="12"/>
      <c r="EN169" s="12"/>
      <c r="EO169" s="12"/>
      <c r="EP169" s="12"/>
      <c r="EQ169" s="12"/>
      <c r="ER169" s="12"/>
      <c r="ES169" s="12"/>
      <c r="ET169" s="12"/>
      <c r="EU169" s="12"/>
      <c r="EV169" s="12"/>
      <c r="EW169" s="12"/>
      <c r="EX169" s="12"/>
      <c r="EY169" s="12"/>
      <c r="EZ169" s="12"/>
      <c r="FA169" s="12"/>
      <c r="FB169" s="12"/>
      <c r="FC169" s="12"/>
      <c r="FD169" s="12"/>
      <c r="FE169" s="12"/>
      <c r="FF169" s="12"/>
      <c r="FG169" s="12"/>
      <c r="FH169" s="12"/>
      <c r="FI169" s="12"/>
      <c r="FJ169" s="12"/>
      <c r="FK169" s="12"/>
      <c r="FL169" s="12"/>
      <c r="FM169" s="12"/>
      <c r="FN169" s="12"/>
      <c r="FO169" s="12"/>
      <c r="FP169" s="12"/>
      <c r="FQ169" s="12"/>
      <c r="FR169" s="12"/>
      <c r="FS169" s="12"/>
      <c r="FT169" s="12"/>
      <c r="FU169" s="12"/>
      <c r="FV169" s="12"/>
      <c r="FW169" s="12"/>
      <c r="FX169" s="12"/>
      <c r="FY169" s="12"/>
      <c r="FZ169" s="12"/>
      <c r="GA169" s="12"/>
      <c r="GB169" s="12"/>
      <c r="GC169" s="12"/>
      <c r="GD169" s="12"/>
      <c r="GE169" s="12"/>
      <c r="GF169" s="12"/>
      <c r="GG169" s="12"/>
      <c r="GH169" s="12"/>
      <c r="GI169" s="12"/>
      <c r="GJ169" s="12"/>
      <c r="GK169" s="12"/>
      <c r="GL169" s="12"/>
      <c r="GM169" s="12"/>
      <c r="GN169" s="12"/>
      <c r="GO169" s="12"/>
      <c r="GP169" s="12"/>
      <c r="GQ169" s="12"/>
      <c r="GR169" s="12"/>
      <c r="GS169" s="12"/>
      <c r="GT169" s="12"/>
      <c r="GU169" s="12"/>
      <c r="GV169" s="12"/>
      <c r="GW169" s="12"/>
      <c r="GX169" s="12"/>
      <c r="GY169" s="12"/>
      <c r="GZ169" s="12"/>
      <c r="HA169" s="12"/>
      <c r="HB169" s="12"/>
      <c r="HC169" s="12"/>
      <c r="HD169" s="12"/>
      <c r="HE169" s="12"/>
      <c r="HF169" s="12"/>
      <c r="HG169" s="12"/>
      <c r="HH169" s="12"/>
      <c r="HI169" s="12"/>
      <c r="HJ169" s="12"/>
      <c r="HK169" s="12"/>
      <c r="HL169" s="12"/>
      <c r="HM169" s="12"/>
      <c r="HN169" s="12"/>
      <c r="HO169" s="12"/>
      <c r="HP169" s="12"/>
      <c r="HQ169" s="12"/>
      <c r="HR169" s="12"/>
      <c r="HS169" s="12"/>
      <c r="HT169" s="12"/>
      <c r="HU169" s="12"/>
      <c r="HV169" s="12"/>
      <c r="HW169" s="12"/>
      <c r="HX169" s="12"/>
      <c r="HY169" s="12"/>
      <c r="HZ169" s="12"/>
      <c r="IA169" s="12"/>
      <c r="IB169" s="12"/>
      <c r="IC169" s="12"/>
      <c r="ID169" s="12"/>
      <c r="IE169" s="12"/>
      <c r="IF169" s="12"/>
      <c r="IG169" s="12"/>
      <c r="IH169" s="12"/>
      <c r="II169" s="12"/>
      <c r="IJ169" s="12"/>
      <c r="IK169" s="12"/>
      <c r="IL169" s="12"/>
      <c r="IM169" s="12"/>
      <c r="IN169" s="12"/>
      <c r="IO169" s="12"/>
      <c r="IP169" s="12"/>
      <c r="IQ169" s="12"/>
      <c r="IR169" s="12"/>
      <c r="IS169" s="12"/>
      <c r="IT169" s="12"/>
      <c r="IU169" s="12"/>
      <c r="IV169" s="12"/>
      <c r="IW169" s="12"/>
    </row>
    <row r="170" customFormat="false" ht="11.25" hidden="false" customHeight="false" outlineLevel="0" collapsed="false">
      <c r="A170" s="25" t="n">
        <f aca="false">DATE(YEAR(A169),MONTH(A169)+1,1)</f>
        <v>50891</v>
      </c>
      <c r="B170" s="21" t="n">
        <v>2.48</v>
      </c>
      <c r="C170" s="21" t="n">
        <v>2.58</v>
      </c>
      <c r="D170" s="25" t="n">
        <f aca="false">DATE(YEAR(D169),MONTH(D169)+1,1)</f>
        <v>50891</v>
      </c>
      <c r="E170" s="21" t="n">
        <v>19.392</v>
      </c>
      <c r="F170" s="21" t="n">
        <v>20.446</v>
      </c>
      <c r="G170" s="6"/>
      <c r="H170" s="22" t="n">
        <f aca="false">A170</f>
        <v>50891</v>
      </c>
      <c r="I170" s="23" t="n">
        <f aca="false">IF($J$1="bid",B170,C170)</f>
        <v>2.58</v>
      </c>
      <c r="J170" s="24" t="n">
        <f aca="false">D170</f>
        <v>50891</v>
      </c>
      <c r="K170" s="23" t="n">
        <f aca="false">IF($J$1="bid",E170,F170)</f>
        <v>20.446</v>
      </c>
      <c r="L170" s="11"/>
      <c r="M170" s="11"/>
      <c r="N170" s="11"/>
      <c r="O170" s="11"/>
      <c r="P170" s="11"/>
      <c r="Q170" s="11"/>
      <c r="R170" s="11"/>
      <c r="S170" s="11"/>
      <c r="T170" s="11"/>
      <c r="U170" s="11"/>
      <c r="V170" s="11"/>
      <c r="W170" s="11"/>
      <c r="X170" s="11"/>
      <c r="Y170" s="11"/>
      <c r="Z170" s="11"/>
      <c r="AA170" s="11"/>
      <c r="AB170" s="11"/>
      <c r="AC170" s="11"/>
      <c r="AD170" s="11"/>
      <c r="AE170" s="11"/>
      <c r="AF170" s="11"/>
      <c r="AG170" s="11"/>
      <c r="AH170" s="11"/>
      <c r="AI170" s="11"/>
      <c r="AJ170" s="11"/>
      <c r="AK170" s="11"/>
      <c r="AL170" s="11"/>
      <c r="AM170" s="11"/>
      <c r="AN170" s="11"/>
      <c r="AO170" s="11"/>
      <c r="AP170" s="11"/>
      <c r="AQ170" s="11"/>
      <c r="AR170" s="5"/>
      <c r="AS170" s="12"/>
      <c r="AT170" s="12"/>
      <c r="AU170" s="12"/>
      <c r="AV170" s="12"/>
      <c r="AW170" s="12"/>
      <c r="AX170" s="12"/>
      <c r="AY170" s="12"/>
      <c r="AZ170" s="12"/>
      <c r="BA170" s="12"/>
      <c r="BB170" s="12"/>
      <c r="BC170" s="12"/>
      <c r="BD170" s="12"/>
      <c r="BE170" s="12"/>
      <c r="BF170" s="12"/>
      <c r="BG170" s="12"/>
      <c r="BH170" s="12"/>
      <c r="BI170" s="12"/>
      <c r="BJ170" s="12"/>
      <c r="BK170" s="12"/>
      <c r="BL170" s="12"/>
      <c r="BM170" s="12"/>
      <c r="BN170" s="12"/>
      <c r="BO170" s="12"/>
      <c r="BP170" s="12"/>
      <c r="BQ170" s="12"/>
      <c r="BR170" s="12"/>
      <c r="BS170" s="12"/>
      <c r="BT170" s="12"/>
      <c r="BU170" s="12"/>
      <c r="BV170" s="12"/>
      <c r="BW170" s="12"/>
      <c r="BX170" s="12"/>
      <c r="BY170" s="12"/>
      <c r="BZ170" s="12"/>
      <c r="CA170" s="12"/>
      <c r="CB170" s="12"/>
      <c r="CC170" s="12"/>
      <c r="CD170" s="12"/>
      <c r="CE170" s="12"/>
      <c r="CF170" s="12"/>
      <c r="CG170" s="12"/>
      <c r="CH170" s="12"/>
      <c r="CI170" s="12"/>
      <c r="CJ170" s="12"/>
      <c r="CK170" s="12"/>
      <c r="CL170" s="12"/>
      <c r="CM170" s="12"/>
      <c r="CN170" s="12"/>
      <c r="CO170" s="12"/>
      <c r="CP170" s="12"/>
      <c r="CQ170" s="12"/>
      <c r="CR170" s="12"/>
      <c r="CS170" s="12"/>
      <c r="CT170" s="12"/>
      <c r="CU170" s="12"/>
      <c r="CV170" s="12"/>
      <c r="CW170" s="12"/>
      <c r="CX170" s="12"/>
      <c r="CY170" s="12"/>
      <c r="CZ170" s="12"/>
      <c r="DA170" s="12"/>
      <c r="DB170" s="12"/>
      <c r="DC170" s="12"/>
      <c r="DD170" s="12"/>
      <c r="DE170" s="12"/>
      <c r="DF170" s="12"/>
      <c r="DG170" s="12"/>
      <c r="DH170" s="12"/>
      <c r="DI170" s="12"/>
      <c r="DJ170" s="12"/>
      <c r="DK170" s="12"/>
      <c r="DL170" s="12"/>
      <c r="DM170" s="12"/>
      <c r="DN170" s="12"/>
      <c r="DO170" s="12"/>
      <c r="DP170" s="12"/>
      <c r="DQ170" s="12"/>
      <c r="DR170" s="12"/>
      <c r="DS170" s="12"/>
      <c r="DT170" s="12"/>
      <c r="DU170" s="12"/>
      <c r="DV170" s="12"/>
      <c r="DW170" s="12"/>
      <c r="DX170" s="12"/>
      <c r="DY170" s="12"/>
      <c r="DZ170" s="12"/>
      <c r="EA170" s="12"/>
      <c r="EB170" s="12"/>
      <c r="EC170" s="12"/>
      <c r="ED170" s="12"/>
      <c r="EE170" s="12"/>
      <c r="EF170" s="12"/>
      <c r="EG170" s="12"/>
      <c r="EH170" s="12"/>
      <c r="EI170" s="12"/>
      <c r="EJ170" s="12"/>
      <c r="EK170" s="12"/>
      <c r="EL170" s="12"/>
      <c r="EM170" s="12"/>
      <c r="EN170" s="12"/>
      <c r="EO170" s="12"/>
      <c r="EP170" s="12"/>
      <c r="EQ170" s="12"/>
      <c r="ER170" s="12"/>
      <c r="ES170" s="12"/>
      <c r="ET170" s="12"/>
      <c r="EU170" s="12"/>
      <c r="EV170" s="12"/>
      <c r="EW170" s="12"/>
      <c r="EX170" s="12"/>
      <c r="EY170" s="12"/>
      <c r="EZ170" s="12"/>
      <c r="FA170" s="12"/>
      <c r="FB170" s="12"/>
      <c r="FC170" s="12"/>
      <c r="FD170" s="12"/>
      <c r="FE170" s="12"/>
      <c r="FF170" s="12"/>
      <c r="FG170" s="12"/>
      <c r="FH170" s="12"/>
      <c r="FI170" s="12"/>
      <c r="FJ170" s="12"/>
      <c r="FK170" s="12"/>
      <c r="FL170" s="12"/>
      <c r="FM170" s="12"/>
      <c r="FN170" s="12"/>
      <c r="FO170" s="12"/>
      <c r="FP170" s="12"/>
      <c r="FQ170" s="12"/>
      <c r="FR170" s="12"/>
      <c r="FS170" s="12"/>
      <c r="FT170" s="12"/>
      <c r="FU170" s="12"/>
      <c r="FV170" s="12"/>
      <c r="FW170" s="12"/>
      <c r="FX170" s="12"/>
      <c r="FY170" s="12"/>
      <c r="FZ170" s="12"/>
      <c r="GA170" s="12"/>
      <c r="GB170" s="12"/>
      <c r="GC170" s="12"/>
      <c r="GD170" s="12"/>
      <c r="GE170" s="12"/>
      <c r="GF170" s="12"/>
      <c r="GG170" s="12"/>
      <c r="GH170" s="12"/>
      <c r="GI170" s="12"/>
      <c r="GJ170" s="12"/>
      <c r="GK170" s="12"/>
      <c r="GL170" s="12"/>
      <c r="GM170" s="12"/>
      <c r="GN170" s="12"/>
      <c r="GO170" s="12"/>
      <c r="GP170" s="12"/>
      <c r="GQ170" s="12"/>
      <c r="GR170" s="12"/>
      <c r="GS170" s="12"/>
      <c r="GT170" s="12"/>
      <c r="GU170" s="12"/>
      <c r="GV170" s="12"/>
      <c r="GW170" s="12"/>
      <c r="GX170" s="12"/>
      <c r="GY170" s="12"/>
      <c r="GZ170" s="12"/>
      <c r="HA170" s="12"/>
      <c r="HB170" s="12"/>
      <c r="HC170" s="12"/>
      <c r="HD170" s="12"/>
      <c r="HE170" s="12"/>
      <c r="HF170" s="12"/>
      <c r="HG170" s="12"/>
      <c r="HH170" s="12"/>
      <c r="HI170" s="12"/>
      <c r="HJ170" s="12"/>
      <c r="HK170" s="12"/>
      <c r="HL170" s="12"/>
      <c r="HM170" s="12"/>
      <c r="HN170" s="12"/>
      <c r="HO170" s="12"/>
      <c r="HP170" s="12"/>
      <c r="HQ170" s="12"/>
      <c r="HR170" s="12"/>
      <c r="HS170" s="12"/>
      <c r="HT170" s="12"/>
      <c r="HU170" s="12"/>
      <c r="HV170" s="12"/>
      <c r="HW170" s="12"/>
      <c r="HX170" s="12"/>
      <c r="HY170" s="12"/>
      <c r="HZ170" s="12"/>
      <c r="IA170" s="12"/>
      <c r="IB170" s="12"/>
      <c r="IC170" s="12"/>
      <c r="ID170" s="12"/>
      <c r="IE170" s="12"/>
      <c r="IF170" s="12"/>
      <c r="IG170" s="12"/>
      <c r="IH170" s="12"/>
      <c r="II170" s="12"/>
      <c r="IJ170" s="12"/>
      <c r="IK170" s="12"/>
      <c r="IL170" s="12"/>
      <c r="IM170" s="12"/>
      <c r="IN170" s="12"/>
      <c r="IO170" s="12"/>
      <c r="IP170" s="12"/>
      <c r="IQ170" s="12"/>
      <c r="IR170" s="12"/>
      <c r="IS170" s="12"/>
      <c r="IT170" s="12"/>
      <c r="IU170" s="12"/>
      <c r="IV170" s="12"/>
      <c r="IW170" s="12"/>
    </row>
    <row r="171" customFormat="false" ht="11.25" hidden="false" customHeight="false" outlineLevel="0" collapsed="false">
      <c r="A171" s="25" t="n">
        <f aca="false">DATE(YEAR(A170),MONTH(A170)+1,1)</f>
        <v>50922</v>
      </c>
      <c r="B171" s="21" t="n">
        <v>2.48</v>
      </c>
      <c r="C171" s="21" t="n">
        <v>2.58</v>
      </c>
      <c r="D171" s="25" t="n">
        <f aca="false">DATE(YEAR(D170),MONTH(D170)+1,1)</f>
        <v>50922</v>
      </c>
      <c r="E171" s="21" t="n">
        <v>19.401</v>
      </c>
      <c r="F171" s="21" t="n">
        <v>20.464</v>
      </c>
      <c r="G171" s="6"/>
      <c r="H171" s="22" t="n">
        <f aca="false">A171</f>
        <v>50922</v>
      </c>
      <c r="I171" s="23" t="n">
        <f aca="false">IF($J$1="bid",B171,C171)</f>
        <v>2.58</v>
      </c>
      <c r="J171" s="24" t="n">
        <f aca="false">D171</f>
        <v>50922</v>
      </c>
      <c r="K171" s="23" t="n">
        <f aca="false">IF($J$1="bid",E171,F171)</f>
        <v>20.464</v>
      </c>
      <c r="L171" s="11"/>
      <c r="M171" s="11"/>
      <c r="N171" s="11"/>
      <c r="O171" s="11"/>
      <c r="P171" s="11"/>
      <c r="Q171" s="11"/>
      <c r="R171" s="11"/>
      <c r="S171" s="11"/>
      <c r="T171" s="11"/>
      <c r="U171" s="11"/>
      <c r="V171" s="11"/>
      <c r="W171" s="11"/>
      <c r="X171" s="11"/>
      <c r="Y171" s="11"/>
      <c r="Z171" s="11"/>
      <c r="AA171" s="11"/>
      <c r="AB171" s="11"/>
      <c r="AC171" s="11"/>
      <c r="AD171" s="11"/>
      <c r="AE171" s="11"/>
      <c r="AF171" s="11"/>
      <c r="AG171" s="11"/>
      <c r="AH171" s="11"/>
      <c r="AI171" s="11"/>
      <c r="AJ171" s="11"/>
      <c r="AK171" s="11"/>
      <c r="AL171" s="11"/>
      <c r="AM171" s="11"/>
      <c r="AN171" s="11"/>
      <c r="AO171" s="11"/>
      <c r="AP171" s="11"/>
      <c r="AQ171" s="11"/>
      <c r="AR171" s="5"/>
      <c r="AS171" s="12"/>
      <c r="AT171" s="12"/>
      <c r="AU171" s="12"/>
      <c r="AV171" s="12"/>
      <c r="AW171" s="12"/>
      <c r="AX171" s="12"/>
      <c r="AY171" s="12"/>
      <c r="AZ171" s="12"/>
      <c r="BA171" s="12"/>
      <c r="BB171" s="12"/>
      <c r="BC171" s="12"/>
      <c r="BD171" s="12"/>
      <c r="BE171" s="12"/>
      <c r="BF171" s="12"/>
      <c r="BG171" s="12"/>
      <c r="BH171" s="12"/>
      <c r="BI171" s="12"/>
      <c r="BJ171" s="12"/>
      <c r="BK171" s="12"/>
      <c r="BL171" s="12"/>
      <c r="BM171" s="12"/>
      <c r="BN171" s="12"/>
      <c r="BO171" s="12"/>
      <c r="BP171" s="12"/>
      <c r="BQ171" s="12"/>
      <c r="BR171" s="12"/>
      <c r="BS171" s="12"/>
      <c r="BT171" s="12"/>
      <c r="BU171" s="12"/>
      <c r="BV171" s="12"/>
      <c r="BW171" s="12"/>
      <c r="BX171" s="12"/>
      <c r="BY171" s="12"/>
      <c r="BZ171" s="12"/>
      <c r="CA171" s="12"/>
      <c r="CB171" s="12"/>
      <c r="CC171" s="12"/>
      <c r="CD171" s="12"/>
      <c r="CE171" s="12"/>
      <c r="CF171" s="12"/>
      <c r="CG171" s="12"/>
      <c r="CH171" s="12"/>
      <c r="CI171" s="12"/>
      <c r="CJ171" s="12"/>
      <c r="CK171" s="12"/>
      <c r="CL171" s="12"/>
      <c r="CM171" s="12"/>
      <c r="CN171" s="12"/>
      <c r="CO171" s="12"/>
      <c r="CP171" s="12"/>
      <c r="CQ171" s="12"/>
      <c r="CR171" s="12"/>
      <c r="CS171" s="12"/>
      <c r="CT171" s="12"/>
      <c r="CU171" s="12"/>
      <c r="CV171" s="12"/>
      <c r="CW171" s="12"/>
      <c r="CX171" s="12"/>
      <c r="CY171" s="12"/>
      <c r="CZ171" s="12"/>
      <c r="DA171" s="12"/>
      <c r="DB171" s="12"/>
      <c r="DC171" s="12"/>
      <c r="DD171" s="12"/>
      <c r="DE171" s="12"/>
      <c r="DF171" s="12"/>
      <c r="DG171" s="12"/>
      <c r="DH171" s="12"/>
      <c r="DI171" s="12"/>
      <c r="DJ171" s="12"/>
      <c r="DK171" s="12"/>
      <c r="DL171" s="12"/>
      <c r="DM171" s="12"/>
      <c r="DN171" s="12"/>
      <c r="DO171" s="12"/>
      <c r="DP171" s="12"/>
      <c r="DQ171" s="12"/>
      <c r="DR171" s="12"/>
      <c r="DS171" s="12"/>
      <c r="DT171" s="12"/>
      <c r="DU171" s="12"/>
      <c r="DV171" s="12"/>
      <c r="DW171" s="12"/>
      <c r="DX171" s="12"/>
      <c r="DY171" s="12"/>
      <c r="DZ171" s="12"/>
      <c r="EA171" s="12"/>
      <c r="EB171" s="12"/>
      <c r="EC171" s="12"/>
      <c r="ED171" s="12"/>
      <c r="EE171" s="12"/>
      <c r="EF171" s="12"/>
      <c r="EG171" s="12"/>
      <c r="EH171" s="12"/>
      <c r="EI171" s="12"/>
      <c r="EJ171" s="12"/>
      <c r="EK171" s="12"/>
      <c r="EL171" s="12"/>
      <c r="EM171" s="12"/>
      <c r="EN171" s="12"/>
      <c r="EO171" s="12"/>
      <c r="EP171" s="12"/>
      <c r="EQ171" s="12"/>
      <c r="ER171" s="12"/>
      <c r="ES171" s="12"/>
      <c r="ET171" s="12"/>
      <c r="EU171" s="12"/>
      <c r="EV171" s="12"/>
      <c r="EW171" s="12"/>
      <c r="EX171" s="12"/>
      <c r="EY171" s="12"/>
      <c r="EZ171" s="12"/>
      <c r="FA171" s="12"/>
      <c r="FB171" s="12"/>
      <c r="FC171" s="12"/>
      <c r="FD171" s="12"/>
      <c r="FE171" s="12"/>
      <c r="FF171" s="12"/>
      <c r="FG171" s="12"/>
      <c r="FH171" s="12"/>
      <c r="FI171" s="12"/>
      <c r="FJ171" s="12"/>
      <c r="FK171" s="12"/>
      <c r="FL171" s="12"/>
      <c r="FM171" s="12"/>
      <c r="FN171" s="12"/>
      <c r="FO171" s="12"/>
      <c r="FP171" s="12"/>
      <c r="FQ171" s="12"/>
      <c r="FR171" s="12"/>
      <c r="FS171" s="12"/>
      <c r="FT171" s="12"/>
      <c r="FU171" s="12"/>
      <c r="FV171" s="12"/>
      <c r="FW171" s="12"/>
      <c r="FX171" s="12"/>
      <c r="FY171" s="12"/>
      <c r="FZ171" s="12"/>
      <c r="GA171" s="12"/>
      <c r="GB171" s="12"/>
      <c r="GC171" s="12"/>
      <c r="GD171" s="12"/>
      <c r="GE171" s="12"/>
      <c r="GF171" s="12"/>
      <c r="GG171" s="12"/>
      <c r="GH171" s="12"/>
      <c r="GI171" s="12"/>
      <c r="GJ171" s="12"/>
      <c r="GK171" s="12"/>
      <c r="GL171" s="12"/>
      <c r="GM171" s="12"/>
      <c r="GN171" s="12"/>
      <c r="GO171" s="12"/>
      <c r="GP171" s="12"/>
      <c r="GQ171" s="12"/>
      <c r="GR171" s="12"/>
      <c r="GS171" s="12"/>
      <c r="GT171" s="12"/>
      <c r="GU171" s="12"/>
      <c r="GV171" s="12"/>
      <c r="GW171" s="12"/>
      <c r="GX171" s="12"/>
      <c r="GY171" s="12"/>
      <c r="GZ171" s="12"/>
      <c r="HA171" s="12"/>
      <c r="HB171" s="12"/>
      <c r="HC171" s="12"/>
      <c r="HD171" s="12"/>
      <c r="HE171" s="12"/>
      <c r="HF171" s="12"/>
      <c r="HG171" s="12"/>
      <c r="HH171" s="12"/>
      <c r="HI171" s="12"/>
      <c r="HJ171" s="12"/>
      <c r="HK171" s="12"/>
      <c r="HL171" s="12"/>
      <c r="HM171" s="12"/>
      <c r="HN171" s="12"/>
      <c r="HO171" s="12"/>
      <c r="HP171" s="12"/>
      <c r="HQ171" s="12"/>
      <c r="HR171" s="12"/>
      <c r="HS171" s="12"/>
      <c r="HT171" s="12"/>
      <c r="HU171" s="12"/>
      <c r="HV171" s="12"/>
      <c r="HW171" s="12"/>
      <c r="HX171" s="12"/>
      <c r="HY171" s="12"/>
      <c r="HZ171" s="12"/>
      <c r="IA171" s="12"/>
      <c r="IB171" s="12"/>
      <c r="IC171" s="12"/>
      <c r="ID171" s="12"/>
      <c r="IE171" s="12"/>
      <c r="IF171" s="12"/>
      <c r="IG171" s="12"/>
      <c r="IH171" s="12"/>
      <c r="II171" s="12"/>
      <c r="IJ171" s="12"/>
      <c r="IK171" s="12"/>
      <c r="IL171" s="12"/>
      <c r="IM171" s="12"/>
      <c r="IN171" s="12"/>
      <c r="IO171" s="12"/>
      <c r="IP171" s="12"/>
      <c r="IQ171" s="12"/>
      <c r="IR171" s="12"/>
      <c r="IS171" s="12"/>
      <c r="IT171" s="12"/>
      <c r="IU171" s="12"/>
      <c r="IV171" s="12"/>
      <c r="IW171" s="12"/>
    </row>
    <row r="172" customFormat="false" ht="11.25" hidden="false" customHeight="false" outlineLevel="0" collapsed="false">
      <c r="A172" s="25" t="n">
        <f aca="false">DATE(YEAR(A171),MONTH(A171)+1,1)</f>
        <v>50952</v>
      </c>
      <c r="B172" s="21" t="n">
        <v>2.48</v>
      </c>
      <c r="C172" s="21" t="n">
        <v>2.58</v>
      </c>
      <c r="D172" s="25" t="n">
        <f aca="false">DATE(YEAR(D171),MONTH(D171)+1,1)</f>
        <v>50952</v>
      </c>
      <c r="E172" s="21" t="n">
        <v>19.41</v>
      </c>
      <c r="F172" s="21" t="n">
        <v>20.482</v>
      </c>
      <c r="G172" s="6"/>
      <c r="H172" s="22" t="n">
        <f aca="false">A172</f>
        <v>50952</v>
      </c>
      <c r="I172" s="23" t="n">
        <f aca="false">IF($J$1="bid",B172,C172)</f>
        <v>2.58</v>
      </c>
      <c r="J172" s="24" t="n">
        <f aca="false">D172</f>
        <v>50952</v>
      </c>
      <c r="K172" s="23" t="n">
        <f aca="false">IF($J$1="bid",E172,F172)</f>
        <v>20.482</v>
      </c>
      <c r="L172" s="11"/>
      <c r="M172" s="11"/>
      <c r="N172" s="11"/>
      <c r="O172" s="11"/>
      <c r="P172" s="11"/>
      <c r="Q172" s="11"/>
      <c r="R172" s="11"/>
      <c r="S172" s="11"/>
      <c r="T172" s="11"/>
      <c r="U172" s="11"/>
      <c r="V172" s="11"/>
      <c r="W172" s="11"/>
      <c r="X172" s="11"/>
      <c r="Y172" s="11"/>
      <c r="Z172" s="11"/>
      <c r="AA172" s="11"/>
      <c r="AB172" s="11"/>
      <c r="AC172" s="11"/>
      <c r="AD172" s="11"/>
      <c r="AE172" s="11"/>
      <c r="AF172" s="11"/>
      <c r="AG172" s="11"/>
      <c r="AH172" s="11"/>
      <c r="AI172" s="11"/>
      <c r="AJ172" s="11"/>
      <c r="AK172" s="11"/>
      <c r="AL172" s="11"/>
      <c r="AM172" s="11"/>
      <c r="AN172" s="11"/>
      <c r="AO172" s="11"/>
      <c r="AP172" s="11"/>
      <c r="AQ172" s="11"/>
      <c r="AR172" s="5"/>
      <c r="AS172" s="12"/>
      <c r="AT172" s="12"/>
      <c r="AU172" s="12"/>
      <c r="AV172" s="12"/>
      <c r="AW172" s="12"/>
      <c r="AX172" s="12"/>
      <c r="AY172" s="12"/>
      <c r="AZ172" s="12"/>
      <c r="BA172" s="12"/>
      <c r="BB172" s="12"/>
      <c r="BC172" s="12"/>
      <c r="BD172" s="12"/>
      <c r="BE172" s="12"/>
      <c r="BF172" s="12"/>
      <c r="BG172" s="12"/>
      <c r="BH172" s="12"/>
      <c r="BI172" s="12"/>
      <c r="BJ172" s="12"/>
      <c r="BK172" s="12"/>
      <c r="BL172" s="12"/>
      <c r="BM172" s="12"/>
      <c r="BN172" s="12"/>
      <c r="BO172" s="12"/>
      <c r="BP172" s="12"/>
      <c r="BQ172" s="12"/>
      <c r="BR172" s="12"/>
      <c r="BS172" s="12"/>
      <c r="BT172" s="12"/>
      <c r="BU172" s="12"/>
      <c r="BV172" s="12"/>
      <c r="BW172" s="12"/>
      <c r="BX172" s="12"/>
      <c r="BY172" s="12"/>
      <c r="BZ172" s="12"/>
      <c r="CA172" s="12"/>
      <c r="CB172" s="12"/>
      <c r="CC172" s="12"/>
      <c r="CD172" s="12"/>
      <c r="CE172" s="12"/>
      <c r="CF172" s="12"/>
      <c r="CG172" s="12"/>
      <c r="CH172" s="12"/>
      <c r="CI172" s="12"/>
      <c r="CJ172" s="12"/>
      <c r="CK172" s="12"/>
      <c r="CL172" s="12"/>
      <c r="CM172" s="12"/>
      <c r="CN172" s="12"/>
      <c r="CO172" s="12"/>
      <c r="CP172" s="12"/>
      <c r="CQ172" s="12"/>
      <c r="CR172" s="12"/>
      <c r="CS172" s="12"/>
      <c r="CT172" s="12"/>
      <c r="CU172" s="12"/>
      <c r="CV172" s="12"/>
      <c r="CW172" s="12"/>
      <c r="CX172" s="12"/>
      <c r="CY172" s="12"/>
      <c r="CZ172" s="12"/>
      <c r="DA172" s="12"/>
      <c r="DB172" s="12"/>
      <c r="DC172" s="12"/>
      <c r="DD172" s="12"/>
      <c r="DE172" s="12"/>
      <c r="DF172" s="12"/>
      <c r="DG172" s="12"/>
      <c r="DH172" s="12"/>
      <c r="DI172" s="12"/>
      <c r="DJ172" s="12"/>
      <c r="DK172" s="12"/>
      <c r="DL172" s="12"/>
      <c r="DM172" s="12"/>
      <c r="DN172" s="12"/>
      <c r="DO172" s="12"/>
      <c r="DP172" s="12"/>
      <c r="DQ172" s="12"/>
      <c r="DR172" s="12"/>
      <c r="DS172" s="12"/>
      <c r="DT172" s="12"/>
      <c r="DU172" s="12"/>
      <c r="DV172" s="12"/>
      <c r="DW172" s="12"/>
      <c r="DX172" s="12"/>
      <c r="DY172" s="12"/>
      <c r="DZ172" s="12"/>
      <c r="EA172" s="12"/>
      <c r="EB172" s="12"/>
      <c r="EC172" s="12"/>
      <c r="ED172" s="12"/>
      <c r="EE172" s="12"/>
      <c r="EF172" s="12"/>
      <c r="EG172" s="12"/>
      <c r="EH172" s="12"/>
      <c r="EI172" s="12"/>
      <c r="EJ172" s="12"/>
      <c r="EK172" s="12"/>
      <c r="EL172" s="12"/>
      <c r="EM172" s="12"/>
      <c r="EN172" s="12"/>
      <c r="EO172" s="12"/>
      <c r="EP172" s="12"/>
      <c r="EQ172" s="12"/>
      <c r="ER172" s="12"/>
      <c r="ES172" s="12"/>
      <c r="ET172" s="12"/>
      <c r="EU172" s="12"/>
      <c r="EV172" s="12"/>
      <c r="EW172" s="12"/>
      <c r="EX172" s="12"/>
      <c r="EY172" s="12"/>
      <c r="EZ172" s="12"/>
      <c r="FA172" s="12"/>
      <c r="FB172" s="12"/>
      <c r="FC172" s="12"/>
      <c r="FD172" s="12"/>
      <c r="FE172" s="12"/>
      <c r="FF172" s="12"/>
      <c r="FG172" s="12"/>
      <c r="FH172" s="12"/>
      <c r="FI172" s="12"/>
      <c r="FJ172" s="12"/>
      <c r="FK172" s="12"/>
      <c r="FL172" s="12"/>
      <c r="FM172" s="12"/>
      <c r="FN172" s="12"/>
      <c r="FO172" s="12"/>
      <c r="FP172" s="12"/>
      <c r="FQ172" s="12"/>
      <c r="FR172" s="12"/>
      <c r="FS172" s="12"/>
      <c r="FT172" s="12"/>
      <c r="FU172" s="12"/>
      <c r="FV172" s="12"/>
      <c r="FW172" s="12"/>
      <c r="FX172" s="12"/>
      <c r="FY172" s="12"/>
      <c r="FZ172" s="12"/>
      <c r="GA172" s="12"/>
      <c r="GB172" s="12"/>
      <c r="GC172" s="12"/>
      <c r="GD172" s="12"/>
      <c r="GE172" s="12"/>
      <c r="GF172" s="12"/>
      <c r="GG172" s="12"/>
      <c r="GH172" s="12"/>
      <c r="GI172" s="12"/>
      <c r="GJ172" s="12"/>
      <c r="GK172" s="12"/>
      <c r="GL172" s="12"/>
      <c r="GM172" s="12"/>
      <c r="GN172" s="12"/>
      <c r="GO172" s="12"/>
      <c r="GP172" s="12"/>
      <c r="GQ172" s="12"/>
      <c r="GR172" s="12"/>
      <c r="GS172" s="12"/>
      <c r="GT172" s="12"/>
      <c r="GU172" s="12"/>
      <c r="GV172" s="12"/>
      <c r="GW172" s="12"/>
      <c r="GX172" s="12"/>
      <c r="GY172" s="12"/>
      <c r="GZ172" s="12"/>
      <c r="HA172" s="12"/>
      <c r="HB172" s="12"/>
      <c r="HC172" s="12"/>
      <c r="HD172" s="12"/>
      <c r="HE172" s="12"/>
      <c r="HF172" s="12"/>
      <c r="HG172" s="12"/>
      <c r="HH172" s="12"/>
      <c r="HI172" s="12"/>
      <c r="HJ172" s="12"/>
      <c r="HK172" s="12"/>
      <c r="HL172" s="12"/>
      <c r="HM172" s="12"/>
      <c r="HN172" s="12"/>
      <c r="HO172" s="12"/>
      <c r="HP172" s="12"/>
      <c r="HQ172" s="12"/>
      <c r="HR172" s="12"/>
      <c r="HS172" s="12"/>
      <c r="HT172" s="12"/>
      <c r="HU172" s="12"/>
      <c r="HV172" s="12"/>
      <c r="HW172" s="12"/>
      <c r="HX172" s="12"/>
      <c r="HY172" s="12"/>
      <c r="HZ172" s="12"/>
      <c r="IA172" s="12"/>
      <c r="IB172" s="12"/>
      <c r="IC172" s="12"/>
      <c r="ID172" s="12"/>
      <c r="IE172" s="12"/>
      <c r="IF172" s="12"/>
      <c r="IG172" s="12"/>
      <c r="IH172" s="12"/>
      <c r="II172" s="12"/>
      <c r="IJ172" s="12"/>
      <c r="IK172" s="12"/>
      <c r="IL172" s="12"/>
      <c r="IM172" s="12"/>
      <c r="IN172" s="12"/>
      <c r="IO172" s="12"/>
      <c r="IP172" s="12"/>
      <c r="IQ172" s="12"/>
      <c r="IR172" s="12"/>
      <c r="IS172" s="12"/>
      <c r="IT172" s="12"/>
      <c r="IU172" s="12"/>
      <c r="IV172" s="12"/>
      <c r="IW172" s="12"/>
    </row>
    <row r="173" customFormat="false" ht="11.25" hidden="false" customHeight="false" outlineLevel="0" collapsed="false">
      <c r="A173" s="25" t="n">
        <f aca="false">DATE(YEAR(A172),MONTH(A172)+1,1)</f>
        <v>50983</v>
      </c>
      <c r="B173" s="21" t="n">
        <v>2.48</v>
      </c>
      <c r="C173" s="21" t="n">
        <v>2.58</v>
      </c>
      <c r="D173" s="25" t="n">
        <f aca="false">DATE(YEAR(D172),MONTH(D172)+1,1)</f>
        <v>50983</v>
      </c>
      <c r="E173" s="21" t="n">
        <v>19.419</v>
      </c>
      <c r="F173" s="21" t="n">
        <v>20.499</v>
      </c>
      <c r="G173" s="6"/>
      <c r="H173" s="22" t="n">
        <f aca="false">A173</f>
        <v>50983</v>
      </c>
      <c r="I173" s="23" t="n">
        <f aca="false">IF($J$1="bid",B173,C173)</f>
        <v>2.58</v>
      </c>
      <c r="J173" s="24" t="n">
        <f aca="false">D173</f>
        <v>50983</v>
      </c>
      <c r="K173" s="23" t="n">
        <f aca="false">IF($J$1="bid",E173,F173)</f>
        <v>20.499</v>
      </c>
      <c r="L173" s="11"/>
      <c r="M173" s="11"/>
      <c r="N173" s="11"/>
      <c r="O173" s="11"/>
      <c r="P173" s="11"/>
      <c r="Q173" s="11"/>
      <c r="R173" s="11"/>
      <c r="S173" s="11"/>
      <c r="T173" s="11"/>
      <c r="U173" s="11"/>
      <c r="V173" s="11"/>
      <c r="W173" s="11"/>
      <c r="X173" s="11"/>
      <c r="Y173" s="11"/>
      <c r="Z173" s="11"/>
      <c r="AA173" s="11"/>
      <c r="AB173" s="11"/>
      <c r="AC173" s="11"/>
      <c r="AD173" s="11"/>
      <c r="AE173" s="11"/>
      <c r="AF173" s="11"/>
      <c r="AG173" s="11"/>
      <c r="AH173" s="11"/>
      <c r="AI173" s="11"/>
      <c r="AJ173" s="11"/>
      <c r="AK173" s="11"/>
      <c r="AL173" s="11"/>
      <c r="AM173" s="11"/>
      <c r="AN173" s="11"/>
      <c r="AO173" s="11"/>
      <c r="AP173" s="11"/>
      <c r="AQ173" s="11"/>
      <c r="AR173" s="5"/>
      <c r="AS173" s="12"/>
      <c r="AT173" s="12"/>
      <c r="AU173" s="12"/>
      <c r="AV173" s="12"/>
      <c r="AW173" s="12"/>
      <c r="AX173" s="12"/>
      <c r="AY173" s="12"/>
      <c r="AZ173" s="12"/>
      <c r="BA173" s="12"/>
      <c r="BB173" s="12"/>
      <c r="BC173" s="12"/>
      <c r="BD173" s="12"/>
      <c r="BE173" s="12"/>
      <c r="BF173" s="12"/>
      <c r="BG173" s="12"/>
      <c r="BH173" s="12"/>
      <c r="BI173" s="12"/>
      <c r="BJ173" s="12"/>
      <c r="BK173" s="12"/>
      <c r="BL173" s="12"/>
      <c r="BM173" s="12"/>
      <c r="BN173" s="12"/>
      <c r="BO173" s="12"/>
      <c r="BP173" s="12"/>
      <c r="BQ173" s="12"/>
      <c r="BR173" s="12"/>
      <c r="BS173" s="12"/>
      <c r="BT173" s="12"/>
      <c r="BU173" s="12"/>
      <c r="BV173" s="12"/>
      <c r="BW173" s="12"/>
      <c r="BX173" s="12"/>
      <c r="BY173" s="12"/>
      <c r="BZ173" s="12"/>
      <c r="CA173" s="12"/>
      <c r="CB173" s="12"/>
      <c r="CC173" s="12"/>
      <c r="CD173" s="12"/>
      <c r="CE173" s="12"/>
      <c r="CF173" s="12"/>
      <c r="CG173" s="12"/>
      <c r="CH173" s="12"/>
      <c r="CI173" s="12"/>
      <c r="CJ173" s="12"/>
      <c r="CK173" s="12"/>
      <c r="CL173" s="12"/>
      <c r="CM173" s="12"/>
      <c r="CN173" s="12"/>
      <c r="CO173" s="12"/>
      <c r="CP173" s="12"/>
      <c r="CQ173" s="12"/>
      <c r="CR173" s="12"/>
      <c r="CS173" s="12"/>
      <c r="CT173" s="12"/>
      <c r="CU173" s="12"/>
      <c r="CV173" s="12"/>
      <c r="CW173" s="12"/>
      <c r="CX173" s="12"/>
      <c r="CY173" s="12"/>
      <c r="CZ173" s="12"/>
      <c r="DA173" s="12"/>
      <c r="DB173" s="12"/>
      <c r="DC173" s="12"/>
      <c r="DD173" s="12"/>
      <c r="DE173" s="12"/>
      <c r="DF173" s="12"/>
      <c r="DG173" s="12"/>
      <c r="DH173" s="12"/>
      <c r="DI173" s="12"/>
      <c r="DJ173" s="12"/>
      <c r="DK173" s="12"/>
      <c r="DL173" s="12"/>
      <c r="DM173" s="12"/>
      <c r="DN173" s="12"/>
      <c r="DO173" s="12"/>
      <c r="DP173" s="12"/>
      <c r="DQ173" s="12"/>
      <c r="DR173" s="12"/>
      <c r="DS173" s="12"/>
      <c r="DT173" s="12"/>
      <c r="DU173" s="12"/>
      <c r="DV173" s="12"/>
      <c r="DW173" s="12"/>
      <c r="DX173" s="12"/>
      <c r="DY173" s="12"/>
      <c r="DZ173" s="12"/>
      <c r="EA173" s="12"/>
      <c r="EB173" s="12"/>
      <c r="EC173" s="12"/>
      <c r="ED173" s="12"/>
      <c r="EE173" s="12"/>
      <c r="EF173" s="12"/>
      <c r="EG173" s="12"/>
      <c r="EH173" s="12"/>
      <c r="EI173" s="12"/>
      <c r="EJ173" s="12"/>
      <c r="EK173" s="12"/>
      <c r="EL173" s="12"/>
      <c r="EM173" s="12"/>
      <c r="EN173" s="12"/>
      <c r="EO173" s="12"/>
      <c r="EP173" s="12"/>
      <c r="EQ173" s="12"/>
      <c r="ER173" s="12"/>
      <c r="ES173" s="12"/>
      <c r="ET173" s="12"/>
      <c r="EU173" s="12"/>
      <c r="EV173" s="12"/>
      <c r="EW173" s="12"/>
      <c r="EX173" s="12"/>
      <c r="EY173" s="12"/>
      <c r="EZ173" s="12"/>
      <c r="FA173" s="12"/>
      <c r="FB173" s="12"/>
      <c r="FC173" s="12"/>
      <c r="FD173" s="12"/>
      <c r="FE173" s="12"/>
      <c r="FF173" s="12"/>
      <c r="FG173" s="12"/>
      <c r="FH173" s="12"/>
      <c r="FI173" s="12"/>
      <c r="FJ173" s="12"/>
      <c r="FK173" s="12"/>
      <c r="FL173" s="12"/>
      <c r="FM173" s="12"/>
      <c r="FN173" s="12"/>
      <c r="FO173" s="12"/>
      <c r="FP173" s="12"/>
      <c r="FQ173" s="12"/>
      <c r="FR173" s="12"/>
      <c r="FS173" s="12"/>
      <c r="FT173" s="12"/>
      <c r="FU173" s="12"/>
      <c r="FV173" s="12"/>
      <c r="FW173" s="12"/>
      <c r="FX173" s="12"/>
      <c r="FY173" s="12"/>
      <c r="FZ173" s="12"/>
      <c r="GA173" s="12"/>
      <c r="GB173" s="12"/>
      <c r="GC173" s="12"/>
      <c r="GD173" s="12"/>
      <c r="GE173" s="12"/>
      <c r="GF173" s="12"/>
      <c r="GG173" s="12"/>
      <c r="GH173" s="12"/>
      <c r="GI173" s="12"/>
      <c r="GJ173" s="12"/>
      <c r="GK173" s="12"/>
      <c r="GL173" s="12"/>
      <c r="GM173" s="12"/>
      <c r="GN173" s="12"/>
      <c r="GO173" s="12"/>
      <c r="GP173" s="12"/>
      <c r="GQ173" s="12"/>
      <c r="GR173" s="12"/>
      <c r="GS173" s="12"/>
      <c r="GT173" s="12"/>
      <c r="GU173" s="12"/>
      <c r="GV173" s="12"/>
      <c r="GW173" s="12"/>
      <c r="GX173" s="12"/>
      <c r="GY173" s="12"/>
      <c r="GZ173" s="12"/>
      <c r="HA173" s="12"/>
      <c r="HB173" s="12"/>
      <c r="HC173" s="12"/>
      <c r="HD173" s="12"/>
      <c r="HE173" s="12"/>
      <c r="HF173" s="12"/>
      <c r="HG173" s="12"/>
      <c r="HH173" s="12"/>
      <c r="HI173" s="12"/>
      <c r="HJ173" s="12"/>
      <c r="HK173" s="12"/>
      <c r="HL173" s="12"/>
      <c r="HM173" s="12"/>
      <c r="HN173" s="12"/>
      <c r="HO173" s="12"/>
      <c r="HP173" s="12"/>
      <c r="HQ173" s="12"/>
      <c r="HR173" s="12"/>
      <c r="HS173" s="12"/>
      <c r="HT173" s="12"/>
      <c r="HU173" s="12"/>
      <c r="HV173" s="12"/>
      <c r="HW173" s="12"/>
      <c r="HX173" s="12"/>
      <c r="HY173" s="12"/>
      <c r="HZ173" s="12"/>
      <c r="IA173" s="12"/>
      <c r="IB173" s="12"/>
      <c r="IC173" s="12"/>
      <c r="ID173" s="12"/>
      <c r="IE173" s="12"/>
      <c r="IF173" s="12"/>
      <c r="IG173" s="12"/>
      <c r="IH173" s="12"/>
      <c r="II173" s="12"/>
      <c r="IJ173" s="12"/>
      <c r="IK173" s="12"/>
      <c r="IL173" s="12"/>
      <c r="IM173" s="12"/>
      <c r="IN173" s="12"/>
      <c r="IO173" s="12"/>
      <c r="IP173" s="12"/>
      <c r="IQ173" s="12"/>
      <c r="IR173" s="12"/>
      <c r="IS173" s="12"/>
      <c r="IT173" s="12"/>
      <c r="IU173" s="12"/>
      <c r="IV173" s="12"/>
      <c r="IW173" s="12"/>
    </row>
    <row r="174" customFormat="false" ht="11.25" hidden="false" customHeight="false" outlineLevel="0" collapsed="false">
      <c r="A174" s="25" t="n">
        <f aca="false">DATE(YEAR(A173),MONTH(A173)+1,1)</f>
        <v>51014</v>
      </c>
      <c r="B174" s="21" t="n">
        <v>2.554</v>
      </c>
      <c r="C174" s="21" t="n">
        <v>2.654</v>
      </c>
      <c r="D174" s="25" t="n">
        <f aca="false">DATE(YEAR(D173),MONTH(D173)+1,1)</f>
        <v>51014</v>
      </c>
      <c r="E174" s="21" t="n">
        <v>19.429</v>
      </c>
      <c r="F174" s="21" t="n">
        <v>20.517</v>
      </c>
      <c r="G174" s="6"/>
      <c r="H174" s="22" t="n">
        <f aca="false">A174</f>
        <v>51014</v>
      </c>
      <c r="I174" s="23" t="n">
        <f aca="false">IF($J$1="bid",B174,C174)</f>
        <v>2.654</v>
      </c>
      <c r="J174" s="24" t="n">
        <f aca="false">D174</f>
        <v>51014</v>
      </c>
      <c r="K174" s="23" t="n">
        <f aca="false">IF($J$1="bid",E174,F174)</f>
        <v>20.517</v>
      </c>
      <c r="L174" s="11"/>
      <c r="M174" s="11"/>
      <c r="N174" s="11"/>
      <c r="O174" s="11"/>
      <c r="P174" s="11"/>
      <c r="Q174" s="11"/>
      <c r="R174" s="11"/>
      <c r="S174" s="11"/>
      <c r="T174" s="11"/>
      <c r="U174" s="11"/>
      <c r="V174" s="11"/>
      <c r="W174" s="11"/>
      <c r="X174" s="11"/>
      <c r="Y174" s="11"/>
      <c r="Z174" s="11"/>
      <c r="AA174" s="11"/>
      <c r="AB174" s="11"/>
      <c r="AC174" s="11"/>
      <c r="AD174" s="11"/>
      <c r="AE174" s="11"/>
      <c r="AF174" s="11"/>
      <c r="AG174" s="11"/>
      <c r="AH174" s="11"/>
      <c r="AI174" s="11"/>
      <c r="AJ174" s="11"/>
      <c r="AK174" s="11"/>
      <c r="AL174" s="11"/>
      <c r="AM174" s="11"/>
      <c r="AN174" s="11"/>
      <c r="AO174" s="11"/>
      <c r="AP174" s="11"/>
      <c r="AQ174" s="11"/>
      <c r="AR174" s="5"/>
      <c r="AS174" s="12"/>
      <c r="AT174" s="12"/>
      <c r="AU174" s="12"/>
      <c r="AV174" s="12"/>
      <c r="AW174" s="12"/>
      <c r="AX174" s="12"/>
      <c r="AY174" s="12"/>
      <c r="AZ174" s="12"/>
      <c r="BA174" s="12"/>
      <c r="BB174" s="12"/>
      <c r="BC174" s="12"/>
      <c r="BD174" s="12"/>
      <c r="BE174" s="12"/>
      <c r="BF174" s="12"/>
      <c r="BG174" s="12"/>
      <c r="BH174" s="12"/>
      <c r="BI174" s="12"/>
      <c r="BJ174" s="12"/>
      <c r="BK174" s="12"/>
      <c r="BL174" s="12"/>
      <c r="BM174" s="12"/>
      <c r="BN174" s="12"/>
      <c r="BO174" s="12"/>
      <c r="BP174" s="12"/>
      <c r="BQ174" s="12"/>
      <c r="BR174" s="12"/>
      <c r="BS174" s="12"/>
      <c r="BT174" s="12"/>
      <c r="BU174" s="12"/>
      <c r="BV174" s="12"/>
      <c r="BW174" s="12"/>
      <c r="BX174" s="12"/>
      <c r="BY174" s="12"/>
      <c r="BZ174" s="12"/>
      <c r="CA174" s="12"/>
      <c r="CB174" s="12"/>
      <c r="CC174" s="12"/>
      <c r="CD174" s="12"/>
      <c r="CE174" s="12"/>
      <c r="CF174" s="12"/>
      <c r="CG174" s="12"/>
      <c r="CH174" s="12"/>
      <c r="CI174" s="12"/>
      <c r="CJ174" s="12"/>
      <c r="CK174" s="12"/>
      <c r="CL174" s="12"/>
      <c r="CM174" s="12"/>
      <c r="CN174" s="12"/>
      <c r="CO174" s="12"/>
      <c r="CP174" s="12"/>
      <c r="CQ174" s="12"/>
      <c r="CR174" s="12"/>
      <c r="CS174" s="12"/>
      <c r="CT174" s="12"/>
      <c r="CU174" s="12"/>
      <c r="CV174" s="12"/>
      <c r="CW174" s="12"/>
      <c r="CX174" s="12"/>
      <c r="CY174" s="12"/>
      <c r="CZ174" s="12"/>
      <c r="DA174" s="12"/>
      <c r="DB174" s="12"/>
      <c r="DC174" s="12"/>
      <c r="DD174" s="12"/>
      <c r="DE174" s="12"/>
      <c r="DF174" s="12"/>
      <c r="DG174" s="12"/>
      <c r="DH174" s="12"/>
      <c r="DI174" s="12"/>
      <c r="DJ174" s="12"/>
      <c r="DK174" s="12"/>
      <c r="DL174" s="12"/>
      <c r="DM174" s="12"/>
      <c r="DN174" s="12"/>
      <c r="DO174" s="12"/>
      <c r="DP174" s="12"/>
      <c r="DQ174" s="12"/>
      <c r="DR174" s="12"/>
      <c r="DS174" s="12"/>
      <c r="DT174" s="12"/>
      <c r="DU174" s="12"/>
      <c r="DV174" s="12"/>
      <c r="DW174" s="12"/>
      <c r="DX174" s="12"/>
      <c r="DY174" s="12"/>
      <c r="DZ174" s="12"/>
      <c r="EA174" s="12"/>
      <c r="EB174" s="12"/>
      <c r="EC174" s="12"/>
      <c r="ED174" s="12"/>
      <c r="EE174" s="12"/>
      <c r="EF174" s="12"/>
      <c r="EG174" s="12"/>
      <c r="EH174" s="12"/>
      <c r="EI174" s="12"/>
      <c r="EJ174" s="12"/>
      <c r="EK174" s="12"/>
      <c r="EL174" s="12"/>
      <c r="EM174" s="12"/>
      <c r="EN174" s="12"/>
      <c r="EO174" s="12"/>
      <c r="EP174" s="12"/>
      <c r="EQ174" s="12"/>
      <c r="ER174" s="12"/>
      <c r="ES174" s="12"/>
      <c r="ET174" s="12"/>
      <c r="EU174" s="12"/>
      <c r="EV174" s="12"/>
      <c r="EW174" s="12"/>
      <c r="EX174" s="12"/>
      <c r="EY174" s="12"/>
      <c r="EZ174" s="12"/>
      <c r="FA174" s="12"/>
      <c r="FB174" s="12"/>
      <c r="FC174" s="12"/>
      <c r="FD174" s="12"/>
      <c r="FE174" s="12"/>
      <c r="FF174" s="12"/>
      <c r="FG174" s="12"/>
      <c r="FH174" s="12"/>
      <c r="FI174" s="12"/>
      <c r="FJ174" s="12"/>
      <c r="FK174" s="12"/>
      <c r="FL174" s="12"/>
      <c r="FM174" s="12"/>
      <c r="FN174" s="12"/>
      <c r="FO174" s="12"/>
      <c r="FP174" s="12"/>
      <c r="FQ174" s="12"/>
      <c r="FR174" s="12"/>
      <c r="FS174" s="12"/>
      <c r="FT174" s="12"/>
      <c r="FU174" s="12"/>
      <c r="FV174" s="12"/>
      <c r="FW174" s="12"/>
      <c r="FX174" s="12"/>
      <c r="FY174" s="12"/>
      <c r="FZ174" s="12"/>
      <c r="GA174" s="12"/>
      <c r="GB174" s="12"/>
      <c r="GC174" s="12"/>
      <c r="GD174" s="12"/>
      <c r="GE174" s="12"/>
      <c r="GF174" s="12"/>
      <c r="GG174" s="12"/>
      <c r="GH174" s="12"/>
      <c r="GI174" s="12"/>
      <c r="GJ174" s="12"/>
      <c r="GK174" s="12"/>
      <c r="GL174" s="12"/>
      <c r="GM174" s="12"/>
      <c r="GN174" s="12"/>
      <c r="GO174" s="12"/>
      <c r="GP174" s="12"/>
      <c r="GQ174" s="12"/>
      <c r="GR174" s="12"/>
      <c r="GS174" s="12"/>
      <c r="GT174" s="12"/>
      <c r="GU174" s="12"/>
      <c r="GV174" s="12"/>
      <c r="GW174" s="12"/>
      <c r="GX174" s="12"/>
      <c r="GY174" s="12"/>
      <c r="GZ174" s="12"/>
      <c r="HA174" s="12"/>
      <c r="HB174" s="12"/>
      <c r="HC174" s="12"/>
      <c r="HD174" s="12"/>
      <c r="HE174" s="12"/>
      <c r="HF174" s="12"/>
      <c r="HG174" s="12"/>
      <c r="HH174" s="12"/>
      <c r="HI174" s="12"/>
      <c r="HJ174" s="12"/>
      <c r="HK174" s="12"/>
      <c r="HL174" s="12"/>
      <c r="HM174" s="12"/>
      <c r="HN174" s="12"/>
      <c r="HO174" s="12"/>
      <c r="HP174" s="12"/>
      <c r="HQ174" s="12"/>
      <c r="HR174" s="12"/>
      <c r="HS174" s="12"/>
      <c r="HT174" s="12"/>
      <c r="HU174" s="12"/>
      <c r="HV174" s="12"/>
      <c r="HW174" s="12"/>
      <c r="HX174" s="12"/>
      <c r="HY174" s="12"/>
      <c r="HZ174" s="12"/>
      <c r="IA174" s="12"/>
      <c r="IB174" s="12"/>
      <c r="IC174" s="12"/>
      <c r="ID174" s="12"/>
      <c r="IE174" s="12"/>
      <c r="IF174" s="12"/>
      <c r="IG174" s="12"/>
      <c r="IH174" s="12"/>
      <c r="II174" s="12"/>
      <c r="IJ174" s="12"/>
      <c r="IK174" s="12"/>
      <c r="IL174" s="12"/>
      <c r="IM174" s="12"/>
      <c r="IN174" s="12"/>
      <c r="IO174" s="12"/>
      <c r="IP174" s="12"/>
      <c r="IQ174" s="12"/>
      <c r="IR174" s="12"/>
      <c r="IS174" s="12"/>
      <c r="IT174" s="12"/>
      <c r="IU174" s="12"/>
      <c r="IV174" s="12"/>
      <c r="IW174" s="12"/>
    </row>
    <row r="175" customFormat="false" ht="11.25" hidden="false" customHeight="false" outlineLevel="0" collapsed="false">
      <c r="A175" s="25" t="n">
        <f aca="false">DATE(YEAR(A174),MONTH(A174)+1,1)</f>
        <v>51044</v>
      </c>
      <c r="B175" s="21" t="n">
        <v>2.672</v>
      </c>
      <c r="C175" s="21" t="n">
        <v>2.772</v>
      </c>
      <c r="D175" s="25" t="n">
        <f aca="false">DATE(YEAR(D174),MONTH(D174)+1,1)</f>
        <v>51044</v>
      </c>
      <c r="E175" s="21" t="n">
        <v>19.444</v>
      </c>
      <c r="F175" s="21" t="n">
        <v>20.541</v>
      </c>
      <c r="G175" s="6"/>
      <c r="H175" s="22" t="n">
        <f aca="false">A175</f>
        <v>51044</v>
      </c>
      <c r="I175" s="23" t="n">
        <f aca="false">IF($J$1="bid",B175,C175)</f>
        <v>2.772</v>
      </c>
      <c r="J175" s="24" t="n">
        <f aca="false">D175</f>
        <v>51044</v>
      </c>
      <c r="K175" s="23" t="n">
        <f aca="false">IF($J$1="bid",E175,F175)</f>
        <v>20.541</v>
      </c>
      <c r="L175" s="11"/>
      <c r="M175" s="11"/>
      <c r="N175" s="11"/>
      <c r="O175" s="11"/>
      <c r="P175" s="11"/>
      <c r="Q175" s="11"/>
      <c r="R175" s="11"/>
      <c r="S175" s="11"/>
      <c r="T175" s="11"/>
      <c r="U175" s="11"/>
      <c r="V175" s="11"/>
      <c r="W175" s="11"/>
      <c r="X175" s="11"/>
      <c r="Y175" s="11"/>
      <c r="Z175" s="11"/>
      <c r="AA175" s="11"/>
      <c r="AB175" s="11"/>
      <c r="AC175" s="11"/>
      <c r="AD175" s="11"/>
      <c r="AE175" s="11"/>
      <c r="AF175" s="11"/>
      <c r="AG175" s="11"/>
      <c r="AH175" s="11"/>
      <c r="AI175" s="11"/>
      <c r="AJ175" s="11"/>
      <c r="AK175" s="11"/>
      <c r="AL175" s="11"/>
      <c r="AM175" s="11"/>
      <c r="AN175" s="11"/>
      <c r="AO175" s="11"/>
      <c r="AP175" s="11"/>
      <c r="AQ175" s="11"/>
      <c r="AR175" s="5"/>
      <c r="AS175" s="12"/>
      <c r="AT175" s="12"/>
      <c r="AU175" s="12"/>
      <c r="AV175" s="12"/>
      <c r="AW175" s="12"/>
      <c r="AX175" s="12"/>
      <c r="AY175" s="12"/>
      <c r="AZ175" s="12"/>
      <c r="BA175" s="12"/>
      <c r="BB175" s="12"/>
      <c r="BC175" s="12"/>
      <c r="BD175" s="12"/>
      <c r="BE175" s="12"/>
      <c r="BF175" s="12"/>
      <c r="BG175" s="12"/>
      <c r="BH175" s="12"/>
      <c r="BI175" s="12"/>
      <c r="BJ175" s="12"/>
      <c r="BK175" s="12"/>
      <c r="BL175" s="12"/>
      <c r="BM175" s="12"/>
      <c r="BN175" s="12"/>
      <c r="BO175" s="12"/>
      <c r="BP175" s="12"/>
      <c r="BQ175" s="12"/>
      <c r="BR175" s="12"/>
      <c r="BS175" s="12"/>
      <c r="BT175" s="12"/>
      <c r="BU175" s="12"/>
      <c r="BV175" s="12"/>
      <c r="BW175" s="12"/>
      <c r="BX175" s="12"/>
      <c r="BY175" s="12"/>
      <c r="BZ175" s="12"/>
      <c r="CA175" s="12"/>
      <c r="CB175" s="12"/>
      <c r="CC175" s="12"/>
      <c r="CD175" s="12"/>
      <c r="CE175" s="12"/>
      <c r="CF175" s="12"/>
      <c r="CG175" s="12"/>
      <c r="CH175" s="12"/>
      <c r="CI175" s="12"/>
      <c r="CJ175" s="12"/>
      <c r="CK175" s="12"/>
      <c r="CL175" s="12"/>
      <c r="CM175" s="12"/>
      <c r="CN175" s="12"/>
      <c r="CO175" s="12"/>
      <c r="CP175" s="12"/>
      <c r="CQ175" s="12"/>
      <c r="CR175" s="12"/>
      <c r="CS175" s="12"/>
      <c r="CT175" s="12"/>
      <c r="CU175" s="12"/>
      <c r="CV175" s="12"/>
      <c r="CW175" s="12"/>
      <c r="CX175" s="12"/>
      <c r="CY175" s="12"/>
      <c r="CZ175" s="12"/>
      <c r="DA175" s="12"/>
      <c r="DB175" s="12"/>
      <c r="DC175" s="12"/>
      <c r="DD175" s="12"/>
      <c r="DE175" s="12"/>
      <c r="DF175" s="12"/>
      <c r="DG175" s="12"/>
      <c r="DH175" s="12"/>
      <c r="DI175" s="12"/>
      <c r="DJ175" s="12"/>
      <c r="DK175" s="12"/>
      <c r="DL175" s="12"/>
      <c r="DM175" s="12"/>
      <c r="DN175" s="12"/>
      <c r="DO175" s="12"/>
      <c r="DP175" s="12"/>
      <c r="DQ175" s="12"/>
      <c r="DR175" s="12"/>
      <c r="DS175" s="12"/>
      <c r="DT175" s="12"/>
      <c r="DU175" s="12"/>
      <c r="DV175" s="12"/>
      <c r="DW175" s="12"/>
      <c r="DX175" s="12"/>
      <c r="DY175" s="12"/>
      <c r="DZ175" s="12"/>
      <c r="EA175" s="12"/>
      <c r="EB175" s="12"/>
      <c r="EC175" s="12"/>
      <c r="ED175" s="12"/>
      <c r="EE175" s="12"/>
      <c r="EF175" s="12"/>
      <c r="EG175" s="12"/>
      <c r="EH175" s="12"/>
      <c r="EI175" s="12"/>
      <c r="EJ175" s="12"/>
      <c r="EK175" s="12"/>
      <c r="EL175" s="12"/>
      <c r="EM175" s="12"/>
      <c r="EN175" s="12"/>
      <c r="EO175" s="12"/>
      <c r="EP175" s="12"/>
      <c r="EQ175" s="12"/>
      <c r="ER175" s="12"/>
      <c r="ES175" s="12"/>
      <c r="ET175" s="12"/>
      <c r="EU175" s="12"/>
      <c r="EV175" s="12"/>
      <c r="EW175" s="12"/>
      <c r="EX175" s="12"/>
      <c r="EY175" s="12"/>
      <c r="EZ175" s="12"/>
      <c r="FA175" s="12"/>
      <c r="FB175" s="12"/>
      <c r="FC175" s="12"/>
      <c r="FD175" s="12"/>
      <c r="FE175" s="12"/>
      <c r="FF175" s="12"/>
      <c r="FG175" s="12"/>
      <c r="FH175" s="12"/>
      <c r="FI175" s="12"/>
      <c r="FJ175" s="12"/>
      <c r="FK175" s="12"/>
      <c r="FL175" s="12"/>
      <c r="FM175" s="12"/>
      <c r="FN175" s="12"/>
      <c r="FO175" s="12"/>
      <c r="FP175" s="12"/>
      <c r="FQ175" s="12"/>
      <c r="FR175" s="12"/>
      <c r="FS175" s="12"/>
      <c r="FT175" s="12"/>
      <c r="FU175" s="12"/>
      <c r="FV175" s="12"/>
      <c r="FW175" s="12"/>
      <c r="FX175" s="12"/>
      <c r="FY175" s="12"/>
      <c r="FZ175" s="12"/>
      <c r="GA175" s="12"/>
      <c r="GB175" s="12"/>
      <c r="GC175" s="12"/>
      <c r="GD175" s="12"/>
      <c r="GE175" s="12"/>
      <c r="GF175" s="12"/>
      <c r="GG175" s="12"/>
      <c r="GH175" s="12"/>
      <c r="GI175" s="12"/>
      <c r="GJ175" s="12"/>
      <c r="GK175" s="12"/>
      <c r="GL175" s="12"/>
      <c r="GM175" s="12"/>
      <c r="GN175" s="12"/>
      <c r="GO175" s="12"/>
      <c r="GP175" s="12"/>
      <c r="GQ175" s="12"/>
      <c r="GR175" s="12"/>
      <c r="GS175" s="12"/>
      <c r="GT175" s="12"/>
      <c r="GU175" s="12"/>
      <c r="GV175" s="12"/>
      <c r="GW175" s="12"/>
      <c r="GX175" s="12"/>
      <c r="GY175" s="12"/>
      <c r="GZ175" s="12"/>
      <c r="HA175" s="12"/>
      <c r="HB175" s="12"/>
      <c r="HC175" s="12"/>
      <c r="HD175" s="12"/>
      <c r="HE175" s="12"/>
      <c r="HF175" s="12"/>
      <c r="HG175" s="12"/>
      <c r="HH175" s="12"/>
      <c r="HI175" s="12"/>
      <c r="HJ175" s="12"/>
      <c r="HK175" s="12"/>
      <c r="HL175" s="12"/>
      <c r="HM175" s="12"/>
      <c r="HN175" s="12"/>
      <c r="HO175" s="12"/>
      <c r="HP175" s="12"/>
      <c r="HQ175" s="12"/>
      <c r="HR175" s="12"/>
      <c r="HS175" s="12"/>
      <c r="HT175" s="12"/>
      <c r="HU175" s="12"/>
      <c r="HV175" s="12"/>
      <c r="HW175" s="12"/>
      <c r="HX175" s="12"/>
      <c r="HY175" s="12"/>
      <c r="HZ175" s="12"/>
      <c r="IA175" s="12"/>
      <c r="IB175" s="12"/>
      <c r="IC175" s="12"/>
      <c r="ID175" s="12"/>
      <c r="IE175" s="12"/>
      <c r="IF175" s="12"/>
      <c r="IG175" s="12"/>
      <c r="IH175" s="12"/>
      <c r="II175" s="12"/>
      <c r="IJ175" s="12"/>
      <c r="IK175" s="12"/>
      <c r="IL175" s="12"/>
      <c r="IM175" s="12"/>
      <c r="IN175" s="12"/>
      <c r="IO175" s="12"/>
      <c r="IP175" s="12"/>
      <c r="IQ175" s="12"/>
      <c r="IR175" s="12"/>
      <c r="IS175" s="12"/>
      <c r="IT175" s="12"/>
      <c r="IU175" s="12"/>
      <c r="IV175" s="12"/>
      <c r="IW175" s="12"/>
    </row>
    <row r="176" customFormat="false" ht="11.25" hidden="false" customHeight="false" outlineLevel="0" collapsed="false">
      <c r="A176" s="25" t="n">
        <f aca="false">DATE(YEAR(A175),MONTH(A175)+1,1)</f>
        <v>51075</v>
      </c>
      <c r="B176" s="21" t="n">
        <v>2.833</v>
      </c>
      <c r="C176" s="21" t="n">
        <v>2.933</v>
      </c>
      <c r="D176" s="25" t="n">
        <f aca="false">DATE(YEAR(D175),MONTH(D175)+1,1)</f>
        <v>51075</v>
      </c>
      <c r="E176" s="21" t="n">
        <v>19.844</v>
      </c>
      <c r="F176" s="21" t="n">
        <v>21.016</v>
      </c>
      <c r="G176" s="6"/>
      <c r="H176" s="22" t="n">
        <f aca="false">A176</f>
        <v>51075</v>
      </c>
      <c r="I176" s="23" t="n">
        <f aca="false">IF($J$1="bid",B176,C176)</f>
        <v>2.933</v>
      </c>
      <c r="J176" s="24" t="n">
        <f aca="false">D176</f>
        <v>51075</v>
      </c>
      <c r="K176" s="23" t="n">
        <f aca="false">IF($J$1="bid",E176,F176)</f>
        <v>21.016</v>
      </c>
      <c r="L176" s="11"/>
      <c r="M176" s="11"/>
      <c r="N176" s="11"/>
      <c r="O176" s="11"/>
      <c r="P176" s="11"/>
      <c r="Q176" s="11"/>
      <c r="R176" s="11"/>
      <c r="S176" s="11"/>
      <c r="T176" s="11"/>
      <c r="U176" s="11"/>
      <c r="V176" s="11"/>
      <c r="W176" s="11"/>
      <c r="X176" s="11"/>
      <c r="Y176" s="11"/>
      <c r="Z176" s="11"/>
      <c r="AA176" s="11"/>
      <c r="AB176" s="11"/>
      <c r="AC176" s="11"/>
      <c r="AD176" s="11"/>
      <c r="AE176" s="11"/>
      <c r="AF176" s="11"/>
      <c r="AG176" s="11"/>
      <c r="AH176" s="11"/>
      <c r="AI176" s="11"/>
      <c r="AJ176" s="11"/>
      <c r="AK176" s="11"/>
      <c r="AL176" s="11"/>
      <c r="AM176" s="11"/>
      <c r="AN176" s="11"/>
      <c r="AO176" s="11"/>
      <c r="AP176" s="11"/>
      <c r="AQ176" s="11"/>
      <c r="AR176" s="5"/>
      <c r="AS176" s="12"/>
      <c r="AT176" s="12"/>
      <c r="AU176" s="12"/>
      <c r="AV176" s="12"/>
      <c r="AW176" s="12"/>
      <c r="AX176" s="12"/>
      <c r="AY176" s="12"/>
      <c r="AZ176" s="12"/>
      <c r="BA176" s="12"/>
      <c r="BB176" s="12"/>
      <c r="BC176" s="12"/>
      <c r="BD176" s="12"/>
      <c r="BE176" s="12"/>
      <c r="BF176" s="12"/>
      <c r="BG176" s="12"/>
      <c r="BH176" s="12"/>
      <c r="BI176" s="12"/>
      <c r="BJ176" s="12"/>
      <c r="BK176" s="12"/>
      <c r="BL176" s="12"/>
      <c r="BM176" s="12"/>
      <c r="BN176" s="12"/>
      <c r="BO176" s="12"/>
      <c r="BP176" s="12"/>
      <c r="BQ176" s="12"/>
      <c r="BR176" s="12"/>
      <c r="BS176" s="12"/>
      <c r="BT176" s="12"/>
      <c r="BU176" s="12"/>
      <c r="BV176" s="12"/>
      <c r="BW176" s="12"/>
      <c r="BX176" s="12"/>
      <c r="BY176" s="12"/>
      <c r="BZ176" s="12"/>
      <c r="CA176" s="12"/>
      <c r="CB176" s="12"/>
      <c r="CC176" s="12"/>
      <c r="CD176" s="12"/>
      <c r="CE176" s="12"/>
      <c r="CF176" s="12"/>
      <c r="CG176" s="12"/>
      <c r="CH176" s="12"/>
      <c r="CI176" s="12"/>
      <c r="CJ176" s="12"/>
      <c r="CK176" s="12"/>
      <c r="CL176" s="12"/>
      <c r="CM176" s="12"/>
      <c r="CN176" s="12"/>
      <c r="CO176" s="12"/>
      <c r="CP176" s="12"/>
      <c r="CQ176" s="12"/>
      <c r="CR176" s="12"/>
      <c r="CS176" s="12"/>
      <c r="CT176" s="12"/>
      <c r="CU176" s="12"/>
      <c r="CV176" s="12"/>
      <c r="CW176" s="12"/>
      <c r="CX176" s="12"/>
      <c r="CY176" s="12"/>
      <c r="CZ176" s="12"/>
      <c r="DA176" s="12"/>
      <c r="DB176" s="12"/>
      <c r="DC176" s="12"/>
      <c r="DD176" s="12"/>
      <c r="DE176" s="12"/>
      <c r="DF176" s="12"/>
      <c r="DG176" s="12"/>
      <c r="DH176" s="12"/>
      <c r="DI176" s="12"/>
      <c r="DJ176" s="12"/>
      <c r="DK176" s="12"/>
      <c r="DL176" s="12"/>
      <c r="DM176" s="12"/>
      <c r="DN176" s="12"/>
      <c r="DO176" s="12"/>
      <c r="DP176" s="12"/>
      <c r="DQ176" s="12"/>
      <c r="DR176" s="12"/>
      <c r="DS176" s="12"/>
      <c r="DT176" s="12"/>
      <c r="DU176" s="12"/>
      <c r="DV176" s="12"/>
      <c r="DW176" s="12"/>
      <c r="DX176" s="12"/>
      <c r="DY176" s="12"/>
      <c r="DZ176" s="12"/>
      <c r="EA176" s="12"/>
      <c r="EB176" s="12"/>
      <c r="EC176" s="12"/>
      <c r="ED176" s="12"/>
      <c r="EE176" s="12"/>
      <c r="EF176" s="12"/>
      <c r="EG176" s="12"/>
      <c r="EH176" s="12"/>
      <c r="EI176" s="12"/>
      <c r="EJ176" s="12"/>
      <c r="EK176" s="12"/>
      <c r="EL176" s="12"/>
      <c r="EM176" s="12"/>
      <c r="EN176" s="12"/>
      <c r="EO176" s="12"/>
      <c r="EP176" s="12"/>
      <c r="EQ176" s="12"/>
      <c r="ER176" s="12"/>
      <c r="ES176" s="12"/>
      <c r="ET176" s="12"/>
      <c r="EU176" s="12"/>
      <c r="EV176" s="12"/>
      <c r="EW176" s="12"/>
      <c r="EX176" s="12"/>
      <c r="EY176" s="12"/>
      <c r="EZ176" s="12"/>
      <c r="FA176" s="12"/>
      <c r="FB176" s="12"/>
      <c r="FC176" s="12"/>
      <c r="FD176" s="12"/>
      <c r="FE176" s="12"/>
      <c r="FF176" s="12"/>
      <c r="FG176" s="12"/>
      <c r="FH176" s="12"/>
      <c r="FI176" s="12"/>
      <c r="FJ176" s="12"/>
      <c r="FK176" s="12"/>
      <c r="FL176" s="12"/>
      <c r="FM176" s="12"/>
      <c r="FN176" s="12"/>
      <c r="FO176" s="12"/>
      <c r="FP176" s="12"/>
      <c r="FQ176" s="12"/>
      <c r="FR176" s="12"/>
      <c r="FS176" s="12"/>
      <c r="FT176" s="12"/>
      <c r="FU176" s="12"/>
      <c r="FV176" s="12"/>
      <c r="FW176" s="12"/>
      <c r="FX176" s="12"/>
      <c r="FY176" s="12"/>
      <c r="FZ176" s="12"/>
      <c r="GA176" s="12"/>
      <c r="GB176" s="12"/>
      <c r="GC176" s="12"/>
      <c r="GD176" s="12"/>
      <c r="GE176" s="12"/>
      <c r="GF176" s="12"/>
      <c r="GG176" s="12"/>
      <c r="GH176" s="12"/>
      <c r="GI176" s="12"/>
      <c r="GJ176" s="12"/>
      <c r="GK176" s="12"/>
      <c r="GL176" s="12"/>
      <c r="GM176" s="12"/>
      <c r="GN176" s="12"/>
      <c r="GO176" s="12"/>
      <c r="GP176" s="12"/>
      <c r="GQ176" s="12"/>
      <c r="GR176" s="12"/>
      <c r="GS176" s="12"/>
      <c r="GT176" s="12"/>
      <c r="GU176" s="12"/>
      <c r="GV176" s="12"/>
      <c r="GW176" s="12"/>
      <c r="GX176" s="12"/>
      <c r="GY176" s="12"/>
      <c r="GZ176" s="12"/>
      <c r="HA176" s="12"/>
      <c r="HB176" s="12"/>
      <c r="HC176" s="12"/>
      <c r="HD176" s="12"/>
      <c r="HE176" s="12"/>
      <c r="HF176" s="12"/>
      <c r="HG176" s="12"/>
      <c r="HH176" s="12"/>
      <c r="HI176" s="12"/>
      <c r="HJ176" s="12"/>
      <c r="HK176" s="12"/>
      <c r="HL176" s="12"/>
      <c r="HM176" s="12"/>
      <c r="HN176" s="12"/>
      <c r="HO176" s="12"/>
      <c r="HP176" s="12"/>
      <c r="HQ176" s="12"/>
      <c r="HR176" s="12"/>
      <c r="HS176" s="12"/>
      <c r="HT176" s="12"/>
      <c r="HU176" s="12"/>
      <c r="HV176" s="12"/>
      <c r="HW176" s="12"/>
      <c r="HX176" s="12"/>
      <c r="HY176" s="12"/>
      <c r="HZ176" s="12"/>
      <c r="IA176" s="12"/>
      <c r="IB176" s="12"/>
      <c r="IC176" s="12"/>
      <c r="ID176" s="12"/>
      <c r="IE176" s="12"/>
      <c r="IF176" s="12"/>
      <c r="IG176" s="12"/>
      <c r="IH176" s="12"/>
      <c r="II176" s="12"/>
      <c r="IJ176" s="12"/>
      <c r="IK176" s="12"/>
      <c r="IL176" s="12"/>
      <c r="IM176" s="12"/>
      <c r="IN176" s="12"/>
      <c r="IO176" s="12"/>
      <c r="IP176" s="12"/>
      <c r="IQ176" s="12"/>
      <c r="IR176" s="12"/>
      <c r="IS176" s="12"/>
      <c r="IT176" s="12"/>
      <c r="IU176" s="12"/>
      <c r="IV176" s="12"/>
      <c r="IW176" s="12"/>
    </row>
    <row r="177" customFormat="false" ht="11.25" hidden="false" customHeight="false" outlineLevel="0" collapsed="false">
      <c r="A177" s="25" t="n">
        <f aca="false">DATE(YEAR(A176),MONTH(A176)+1,1)</f>
        <v>51105</v>
      </c>
      <c r="B177" s="21" t="n">
        <v>2.748</v>
      </c>
      <c r="C177" s="21" t="n">
        <v>2.848</v>
      </c>
      <c r="D177" s="25" t="n">
        <f aca="false">DATE(YEAR(D176),MONTH(D176)+1,1)</f>
        <v>51105</v>
      </c>
      <c r="E177" s="21" t="n">
        <v>19.86</v>
      </c>
      <c r="F177" s="21" t="n">
        <v>21.041</v>
      </c>
      <c r="G177" s="6"/>
      <c r="H177" s="22" t="n">
        <f aca="false">A177</f>
        <v>51105</v>
      </c>
      <c r="I177" s="23" t="n">
        <f aca="false">IF($J$1="bid",B177,C177)</f>
        <v>2.848</v>
      </c>
      <c r="J177" s="24" t="n">
        <f aca="false">D177</f>
        <v>51105</v>
      </c>
      <c r="K177" s="23" t="n">
        <f aca="false">IF($J$1="bid",E177,F177)</f>
        <v>21.041</v>
      </c>
      <c r="L177" s="11"/>
      <c r="M177" s="11"/>
      <c r="N177" s="11"/>
      <c r="O177" s="11"/>
      <c r="P177" s="11"/>
      <c r="Q177" s="11"/>
      <c r="R177" s="11"/>
      <c r="S177" s="11"/>
      <c r="T177" s="11"/>
      <c r="U177" s="11"/>
      <c r="V177" s="11"/>
      <c r="W177" s="11"/>
      <c r="X177" s="11"/>
      <c r="Y177" s="11"/>
      <c r="Z177" s="11"/>
      <c r="AA177" s="11"/>
      <c r="AB177" s="11"/>
      <c r="AC177" s="11"/>
      <c r="AD177" s="11"/>
      <c r="AE177" s="11"/>
      <c r="AF177" s="11"/>
      <c r="AG177" s="11"/>
      <c r="AH177" s="11"/>
      <c r="AI177" s="11"/>
      <c r="AJ177" s="11"/>
      <c r="AK177" s="11"/>
      <c r="AL177" s="11"/>
      <c r="AM177" s="11"/>
      <c r="AN177" s="11"/>
      <c r="AO177" s="11"/>
      <c r="AP177" s="11"/>
      <c r="AQ177" s="11"/>
      <c r="AR177" s="5"/>
      <c r="AS177" s="12"/>
      <c r="AT177" s="12"/>
      <c r="AU177" s="12"/>
      <c r="AV177" s="12"/>
      <c r="AW177" s="12"/>
      <c r="AX177" s="12"/>
      <c r="AY177" s="12"/>
      <c r="AZ177" s="12"/>
      <c r="BA177" s="12"/>
      <c r="BB177" s="12"/>
      <c r="BC177" s="12"/>
      <c r="BD177" s="12"/>
      <c r="BE177" s="12"/>
      <c r="BF177" s="12"/>
      <c r="BG177" s="12"/>
      <c r="BH177" s="12"/>
      <c r="BI177" s="12"/>
      <c r="BJ177" s="12"/>
      <c r="BK177" s="12"/>
      <c r="BL177" s="12"/>
      <c r="BM177" s="12"/>
      <c r="BN177" s="12"/>
      <c r="BO177" s="12"/>
      <c r="BP177" s="12"/>
      <c r="BQ177" s="12"/>
      <c r="BR177" s="12"/>
      <c r="BS177" s="12"/>
      <c r="BT177" s="12"/>
      <c r="BU177" s="12"/>
      <c r="BV177" s="12"/>
      <c r="BW177" s="12"/>
      <c r="BX177" s="12"/>
      <c r="BY177" s="12"/>
      <c r="BZ177" s="12"/>
      <c r="CA177" s="12"/>
      <c r="CB177" s="12"/>
      <c r="CC177" s="12"/>
      <c r="CD177" s="12"/>
      <c r="CE177" s="12"/>
      <c r="CF177" s="12"/>
      <c r="CG177" s="12"/>
      <c r="CH177" s="12"/>
      <c r="CI177" s="12"/>
      <c r="CJ177" s="12"/>
      <c r="CK177" s="12"/>
      <c r="CL177" s="12"/>
      <c r="CM177" s="12"/>
      <c r="CN177" s="12"/>
      <c r="CO177" s="12"/>
      <c r="CP177" s="12"/>
      <c r="CQ177" s="12"/>
      <c r="CR177" s="12"/>
      <c r="CS177" s="12"/>
      <c r="CT177" s="12"/>
      <c r="CU177" s="12"/>
      <c r="CV177" s="12"/>
      <c r="CW177" s="12"/>
      <c r="CX177" s="12"/>
      <c r="CY177" s="12"/>
      <c r="CZ177" s="12"/>
      <c r="DA177" s="12"/>
      <c r="DB177" s="12"/>
      <c r="DC177" s="12"/>
      <c r="DD177" s="12"/>
      <c r="DE177" s="12"/>
      <c r="DF177" s="12"/>
      <c r="DG177" s="12"/>
      <c r="DH177" s="12"/>
      <c r="DI177" s="12"/>
      <c r="DJ177" s="12"/>
      <c r="DK177" s="12"/>
      <c r="DL177" s="12"/>
      <c r="DM177" s="12"/>
      <c r="DN177" s="12"/>
      <c r="DO177" s="12"/>
      <c r="DP177" s="12"/>
      <c r="DQ177" s="12"/>
      <c r="DR177" s="12"/>
      <c r="DS177" s="12"/>
      <c r="DT177" s="12"/>
      <c r="DU177" s="12"/>
      <c r="DV177" s="12"/>
      <c r="DW177" s="12"/>
      <c r="DX177" s="12"/>
      <c r="DY177" s="12"/>
      <c r="DZ177" s="12"/>
      <c r="EA177" s="12"/>
      <c r="EB177" s="12"/>
      <c r="EC177" s="12"/>
      <c r="ED177" s="12"/>
      <c r="EE177" s="12"/>
      <c r="EF177" s="12"/>
      <c r="EG177" s="12"/>
      <c r="EH177" s="12"/>
      <c r="EI177" s="12"/>
      <c r="EJ177" s="12"/>
      <c r="EK177" s="12"/>
      <c r="EL177" s="12"/>
      <c r="EM177" s="12"/>
      <c r="EN177" s="12"/>
      <c r="EO177" s="12"/>
      <c r="EP177" s="12"/>
      <c r="EQ177" s="12"/>
      <c r="ER177" s="12"/>
      <c r="ES177" s="12"/>
      <c r="ET177" s="12"/>
      <c r="EU177" s="12"/>
      <c r="EV177" s="12"/>
      <c r="EW177" s="12"/>
      <c r="EX177" s="12"/>
      <c r="EY177" s="12"/>
      <c r="EZ177" s="12"/>
      <c r="FA177" s="12"/>
      <c r="FB177" s="12"/>
      <c r="FC177" s="12"/>
      <c r="FD177" s="12"/>
      <c r="FE177" s="12"/>
      <c r="FF177" s="12"/>
      <c r="FG177" s="12"/>
      <c r="FH177" s="12"/>
      <c r="FI177" s="12"/>
      <c r="FJ177" s="12"/>
      <c r="FK177" s="12"/>
      <c r="FL177" s="12"/>
      <c r="FM177" s="12"/>
      <c r="FN177" s="12"/>
      <c r="FO177" s="12"/>
      <c r="FP177" s="12"/>
      <c r="FQ177" s="12"/>
      <c r="FR177" s="12"/>
      <c r="FS177" s="12"/>
      <c r="FT177" s="12"/>
      <c r="FU177" s="12"/>
      <c r="FV177" s="12"/>
      <c r="FW177" s="12"/>
      <c r="FX177" s="12"/>
      <c r="FY177" s="12"/>
      <c r="FZ177" s="12"/>
      <c r="GA177" s="12"/>
      <c r="GB177" s="12"/>
      <c r="GC177" s="12"/>
      <c r="GD177" s="12"/>
      <c r="GE177" s="12"/>
      <c r="GF177" s="12"/>
      <c r="GG177" s="12"/>
      <c r="GH177" s="12"/>
      <c r="GI177" s="12"/>
      <c r="GJ177" s="12"/>
      <c r="GK177" s="12"/>
      <c r="GL177" s="12"/>
      <c r="GM177" s="12"/>
      <c r="GN177" s="12"/>
      <c r="GO177" s="12"/>
      <c r="GP177" s="12"/>
      <c r="GQ177" s="12"/>
      <c r="GR177" s="12"/>
      <c r="GS177" s="12"/>
      <c r="GT177" s="12"/>
      <c r="GU177" s="12"/>
      <c r="GV177" s="12"/>
      <c r="GW177" s="12"/>
      <c r="GX177" s="12"/>
      <c r="GY177" s="12"/>
      <c r="GZ177" s="12"/>
      <c r="HA177" s="12"/>
      <c r="HB177" s="12"/>
      <c r="HC177" s="12"/>
      <c r="HD177" s="12"/>
      <c r="HE177" s="12"/>
      <c r="HF177" s="12"/>
      <c r="HG177" s="12"/>
      <c r="HH177" s="12"/>
      <c r="HI177" s="12"/>
      <c r="HJ177" s="12"/>
      <c r="HK177" s="12"/>
      <c r="HL177" s="12"/>
      <c r="HM177" s="12"/>
      <c r="HN177" s="12"/>
      <c r="HO177" s="12"/>
      <c r="HP177" s="12"/>
      <c r="HQ177" s="12"/>
      <c r="HR177" s="12"/>
      <c r="HS177" s="12"/>
      <c r="HT177" s="12"/>
      <c r="HU177" s="12"/>
      <c r="HV177" s="12"/>
      <c r="HW177" s="12"/>
      <c r="HX177" s="12"/>
      <c r="HY177" s="12"/>
      <c r="HZ177" s="12"/>
      <c r="IA177" s="12"/>
      <c r="IB177" s="12"/>
      <c r="IC177" s="12"/>
      <c r="ID177" s="12"/>
      <c r="IE177" s="12"/>
      <c r="IF177" s="12"/>
      <c r="IG177" s="12"/>
      <c r="IH177" s="12"/>
      <c r="II177" s="12"/>
      <c r="IJ177" s="12"/>
      <c r="IK177" s="12"/>
      <c r="IL177" s="12"/>
      <c r="IM177" s="12"/>
      <c r="IN177" s="12"/>
      <c r="IO177" s="12"/>
      <c r="IP177" s="12"/>
      <c r="IQ177" s="12"/>
      <c r="IR177" s="12"/>
      <c r="IS177" s="12"/>
      <c r="IT177" s="12"/>
      <c r="IU177" s="12"/>
      <c r="IV177" s="12"/>
      <c r="IW177" s="12"/>
    </row>
    <row r="178" customFormat="false" ht="11.25" hidden="false" customHeight="false" outlineLevel="0" collapsed="false">
      <c r="A178" s="25" t="n">
        <f aca="false">DATE(YEAR(A177),MONTH(A177)+1,1)</f>
        <v>51136</v>
      </c>
      <c r="B178" s="21" t="n">
        <v>2.682</v>
      </c>
      <c r="C178" s="21" t="n">
        <v>2.782</v>
      </c>
      <c r="D178" s="25" t="n">
        <f aca="false">DATE(YEAR(D177),MONTH(D177)+1,1)</f>
        <v>51136</v>
      </c>
      <c r="E178" s="21" t="n">
        <v>19.875</v>
      </c>
      <c r="F178" s="21" t="n">
        <v>21.062</v>
      </c>
      <c r="G178" s="6"/>
      <c r="H178" s="22" t="n">
        <f aca="false">A178</f>
        <v>51136</v>
      </c>
      <c r="I178" s="23" t="n">
        <f aca="false">IF($J$1="bid",B178,C178)</f>
        <v>2.782</v>
      </c>
      <c r="J178" s="24" t="n">
        <f aca="false">D178</f>
        <v>51136</v>
      </c>
      <c r="K178" s="23" t="n">
        <f aca="false">IF($J$1="bid",E178,F178)</f>
        <v>21.062</v>
      </c>
      <c r="L178" s="11"/>
      <c r="M178" s="11"/>
      <c r="N178" s="11"/>
      <c r="O178" s="11"/>
      <c r="P178" s="11"/>
      <c r="Q178" s="11"/>
      <c r="R178" s="11"/>
      <c r="S178" s="11"/>
      <c r="T178" s="11"/>
      <c r="U178" s="11"/>
      <c r="V178" s="11"/>
      <c r="W178" s="11"/>
      <c r="X178" s="11"/>
      <c r="Y178" s="11"/>
      <c r="Z178" s="11"/>
      <c r="AA178" s="11"/>
      <c r="AB178" s="11"/>
      <c r="AC178" s="11"/>
      <c r="AD178" s="11"/>
      <c r="AE178" s="11"/>
      <c r="AF178" s="11"/>
      <c r="AG178" s="11"/>
      <c r="AH178" s="11"/>
      <c r="AI178" s="11"/>
      <c r="AJ178" s="11"/>
      <c r="AK178" s="11"/>
      <c r="AL178" s="11"/>
      <c r="AM178" s="11"/>
      <c r="AN178" s="11"/>
      <c r="AO178" s="11"/>
      <c r="AP178" s="11"/>
      <c r="AQ178" s="11"/>
      <c r="AR178" s="5"/>
      <c r="AS178" s="12"/>
      <c r="AT178" s="12"/>
      <c r="AU178" s="12"/>
      <c r="AV178" s="12"/>
      <c r="AW178" s="12"/>
      <c r="AX178" s="12"/>
      <c r="AY178" s="12"/>
      <c r="AZ178" s="12"/>
      <c r="BA178" s="12"/>
      <c r="BB178" s="12"/>
      <c r="BC178" s="12"/>
      <c r="BD178" s="12"/>
      <c r="BE178" s="12"/>
      <c r="BF178" s="12"/>
      <c r="BG178" s="12"/>
      <c r="BH178" s="12"/>
      <c r="BI178" s="12"/>
      <c r="BJ178" s="12"/>
      <c r="BK178" s="12"/>
      <c r="BL178" s="12"/>
      <c r="BM178" s="12"/>
      <c r="BN178" s="12"/>
      <c r="BO178" s="12"/>
      <c r="BP178" s="12"/>
      <c r="BQ178" s="12"/>
      <c r="BR178" s="12"/>
      <c r="BS178" s="12"/>
      <c r="BT178" s="12"/>
      <c r="BU178" s="12"/>
      <c r="BV178" s="12"/>
      <c r="BW178" s="12"/>
      <c r="BX178" s="12"/>
      <c r="BY178" s="12"/>
      <c r="BZ178" s="12"/>
      <c r="CA178" s="12"/>
      <c r="CB178" s="12"/>
      <c r="CC178" s="12"/>
      <c r="CD178" s="12"/>
      <c r="CE178" s="12"/>
      <c r="CF178" s="12"/>
      <c r="CG178" s="12"/>
      <c r="CH178" s="12"/>
      <c r="CI178" s="12"/>
      <c r="CJ178" s="12"/>
      <c r="CK178" s="12"/>
      <c r="CL178" s="12"/>
      <c r="CM178" s="12"/>
      <c r="CN178" s="12"/>
      <c r="CO178" s="12"/>
      <c r="CP178" s="12"/>
      <c r="CQ178" s="12"/>
      <c r="CR178" s="12"/>
      <c r="CS178" s="12"/>
      <c r="CT178" s="12"/>
      <c r="CU178" s="12"/>
      <c r="CV178" s="12"/>
      <c r="CW178" s="12"/>
      <c r="CX178" s="12"/>
      <c r="CY178" s="12"/>
      <c r="CZ178" s="12"/>
      <c r="DA178" s="12"/>
      <c r="DB178" s="12"/>
      <c r="DC178" s="12"/>
      <c r="DD178" s="12"/>
      <c r="DE178" s="12"/>
      <c r="DF178" s="12"/>
      <c r="DG178" s="12"/>
      <c r="DH178" s="12"/>
      <c r="DI178" s="12"/>
      <c r="DJ178" s="12"/>
      <c r="DK178" s="12"/>
      <c r="DL178" s="12"/>
      <c r="DM178" s="12"/>
      <c r="DN178" s="12"/>
      <c r="DO178" s="12"/>
      <c r="DP178" s="12"/>
      <c r="DQ178" s="12"/>
      <c r="DR178" s="12"/>
      <c r="DS178" s="12"/>
      <c r="DT178" s="12"/>
      <c r="DU178" s="12"/>
      <c r="DV178" s="12"/>
      <c r="DW178" s="12"/>
      <c r="DX178" s="12"/>
      <c r="DY178" s="12"/>
      <c r="DZ178" s="12"/>
      <c r="EA178" s="12"/>
      <c r="EB178" s="12"/>
      <c r="EC178" s="12"/>
      <c r="ED178" s="12"/>
      <c r="EE178" s="12"/>
      <c r="EF178" s="12"/>
      <c r="EG178" s="12"/>
      <c r="EH178" s="12"/>
      <c r="EI178" s="12"/>
      <c r="EJ178" s="12"/>
      <c r="EK178" s="12"/>
      <c r="EL178" s="12"/>
      <c r="EM178" s="12"/>
      <c r="EN178" s="12"/>
      <c r="EO178" s="12"/>
      <c r="EP178" s="12"/>
      <c r="EQ178" s="12"/>
      <c r="ER178" s="12"/>
      <c r="ES178" s="12"/>
      <c r="ET178" s="12"/>
      <c r="EU178" s="12"/>
      <c r="EV178" s="12"/>
      <c r="EW178" s="12"/>
      <c r="EX178" s="12"/>
      <c r="EY178" s="12"/>
      <c r="EZ178" s="12"/>
      <c r="FA178" s="12"/>
      <c r="FB178" s="12"/>
      <c r="FC178" s="12"/>
      <c r="FD178" s="12"/>
      <c r="FE178" s="12"/>
      <c r="FF178" s="12"/>
      <c r="FG178" s="12"/>
      <c r="FH178" s="12"/>
      <c r="FI178" s="12"/>
      <c r="FJ178" s="12"/>
      <c r="FK178" s="12"/>
      <c r="FL178" s="12"/>
      <c r="FM178" s="12"/>
      <c r="FN178" s="12"/>
      <c r="FO178" s="12"/>
      <c r="FP178" s="12"/>
      <c r="FQ178" s="12"/>
      <c r="FR178" s="12"/>
      <c r="FS178" s="12"/>
      <c r="FT178" s="12"/>
      <c r="FU178" s="12"/>
      <c r="FV178" s="12"/>
      <c r="FW178" s="12"/>
      <c r="FX178" s="12"/>
      <c r="FY178" s="12"/>
      <c r="FZ178" s="12"/>
      <c r="GA178" s="12"/>
      <c r="GB178" s="12"/>
      <c r="GC178" s="12"/>
      <c r="GD178" s="12"/>
      <c r="GE178" s="12"/>
      <c r="GF178" s="12"/>
      <c r="GG178" s="12"/>
      <c r="GH178" s="12"/>
      <c r="GI178" s="12"/>
      <c r="GJ178" s="12"/>
      <c r="GK178" s="12"/>
      <c r="GL178" s="12"/>
      <c r="GM178" s="12"/>
      <c r="GN178" s="12"/>
      <c r="GO178" s="12"/>
      <c r="GP178" s="12"/>
      <c r="GQ178" s="12"/>
      <c r="GR178" s="12"/>
      <c r="GS178" s="12"/>
      <c r="GT178" s="12"/>
      <c r="GU178" s="12"/>
      <c r="GV178" s="12"/>
      <c r="GW178" s="12"/>
      <c r="GX178" s="12"/>
      <c r="GY178" s="12"/>
      <c r="GZ178" s="12"/>
      <c r="HA178" s="12"/>
      <c r="HB178" s="12"/>
      <c r="HC178" s="12"/>
      <c r="HD178" s="12"/>
      <c r="HE178" s="12"/>
      <c r="HF178" s="12"/>
      <c r="HG178" s="12"/>
      <c r="HH178" s="12"/>
      <c r="HI178" s="12"/>
      <c r="HJ178" s="12"/>
      <c r="HK178" s="12"/>
      <c r="HL178" s="12"/>
      <c r="HM178" s="12"/>
      <c r="HN178" s="12"/>
      <c r="HO178" s="12"/>
      <c r="HP178" s="12"/>
      <c r="HQ178" s="12"/>
      <c r="HR178" s="12"/>
      <c r="HS178" s="12"/>
      <c r="HT178" s="12"/>
      <c r="HU178" s="12"/>
      <c r="HV178" s="12"/>
      <c r="HW178" s="12"/>
      <c r="HX178" s="12"/>
      <c r="HY178" s="12"/>
      <c r="HZ178" s="12"/>
      <c r="IA178" s="12"/>
      <c r="IB178" s="12"/>
      <c r="IC178" s="12"/>
      <c r="ID178" s="12"/>
      <c r="IE178" s="12"/>
      <c r="IF178" s="12"/>
      <c r="IG178" s="12"/>
      <c r="IH178" s="12"/>
      <c r="II178" s="12"/>
      <c r="IJ178" s="12"/>
      <c r="IK178" s="12"/>
      <c r="IL178" s="12"/>
      <c r="IM178" s="12"/>
      <c r="IN178" s="12"/>
      <c r="IO178" s="12"/>
      <c r="IP178" s="12"/>
      <c r="IQ178" s="12"/>
      <c r="IR178" s="12"/>
      <c r="IS178" s="12"/>
      <c r="IT178" s="12"/>
      <c r="IU178" s="12"/>
      <c r="IV178" s="12"/>
      <c r="IW178" s="12"/>
    </row>
    <row r="179" customFormat="false" ht="11.25" hidden="false" customHeight="false" outlineLevel="0" collapsed="false">
      <c r="A179" s="25" t="n">
        <f aca="false">DATE(YEAR(A178),MONTH(A178)+1,1)</f>
        <v>51167</v>
      </c>
      <c r="B179" s="21" t="n">
        <v>2.633</v>
      </c>
      <c r="C179" s="21" t="n">
        <v>2.733</v>
      </c>
      <c r="D179" s="25" t="n">
        <f aca="false">DATE(YEAR(D178),MONTH(D178)+1,1)</f>
        <v>51167</v>
      </c>
      <c r="E179" s="21" t="n">
        <v>19.893</v>
      </c>
      <c r="F179" s="21" t="n">
        <v>21.09</v>
      </c>
      <c r="G179" s="6"/>
      <c r="H179" s="22" t="n">
        <f aca="false">A179</f>
        <v>51167</v>
      </c>
      <c r="I179" s="23" t="n">
        <f aca="false">IF($J$1="bid",B179,C179)</f>
        <v>2.733</v>
      </c>
      <c r="J179" s="24" t="n">
        <f aca="false">D179</f>
        <v>51167</v>
      </c>
      <c r="K179" s="23" t="n">
        <f aca="false">IF($J$1="bid",E179,F179)</f>
        <v>21.09</v>
      </c>
      <c r="L179" s="11"/>
      <c r="M179" s="11"/>
      <c r="N179" s="11"/>
      <c r="O179" s="11"/>
      <c r="P179" s="11"/>
      <c r="Q179" s="11"/>
      <c r="R179" s="11"/>
      <c r="S179" s="11"/>
      <c r="T179" s="11"/>
      <c r="U179" s="11"/>
      <c r="V179" s="11"/>
      <c r="W179" s="11"/>
      <c r="X179" s="11"/>
      <c r="Y179" s="11"/>
      <c r="Z179" s="11"/>
      <c r="AA179" s="11"/>
      <c r="AB179" s="11"/>
      <c r="AC179" s="11"/>
      <c r="AD179" s="11"/>
      <c r="AE179" s="11"/>
      <c r="AF179" s="11"/>
      <c r="AG179" s="11"/>
      <c r="AH179" s="11"/>
      <c r="AI179" s="11"/>
      <c r="AJ179" s="11"/>
      <c r="AK179" s="11"/>
      <c r="AL179" s="11"/>
      <c r="AM179" s="11"/>
      <c r="AN179" s="11"/>
      <c r="AO179" s="11"/>
      <c r="AP179" s="11"/>
      <c r="AQ179" s="11"/>
      <c r="AR179" s="5"/>
      <c r="AS179" s="12"/>
      <c r="AT179" s="12"/>
      <c r="AU179" s="12"/>
      <c r="AV179" s="12"/>
      <c r="AW179" s="12"/>
      <c r="AX179" s="12"/>
      <c r="AY179" s="12"/>
      <c r="AZ179" s="12"/>
      <c r="BA179" s="12"/>
      <c r="BB179" s="12"/>
      <c r="BC179" s="12"/>
      <c r="BD179" s="12"/>
      <c r="BE179" s="12"/>
      <c r="BF179" s="12"/>
      <c r="BG179" s="12"/>
      <c r="BH179" s="12"/>
      <c r="BI179" s="12"/>
      <c r="BJ179" s="12"/>
      <c r="BK179" s="12"/>
      <c r="BL179" s="12"/>
      <c r="BM179" s="12"/>
      <c r="BN179" s="12"/>
      <c r="BO179" s="12"/>
      <c r="BP179" s="12"/>
      <c r="BQ179" s="12"/>
      <c r="BR179" s="12"/>
      <c r="BS179" s="12"/>
      <c r="BT179" s="12"/>
      <c r="BU179" s="12"/>
      <c r="BV179" s="12"/>
      <c r="BW179" s="12"/>
      <c r="BX179" s="12"/>
      <c r="BY179" s="12"/>
      <c r="BZ179" s="12"/>
      <c r="CA179" s="12"/>
      <c r="CB179" s="12"/>
      <c r="CC179" s="12"/>
      <c r="CD179" s="12"/>
      <c r="CE179" s="12"/>
      <c r="CF179" s="12"/>
      <c r="CG179" s="12"/>
      <c r="CH179" s="12"/>
      <c r="CI179" s="12"/>
      <c r="CJ179" s="12"/>
      <c r="CK179" s="12"/>
      <c r="CL179" s="12"/>
      <c r="CM179" s="12"/>
      <c r="CN179" s="12"/>
      <c r="CO179" s="12"/>
      <c r="CP179" s="12"/>
      <c r="CQ179" s="12"/>
      <c r="CR179" s="12"/>
      <c r="CS179" s="12"/>
      <c r="CT179" s="12"/>
      <c r="CU179" s="12"/>
      <c r="CV179" s="12"/>
      <c r="CW179" s="12"/>
      <c r="CX179" s="12"/>
      <c r="CY179" s="12"/>
      <c r="CZ179" s="12"/>
      <c r="DA179" s="12"/>
      <c r="DB179" s="12"/>
      <c r="DC179" s="12"/>
      <c r="DD179" s="12"/>
      <c r="DE179" s="12"/>
      <c r="DF179" s="12"/>
      <c r="DG179" s="12"/>
      <c r="DH179" s="12"/>
      <c r="DI179" s="12"/>
      <c r="DJ179" s="12"/>
      <c r="DK179" s="12"/>
      <c r="DL179" s="12"/>
      <c r="DM179" s="12"/>
      <c r="DN179" s="12"/>
      <c r="DO179" s="12"/>
      <c r="DP179" s="12"/>
      <c r="DQ179" s="12"/>
      <c r="DR179" s="12"/>
      <c r="DS179" s="12"/>
      <c r="DT179" s="12"/>
      <c r="DU179" s="12"/>
      <c r="DV179" s="12"/>
      <c r="DW179" s="12"/>
      <c r="DX179" s="12"/>
      <c r="DY179" s="12"/>
      <c r="DZ179" s="12"/>
      <c r="EA179" s="12"/>
      <c r="EB179" s="12"/>
      <c r="EC179" s="12"/>
      <c r="ED179" s="12"/>
      <c r="EE179" s="12"/>
      <c r="EF179" s="12"/>
      <c r="EG179" s="12"/>
      <c r="EH179" s="12"/>
      <c r="EI179" s="12"/>
      <c r="EJ179" s="12"/>
      <c r="EK179" s="12"/>
      <c r="EL179" s="12"/>
      <c r="EM179" s="12"/>
      <c r="EN179" s="12"/>
      <c r="EO179" s="12"/>
      <c r="EP179" s="12"/>
      <c r="EQ179" s="12"/>
      <c r="ER179" s="12"/>
      <c r="ES179" s="12"/>
      <c r="ET179" s="12"/>
      <c r="EU179" s="12"/>
      <c r="EV179" s="12"/>
      <c r="EW179" s="12"/>
      <c r="EX179" s="12"/>
      <c r="EY179" s="12"/>
      <c r="EZ179" s="12"/>
      <c r="FA179" s="12"/>
      <c r="FB179" s="12"/>
      <c r="FC179" s="12"/>
      <c r="FD179" s="12"/>
      <c r="FE179" s="12"/>
      <c r="FF179" s="12"/>
      <c r="FG179" s="12"/>
      <c r="FH179" s="12"/>
      <c r="FI179" s="12"/>
      <c r="FJ179" s="12"/>
      <c r="FK179" s="12"/>
      <c r="FL179" s="12"/>
      <c r="FM179" s="12"/>
      <c r="FN179" s="12"/>
      <c r="FO179" s="12"/>
      <c r="FP179" s="12"/>
      <c r="FQ179" s="12"/>
      <c r="FR179" s="12"/>
      <c r="FS179" s="12"/>
      <c r="FT179" s="12"/>
      <c r="FU179" s="12"/>
      <c r="FV179" s="12"/>
      <c r="FW179" s="12"/>
      <c r="FX179" s="12"/>
      <c r="FY179" s="12"/>
      <c r="FZ179" s="12"/>
      <c r="GA179" s="12"/>
      <c r="GB179" s="12"/>
      <c r="GC179" s="12"/>
      <c r="GD179" s="12"/>
      <c r="GE179" s="12"/>
      <c r="GF179" s="12"/>
      <c r="GG179" s="12"/>
      <c r="GH179" s="12"/>
      <c r="GI179" s="12"/>
      <c r="GJ179" s="12"/>
      <c r="GK179" s="12"/>
      <c r="GL179" s="12"/>
      <c r="GM179" s="12"/>
      <c r="GN179" s="12"/>
      <c r="GO179" s="12"/>
      <c r="GP179" s="12"/>
      <c r="GQ179" s="12"/>
      <c r="GR179" s="12"/>
      <c r="GS179" s="12"/>
      <c r="GT179" s="12"/>
      <c r="GU179" s="12"/>
      <c r="GV179" s="12"/>
      <c r="GW179" s="12"/>
      <c r="GX179" s="12"/>
      <c r="GY179" s="12"/>
      <c r="GZ179" s="12"/>
      <c r="HA179" s="12"/>
      <c r="HB179" s="12"/>
      <c r="HC179" s="12"/>
      <c r="HD179" s="12"/>
      <c r="HE179" s="12"/>
      <c r="HF179" s="12"/>
      <c r="HG179" s="12"/>
      <c r="HH179" s="12"/>
      <c r="HI179" s="12"/>
      <c r="HJ179" s="12"/>
      <c r="HK179" s="12"/>
      <c r="HL179" s="12"/>
      <c r="HM179" s="12"/>
      <c r="HN179" s="12"/>
      <c r="HO179" s="12"/>
      <c r="HP179" s="12"/>
      <c r="HQ179" s="12"/>
      <c r="HR179" s="12"/>
      <c r="HS179" s="12"/>
      <c r="HT179" s="12"/>
      <c r="HU179" s="12"/>
      <c r="HV179" s="12"/>
      <c r="HW179" s="12"/>
      <c r="HX179" s="12"/>
      <c r="HY179" s="12"/>
      <c r="HZ179" s="12"/>
      <c r="IA179" s="12"/>
      <c r="IB179" s="12"/>
      <c r="IC179" s="12"/>
      <c r="ID179" s="12"/>
      <c r="IE179" s="12"/>
      <c r="IF179" s="12"/>
      <c r="IG179" s="12"/>
      <c r="IH179" s="12"/>
      <c r="II179" s="12"/>
      <c r="IJ179" s="12"/>
      <c r="IK179" s="12"/>
      <c r="IL179" s="12"/>
      <c r="IM179" s="12"/>
      <c r="IN179" s="12"/>
      <c r="IO179" s="12"/>
      <c r="IP179" s="12"/>
      <c r="IQ179" s="12"/>
      <c r="IR179" s="12"/>
      <c r="IS179" s="12"/>
      <c r="IT179" s="12"/>
      <c r="IU179" s="12"/>
      <c r="IV179" s="12"/>
      <c r="IW179" s="12"/>
    </row>
    <row r="180" customFormat="false" ht="11.25" hidden="false" customHeight="false" outlineLevel="0" collapsed="false">
      <c r="A180" s="25" t="n">
        <f aca="false">DATE(YEAR(A179),MONTH(A179)+1,1)</f>
        <v>51196</v>
      </c>
      <c r="B180" s="21" t="n">
        <v>2.62</v>
      </c>
      <c r="C180" s="21" t="n">
        <v>2.72</v>
      </c>
      <c r="D180" s="25" t="n">
        <f aca="false">DATE(YEAR(D179),MONTH(D179)+1,1)</f>
        <v>51196</v>
      </c>
      <c r="E180" s="21" t="n">
        <v>19.909</v>
      </c>
      <c r="F180" s="21" t="n">
        <v>21.113</v>
      </c>
      <c r="G180" s="6"/>
      <c r="H180" s="22" t="n">
        <f aca="false">A180</f>
        <v>51196</v>
      </c>
      <c r="I180" s="23" t="n">
        <f aca="false">IF($J$1="bid",B180,C180)</f>
        <v>2.72</v>
      </c>
      <c r="J180" s="24" t="n">
        <f aca="false">D180</f>
        <v>51196</v>
      </c>
      <c r="K180" s="23" t="n">
        <f aca="false">IF($J$1="bid",E180,F180)</f>
        <v>21.113</v>
      </c>
      <c r="L180" s="11"/>
      <c r="M180" s="11"/>
      <c r="N180" s="11"/>
      <c r="O180" s="11"/>
      <c r="P180" s="11"/>
      <c r="Q180" s="11"/>
      <c r="R180" s="11"/>
      <c r="S180" s="11"/>
      <c r="T180" s="11"/>
      <c r="U180" s="11"/>
      <c r="V180" s="11"/>
      <c r="W180" s="11"/>
      <c r="X180" s="11"/>
      <c r="Y180" s="11"/>
      <c r="Z180" s="11"/>
      <c r="AA180" s="11"/>
      <c r="AB180" s="11"/>
      <c r="AC180" s="11"/>
      <c r="AD180" s="11"/>
      <c r="AE180" s="11"/>
      <c r="AF180" s="11"/>
      <c r="AG180" s="11"/>
      <c r="AH180" s="11"/>
      <c r="AI180" s="11"/>
      <c r="AJ180" s="11"/>
      <c r="AK180" s="11"/>
      <c r="AL180" s="11"/>
      <c r="AM180" s="11"/>
      <c r="AN180" s="11"/>
      <c r="AO180" s="11"/>
      <c r="AP180" s="11"/>
      <c r="AQ180" s="11"/>
      <c r="AR180" s="5"/>
      <c r="AS180" s="12"/>
      <c r="AT180" s="12"/>
      <c r="AU180" s="12"/>
      <c r="AV180" s="12"/>
      <c r="AW180" s="12"/>
      <c r="AX180" s="12"/>
      <c r="AY180" s="12"/>
      <c r="AZ180" s="12"/>
      <c r="BA180" s="12"/>
      <c r="BB180" s="12"/>
      <c r="BC180" s="12"/>
      <c r="BD180" s="12"/>
      <c r="BE180" s="12"/>
      <c r="BF180" s="12"/>
      <c r="BG180" s="12"/>
      <c r="BH180" s="12"/>
      <c r="BI180" s="12"/>
      <c r="BJ180" s="12"/>
      <c r="BK180" s="12"/>
      <c r="BL180" s="12"/>
      <c r="BM180" s="12"/>
      <c r="BN180" s="12"/>
      <c r="BO180" s="12"/>
      <c r="BP180" s="12"/>
      <c r="BQ180" s="12"/>
      <c r="BR180" s="12"/>
      <c r="BS180" s="12"/>
      <c r="BT180" s="12"/>
      <c r="BU180" s="12"/>
      <c r="BV180" s="12"/>
      <c r="BW180" s="12"/>
      <c r="BX180" s="12"/>
      <c r="BY180" s="12"/>
      <c r="BZ180" s="12"/>
      <c r="CA180" s="12"/>
      <c r="CB180" s="12"/>
      <c r="CC180" s="12"/>
      <c r="CD180" s="12"/>
      <c r="CE180" s="12"/>
      <c r="CF180" s="12"/>
      <c r="CG180" s="12"/>
      <c r="CH180" s="12"/>
      <c r="CI180" s="12"/>
      <c r="CJ180" s="12"/>
      <c r="CK180" s="12"/>
      <c r="CL180" s="12"/>
      <c r="CM180" s="12"/>
      <c r="CN180" s="12"/>
      <c r="CO180" s="12"/>
      <c r="CP180" s="12"/>
      <c r="CQ180" s="12"/>
      <c r="CR180" s="12"/>
      <c r="CS180" s="12"/>
      <c r="CT180" s="12"/>
      <c r="CU180" s="12"/>
      <c r="CV180" s="12"/>
      <c r="CW180" s="12"/>
      <c r="CX180" s="12"/>
      <c r="CY180" s="12"/>
      <c r="CZ180" s="12"/>
      <c r="DA180" s="12"/>
      <c r="DB180" s="12"/>
      <c r="DC180" s="12"/>
      <c r="DD180" s="12"/>
      <c r="DE180" s="12"/>
      <c r="DF180" s="12"/>
      <c r="DG180" s="12"/>
      <c r="DH180" s="12"/>
      <c r="DI180" s="12"/>
      <c r="DJ180" s="12"/>
      <c r="DK180" s="12"/>
      <c r="DL180" s="12"/>
      <c r="DM180" s="12"/>
      <c r="DN180" s="12"/>
      <c r="DO180" s="12"/>
      <c r="DP180" s="12"/>
      <c r="DQ180" s="12"/>
      <c r="DR180" s="12"/>
      <c r="DS180" s="12"/>
      <c r="DT180" s="12"/>
      <c r="DU180" s="12"/>
      <c r="DV180" s="12"/>
      <c r="DW180" s="12"/>
      <c r="DX180" s="12"/>
      <c r="DY180" s="12"/>
      <c r="DZ180" s="12"/>
      <c r="EA180" s="12"/>
      <c r="EB180" s="12"/>
      <c r="EC180" s="12"/>
      <c r="ED180" s="12"/>
      <c r="EE180" s="12"/>
      <c r="EF180" s="12"/>
      <c r="EG180" s="12"/>
      <c r="EH180" s="12"/>
      <c r="EI180" s="12"/>
      <c r="EJ180" s="12"/>
      <c r="EK180" s="12"/>
      <c r="EL180" s="12"/>
      <c r="EM180" s="12"/>
      <c r="EN180" s="12"/>
      <c r="EO180" s="12"/>
      <c r="EP180" s="12"/>
      <c r="EQ180" s="12"/>
      <c r="ER180" s="12"/>
      <c r="ES180" s="12"/>
      <c r="ET180" s="12"/>
      <c r="EU180" s="12"/>
      <c r="EV180" s="12"/>
      <c r="EW180" s="12"/>
      <c r="EX180" s="12"/>
      <c r="EY180" s="12"/>
      <c r="EZ180" s="12"/>
      <c r="FA180" s="12"/>
      <c r="FB180" s="12"/>
      <c r="FC180" s="12"/>
      <c r="FD180" s="12"/>
      <c r="FE180" s="12"/>
      <c r="FF180" s="12"/>
      <c r="FG180" s="12"/>
      <c r="FH180" s="12"/>
      <c r="FI180" s="12"/>
      <c r="FJ180" s="12"/>
      <c r="FK180" s="12"/>
      <c r="FL180" s="12"/>
      <c r="FM180" s="12"/>
      <c r="FN180" s="12"/>
      <c r="FO180" s="12"/>
      <c r="FP180" s="12"/>
      <c r="FQ180" s="12"/>
      <c r="FR180" s="12"/>
      <c r="FS180" s="12"/>
      <c r="FT180" s="12"/>
      <c r="FU180" s="12"/>
      <c r="FV180" s="12"/>
      <c r="FW180" s="12"/>
      <c r="FX180" s="12"/>
      <c r="FY180" s="12"/>
      <c r="FZ180" s="12"/>
      <c r="GA180" s="12"/>
      <c r="GB180" s="12"/>
      <c r="GC180" s="12"/>
      <c r="GD180" s="12"/>
      <c r="GE180" s="12"/>
      <c r="GF180" s="12"/>
      <c r="GG180" s="12"/>
      <c r="GH180" s="12"/>
      <c r="GI180" s="12"/>
      <c r="GJ180" s="12"/>
      <c r="GK180" s="12"/>
      <c r="GL180" s="12"/>
      <c r="GM180" s="12"/>
      <c r="GN180" s="12"/>
      <c r="GO180" s="12"/>
      <c r="GP180" s="12"/>
      <c r="GQ180" s="12"/>
      <c r="GR180" s="12"/>
      <c r="GS180" s="12"/>
      <c r="GT180" s="12"/>
      <c r="GU180" s="12"/>
      <c r="GV180" s="12"/>
      <c r="GW180" s="12"/>
      <c r="GX180" s="12"/>
      <c r="GY180" s="12"/>
      <c r="GZ180" s="12"/>
      <c r="HA180" s="12"/>
      <c r="HB180" s="12"/>
      <c r="HC180" s="12"/>
      <c r="HD180" s="12"/>
      <c r="HE180" s="12"/>
      <c r="HF180" s="12"/>
      <c r="HG180" s="12"/>
      <c r="HH180" s="12"/>
      <c r="HI180" s="12"/>
      <c r="HJ180" s="12"/>
      <c r="HK180" s="12"/>
      <c r="HL180" s="12"/>
      <c r="HM180" s="12"/>
      <c r="HN180" s="12"/>
      <c r="HO180" s="12"/>
      <c r="HP180" s="12"/>
      <c r="HQ180" s="12"/>
      <c r="HR180" s="12"/>
      <c r="HS180" s="12"/>
      <c r="HT180" s="12"/>
      <c r="HU180" s="12"/>
      <c r="HV180" s="12"/>
      <c r="HW180" s="12"/>
      <c r="HX180" s="12"/>
      <c r="HY180" s="12"/>
      <c r="HZ180" s="12"/>
      <c r="IA180" s="12"/>
      <c r="IB180" s="12"/>
      <c r="IC180" s="12"/>
      <c r="ID180" s="12"/>
      <c r="IE180" s="12"/>
      <c r="IF180" s="12"/>
      <c r="IG180" s="12"/>
      <c r="IH180" s="12"/>
      <c r="II180" s="12"/>
      <c r="IJ180" s="12"/>
      <c r="IK180" s="12"/>
      <c r="IL180" s="12"/>
      <c r="IM180" s="12"/>
      <c r="IN180" s="12"/>
      <c r="IO180" s="12"/>
      <c r="IP180" s="12"/>
      <c r="IQ180" s="12"/>
      <c r="IR180" s="12"/>
      <c r="IS180" s="12"/>
      <c r="IT180" s="12"/>
      <c r="IU180" s="12"/>
      <c r="IV180" s="12"/>
      <c r="IW180" s="12"/>
    </row>
    <row r="181" customFormat="false" ht="11.25" hidden="false" customHeight="false" outlineLevel="0" collapsed="false">
      <c r="A181" s="25" t="n">
        <f aca="false">DATE(YEAR(A180),MONTH(A180)+1,1)</f>
        <v>51227</v>
      </c>
      <c r="B181" s="21" t="n">
        <v>2.628</v>
      </c>
      <c r="C181" s="21" t="n">
        <v>2.728</v>
      </c>
      <c r="D181" s="25" t="n">
        <f aca="false">DATE(YEAR(D180),MONTH(D180)+1,1)</f>
        <v>51227</v>
      </c>
      <c r="E181" s="21" t="n">
        <v>19.925</v>
      </c>
      <c r="F181" s="21" t="n">
        <v>21.138</v>
      </c>
      <c r="G181" s="6"/>
      <c r="H181" s="22" t="n">
        <f aca="false">A181</f>
        <v>51227</v>
      </c>
      <c r="I181" s="23" t="n">
        <f aca="false">IF($J$1="bid",B181,C181)</f>
        <v>2.728</v>
      </c>
      <c r="J181" s="24" t="n">
        <f aca="false">D181</f>
        <v>51227</v>
      </c>
      <c r="K181" s="23" t="n">
        <f aca="false">IF($J$1="bid",E181,F181)</f>
        <v>21.138</v>
      </c>
      <c r="L181" s="11"/>
      <c r="M181" s="11"/>
      <c r="N181" s="11"/>
      <c r="O181" s="11"/>
      <c r="P181" s="11"/>
      <c r="Q181" s="11"/>
      <c r="R181" s="11"/>
      <c r="S181" s="11"/>
      <c r="T181" s="11"/>
      <c r="U181" s="11"/>
      <c r="V181" s="11"/>
      <c r="W181" s="11"/>
      <c r="X181" s="11"/>
      <c r="Y181" s="11"/>
      <c r="Z181" s="11"/>
      <c r="AA181" s="11"/>
      <c r="AB181" s="11"/>
      <c r="AC181" s="11"/>
      <c r="AD181" s="11"/>
      <c r="AE181" s="11"/>
      <c r="AF181" s="11"/>
      <c r="AG181" s="11"/>
      <c r="AH181" s="11"/>
      <c r="AI181" s="11"/>
      <c r="AJ181" s="11"/>
      <c r="AK181" s="11"/>
      <c r="AL181" s="11"/>
      <c r="AM181" s="11"/>
      <c r="AN181" s="11"/>
      <c r="AO181" s="11"/>
      <c r="AP181" s="11"/>
      <c r="AQ181" s="11"/>
      <c r="AR181" s="5"/>
      <c r="AS181" s="12"/>
      <c r="AT181" s="12"/>
      <c r="AU181" s="12"/>
      <c r="AV181" s="12"/>
      <c r="AW181" s="12"/>
      <c r="AX181" s="12"/>
      <c r="AY181" s="12"/>
      <c r="AZ181" s="12"/>
      <c r="BA181" s="12"/>
      <c r="BB181" s="12"/>
      <c r="BC181" s="12"/>
      <c r="BD181" s="12"/>
      <c r="BE181" s="12"/>
      <c r="BF181" s="12"/>
      <c r="BG181" s="12"/>
      <c r="BH181" s="12"/>
      <c r="BI181" s="12"/>
      <c r="BJ181" s="12"/>
      <c r="BK181" s="12"/>
      <c r="BL181" s="12"/>
      <c r="BM181" s="12"/>
      <c r="BN181" s="12"/>
      <c r="BO181" s="12"/>
      <c r="BP181" s="12"/>
      <c r="BQ181" s="12"/>
      <c r="BR181" s="12"/>
      <c r="BS181" s="12"/>
      <c r="BT181" s="12"/>
      <c r="BU181" s="12"/>
      <c r="BV181" s="12"/>
      <c r="BW181" s="12"/>
      <c r="BX181" s="12"/>
      <c r="BY181" s="12"/>
      <c r="BZ181" s="12"/>
      <c r="CA181" s="12"/>
      <c r="CB181" s="12"/>
      <c r="CC181" s="12"/>
      <c r="CD181" s="12"/>
      <c r="CE181" s="12"/>
      <c r="CF181" s="12"/>
      <c r="CG181" s="12"/>
      <c r="CH181" s="12"/>
      <c r="CI181" s="12"/>
      <c r="CJ181" s="12"/>
      <c r="CK181" s="12"/>
      <c r="CL181" s="12"/>
      <c r="CM181" s="12"/>
      <c r="CN181" s="12"/>
      <c r="CO181" s="12"/>
      <c r="CP181" s="12"/>
      <c r="CQ181" s="12"/>
      <c r="CR181" s="12"/>
      <c r="CS181" s="12"/>
      <c r="CT181" s="12"/>
      <c r="CU181" s="12"/>
      <c r="CV181" s="12"/>
      <c r="CW181" s="12"/>
      <c r="CX181" s="12"/>
      <c r="CY181" s="12"/>
      <c r="CZ181" s="12"/>
      <c r="DA181" s="12"/>
      <c r="DB181" s="12"/>
      <c r="DC181" s="12"/>
      <c r="DD181" s="12"/>
      <c r="DE181" s="12"/>
      <c r="DF181" s="12"/>
      <c r="DG181" s="12"/>
      <c r="DH181" s="12"/>
      <c r="DI181" s="12"/>
      <c r="DJ181" s="12"/>
      <c r="DK181" s="12"/>
      <c r="DL181" s="12"/>
      <c r="DM181" s="12"/>
      <c r="DN181" s="12"/>
      <c r="DO181" s="12"/>
      <c r="DP181" s="12"/>
      <c r="DQ181" s="12"/>
      <c r="DR181" s="12"/>
      <c r="DS181" s="12"/>
      <c r="DT181" s="12"/>
      <c r="DU181" s="12"/>
      <c r="DV181" s="12"/>
      <c r="DW181" s="12"/>
      <c r="DX181" s="12"/>
      <c r="DY181" s="12"/>
      <c r="DZ181" s="12"/>
      <c r="EA181" s="12"/>
      <c r="EB181" s="12"/>
      <c r="EC181" s="12"/>
      <c r="ED181" s="12"/>
      <c r="EE181" s="12"/>
      <c r="EF181" s="12"/>
      <c r="EG181" s="12"/>
      <c r="EH181" s="12"/>
      <c r="EI181" s="12"/>
      <c r="EJ181" s="12"/>
      <c r="EK181" s="12"/>
      <c r="EL181" s="12"/>
      <c r="EM181" s="12"/>
      <c r="EN181" s="12"/>
      <c r="EO181" s="12"/>
      <c r="EP181" s="12"/>
      <c r="EQ181" s="12"/>
      <c r="ER181" s="12"/>
      <c r="ES181" s="12"/>
      <c r="ET181" s="12"/>
      <c r="EU181" s="12"/>
      <c r="EV181" s="12"/>
      <c r="EW181" s="12"/>
      <c r="EX181" s="12"/>
      <c r="EY181" s="12"/>
      <c r="EZ181" s="12"/>
      <c r="FA181" s="12"/>
      <c r="FB181" s="12"/>
      <c r="FC181" s="12"/>
      <c r="FD181" s="12"/>
      <c r="FE181" s="12"/>
      <c r="FF181" s="12"/>
      <c r="FG181" s="12"/>
      <c r="FH181" s="12"/>
      <c r="FI181" s="12"/>
      <c r="FJ181" s="12"/>
      <c r="FK181" s="12"/>
      <c r="FL181" s="12"/>
      <c r="FM181" s="12"/>
      <c r="FN181" s="12"/>
      <c r="FO181" s="12"/>
      <c r="FP181" s="12"/>
      <c r="FQ181" s="12"/>
      <c r="FR181" s="12"/>
      <c r="FS181" s="12"/>
      <c r="FT181" s="12"/>
      <c r="FU181" s="12"/>
      <c r="FV181" s="12"/>
      <c r="FW181" s="12"/>
      <c r="FX181" s="12"/>
      <c r="FY181" s="12"/>
      <c r="FZ181" s="12"/>
      <c r="GA181" s="12"/>
      <c r="GB181" s="12"/>
      <c r="GC181" s="12"/>
      <c r="GD181" s="12"/>
      <c r="GE181" s="12"/>
      <c r="GF181" s="12"/>
      <c r="GG181" s="12"/>
      <c r="GH181" s="12"/>
      <c r="GI181" s="12"/>
      <c r="GJ181" s="12"/>
      <c r="GK181" s="12"/>
      <c r="GL181" s="12"/>
      <c r="GM181" s="12"/>
      <c r="GN181" s="12"/>
      <c r="GO181" s="12"/>
      <c r="GP181" s="12"/>
      <c r="GQ181" s="12"/>
      <c r="GR181" s="12"/>
      <c r="GS181" s="12"/>
      <c r="GT181" s="12"/>
      <c r="GU181" s="12"/>
      <c r="GV181" s="12"/>
      <c r="GW181" s="12"/>
      <c r="GX181" s="12"/>
      <c r="GY181" s="12"/>
      <c r="GZ181" s="12"/>
      <c r="HA181" s="12"/>
      <c r="HB181" s="12"/>
      <c r="HC181" s="12"/>
      <c r="HD181" s="12"/>
      <c r="HE181" s="12"/>
      <c r="HF181" s="12"/>
      <c r="HG181" s="12"/>
      <c r="HH181" s="12"/>
      <c r="HI181" s="12"/>
      <c r="HJ181" s="12"/>
      <c r="HK181" s="12"/>
      <c r="HL181" s="12"/>
      <c r="HM181" s="12"/>
      <c r="HN181" s="12"/>
      <c r="HO181" s="12"/>
      <c r="HP181" s="12"/>
      <c r="HQ181" s="12"/>
      <c r="HR181" s="12"/>
      <c r="HS181" s="12"/>
      <c r="HT181" s="12"/>
      <c r="HU181" s="12"/>
      <c r="HV181" s="12"/>
      <c r="HW181" s="12"/>
      <c r="HX181" s="12"/>
      <c r="HY181" s="12"/>
      <c r="HZ181" s="12"/>
      <c r="IA181" s="12"/>
      <c r="IB181" s="12"/>
      <c r="IC181" s="12"/>
      <c r="ID181" s="12"/>
      <c r="IE181" s="12"/>
      <c r="IF181" s="12"/>
      <c r="IG181" s="12"/>
      <c r="IH181" s="12"/>
      <c r="II181" s="12"/>
      <c r="IJ181" s="12"/>
      <c r="IK181" s="12"/>
      <c r="IL181" s="12"/>
      <c r="IM181" s="12"/>
      <c r="IN181" s="12"/>
      <c r="IO181" s="12"/>
      <c r="IP181" s="12"/>
      <c r="IQ181" s="12"/>
      <c r="IR181" s="12"/>
      <c r="IS181" s="12"/>
      <c r="IT181" s="12"/>
      <c r="IU181" s="12"/>
      <c r="IV181" s="12"/>
      <c r="IW181" s="12"/>
    </row>
    <row r="182" customFormat="false" ht="11.25" hidden="false" customHeight="false" outlineLevel="0" collapsed="false">
      <c r="A182" s="25" t="n">
        <f aca="false">DATE(YEAR(A181),MONTH(A181)+1,1)</f>
        <v>51257</v>
      </c>
      <c r="B182" s="21" t="n">
        <v>2.62</v>
      </c>
      <c r="C182" s="21" t="n">
        <v>2.72</v>
      </c>
      <c r="D182" s="25" t="n">
        <f aca="false">DATE(YEAR(D181),MONTH(D181)+1,1)</f>
        <v>51257</v>
      </c>
      <c r="E182" s="21" t="n">
        <v>19.943</v>
      </c>
      <c r="F182" s="21" t="n">
        <v>21.164</v>
      </c>
      <c r="G182" s="6"/>
      <c r="H182" s="22" t="n">
        <f aca="false">A182</f>
        <v>51257</v>
      </c>
      <c r="I182" s="23" t="n">
        <f aca="false">IF($J$1="bid",B182,C182)</f>
        <v>2.72</v>
      </c>
      <c r="J182" s="24" t="n">
        <f aca="false">D182</f>
        <v>51257</v>
      </c>
      <c r="K182" s="23" t="n">
        <f aca="false">IF($J$1="bid",E182,F182)</f>
        <v>21.164</v>
      </c>
      <c r="L182" s="11"/>
      <c r="M182" s="11"/>
      <c r="N182" s="11"/>
      <c r="O182" s="11"/>
      <c r="P182" s="11"/>
      <c r="Q182" s="11"/>
      <c r="R182" s="11"/>
      <c r="S182" s="11"/>
      <c r="T182" s="11"/>
      <c r="U182" s="11"/>
      <c r="V182" s="11"/>
      <c r="W182" s="11"/>
      <c r="X182" s="11"/>
      <c r="Y182" s="11"/>
      <c r="Z182" s="11"/>
      <c r="AA182" s="11"/>
      <c r="AB182" s="11"/>
      <c r="AC182" s="11"/>
      <c r="AD182" s="11"/>
      <c r="AE182" s="11"/>
      <c r="AF182" s="11"/>
      <c r="AG182" s="11"/>
      <c r="AH182" s="11"/>
      <c r="AI182" s="11"/>
      <c r="AJ182" s="11"/>
      <c r="AK182" s="11"/>
      <c r="AL182" s="11"/>
      <c r="AM182" s="11"/>
      <c r="AN182" s="11"/>
      <c r="AO182" s="11"/>
      <c r="AP182" s="11"/>
      <c r="AQ182" s="11"/>
      <c r="AR182" s="5"/>
      <c r="AS182" s="12"/>
      <c r="AT182" s="12"/>
      <c r="AU182" s="12"/>
      <c r="AV182" s="12"/>
      <c r="AW182" s="12"/>
      <c r="AX182" s="12"/>
      <c r="AY182" s="12"/>
      <c r="AZ182" s="12"/>
      <c r="BA182" s="12"/>
      <c r="BB182" s="12"/>
      <c r="BC182" s="12"/>
      <c r="BD182" s="12"/>
      <c r="BE182" s="12"/>
      <c r="BF182" s="12"/>
      <c r="BG182" s="12"/>
      <c r="BH182" s="12"/>
      <c r="BI182" s="12"/>
      <c r="BJ182" s="12"/>
      <c r="BK182" s="12"/>
      <c r="BL182" s="12"/>
      <c r="BM182" s="12"/>
      <c r="BN182" s="12"/>
      <c r="BO182" s="12"/>
      <c r="BP182" s="12"/>
      <c r="BQ182" s="12"/>
      <c r="BR182" s="12"/>
      <c r="BS182" s="12"/>
      <c r="BT182" s="12"/>
      <c r="BU182" s="12"/>
      <c r="BV182" s="12"/>
      <c r="BW182" s="12"/>
      <c r="BX182" s="12"/>
      <c r="BY182" s="12"/>
      <c r="BZ182" s="12"/>
      <c r="CA182" s="12"/>
      <c r="CB182" s="12"/>
      <c r="CC182" s="12"/>
      <c r="CD182" s="12"/>
      <c r="CE182" s="12"/>
      <c r="CF182" s="12"/>
      <c r="CG182" s="12"/>
      <c r="CH182" s="12"/>
      <c r="CI182" s="12"/>
      <c r="CJ182" s="12"/>
      <c r="CK182" s="12"/>
      <c r="CL182" s="12"/>
      <c r="CM182" s="12"/>
      <c r="CN182" s="12"/>
      <c r="CO182" s="12"/>
      <c r="CP182" s="12"/>
      <c r="CQ182" s="12"/>
      <c r="CR182" s="12"/>
      <c r="CS182" s="12"/>
      <c r="CT182" s="12"/>
      <c r="CU182" s="12"/>
      <c r="CV182" s="12"/>
      <c r="CW182" s="12"/>
      <c r="CX182" s="12"/>
      <c r="CY182" s="12"/>
      <c r="CZ182" s="12"/>
      <c r="DA182" s="12"/>
      <c r="DB182" s="12"/>
      <c r="DC182" s="12"/>
      <c r="DD182" s="12"/>
      <c r="DE182" s="12"/>
      <c r="DF182" s="12"/>
      <c r="DG182" s="12"/>
      <c r="DH182" s="12"/>
      <c r="DI182" s="12"/>
      <c r="DJ182" s="12"/>
      <c r="DK182" s="12"/>
      <c r="DL182" s="12"/>
      <c r="DM182" s="12"/>
      <c r="DN182" s="12"/>
      <c r="DO182" s="12"/>
      <c r="DP182" s="12"/>
      <c r="DQ182" s="12"/>
      <c r="DR182" s="12"/>
      <c r="DS182" s="12"/>
      <c r="DT182" s="12"/>
      <c r="DU182" s="12"/>
      <c r="DV182" s="12"/>
      <c r="DW182" s="12"/>
      <c r="DX182" s="12"/>
      <c r="DY182" s="12"/>
      <c r="DZ182" s="12"/>
      <c r="EA182" s="12"/>
      <c r="EB182" s="12"/>
      <c r="EC182" s="12"/>
      <c r="ED182" s="12"/>
      <c r="EE182" s="12"/>
      <c r="EF182" s="12"/>
      <c r="EG182" s="12"/>
      <c r="EH182" s="12"/>
      <c r="EI182" s="12"/>
      <c r="EJ182" s="12"/>
      <c r="EK182" s="12"/>
      <c r="EL182" s="12"/>
      <c r="EM182" s="12"/>
      <c r="EN182" s="12"/>
      <c r="EO182" s="12"/>
      <c r="EP182" s="12"/>
      <c r="EQ182" s="12"/>
      <c r="ER182" s="12"/>
      <c r="ES182" s="12"/>
      <c r="ET182" s="12"/>
      <c r="EU182" s="12"/>
      <c r="EV182" s="12"/>
      <c r="EW182" s="12"/>
      <c r="EX182" s="12"/>
      <c r="EY182" s="12"/>
      <c r="EZ182" s="12"/>
      <c r="FA182" s="12"/>
      <c r="FB182" s="12"/>
      <c r="FC182" s="12"/>
      <c r="FD182" s="12"/>
      <c r="FE182" s="12"/>
      <c r="FF182" s="12"/>
      <c r="FG182" s="12"/>
      <c r="FH182" s="12"/>
      <c r="FI182" s="12"/>
      <c r="FJ182" s="12"/>
      <c r="FK182" s="12"/>
      <c r="FL182" s="12"/>
      <c r="FM182" s="12"/>
      <c r="FN182" s="12"/>
      <c r="FO182" s="12"/>
      <c r="FP182" s="12"/>
      <c r="FQ182" s="12"/>
      <c r="FR182" s="12"/>
      <c r="FS182" s="12"/>
      <c r="FT182" s="12"/>
      <c r="FU182" s="12"/>
      <c r="FV182" s="12"/>
      <c r="FW182" s="12"/>
      <c r="FX182" s="12"/>
      <c r="FY182" s="12"/>
      <c r="FZ182" s="12"/>
      <c r="GA182" s="12"/>
      <c r="GB182" s="12"/>
      <c r="GC182" s="12"/>
      <c r="GD182" s="12"/>
      <c r="GE182" s="12"/>
      <c r="GF182" s="12"/>
      <c r="GG182" s="12"/>
      <c r="GH182" s="12"/>
      <c r="GI182" s="12"/>
      <c r="GJ182" s="12"/>
      <c r="GK182" s="12"/>
      <c r="GL182" s="12"/>
      <c r="GM182" s="12"/>
      <c r="GN182" s="12"/>
      <c r="GO182" s="12"/>
      <c r="GP182" s="12"/>
      <c r="GQ182" s="12"/>
      <c r="GR182" s="12"/>
      <c r="GS182" s="12"/>
      <c r="GT182" s="12"/>
      <c r="GU182" s="12"/>
      <c r="GV182" s="12"/>
      <c r="GW182" s="12"/>
      <c r="GX182" s="12"/>
      <c r="GY182" s="12"/>
      <c r="GZ182" s="12"/>
      <c r="HA182" s="12"/>
      <c r="HB182" s="12"/>
      <c r="HC182" s="12"/>
      <c r="HD182" s="12"/>
      <c r="HE182" s="12"/>
      <c r="HF182" s="12"/>
      <c r="HG182" s="12"/>
      <c r="HH182" s="12"/>
      <c r="HI182" s="12"/>
      <c r="HJ182" s="12"/>
      <c r="HK182" s="12"/>
      <c r="HL182" s="12"/>
      <c r="HM182" s="12"/>
      <c r="HN182" s="12"/>
      <c r="HO182" s="12"/>
      <c r="HP182" s="12"/>
      <c r="HQ182" s="12"/>
      <c r="HR182" s="12"/>
      <c r="HS182" s="12"/>
      <c r="HT182" s="12"/>
      <c r="HU182" s="12"/>
      <c r="HV182" s="12"/>
      <c r="HW182" s="12"/>
      <c r="HX182" s="12"/>
      <c r="HY182" s="12"/>
      <c r="HZ182" s="12"/>
      <c r="IA182" s="12"/>
      <c r="IB182" s="12"/>
      <c r="IC182" s="12"/>
      <c r="ID182" s="12"/>
      <c r="IE182" s="12"/>
      <c r="IF182" s="12"/>
      <c r="IG182" s="12"/>
      <c r="IH182" s="12"/>
      <c r="II182" s="12"/>
      <c r="IJ182" s="12"/>
      <c r="IK182" s="12"/>
      <c r="IL182" s="12"/>
      <c r="IM182" s="12"/>
      <c r="IN182" s="12"/>
      <c r="IO182" s="12"/>
      <c r="IP182" s="12"/>
      <c r="IQ182" s="12"/>
      <c r="IR182" s="12"/>
      <c r="IS182" s="12"/>
      <c r="IT182" s="12"/>
      <c r="IU182" s="12"/>
      <c r="IV182" s="12"/>
      <c r="IW182" s="12"/>
    </row>
    <row r="183" customFormat="false" ht="11.25" hidden="false" customHeight="false" outlineLevel="0" collapsed="false">
      <c r="A183" s="25" t="n">
        <f aca="false">DATE(YEAR(A182),MONTH(A182)+1,1)</f>
        <v>51288</v>
      </c>
      <c r="B183" s="21" t="n">
        <v>2.62</v>
      </c>
      <c r="C183" s="21" t="n">
        <v>2.72</v>
      </c>
      <c r="D183" s="25" t="n">
        <f aca="false">DATE(YEAR(D182),MONTH(D182)+1,1)</f>
        <v>51288</v>
      </c>
      <c r="E183" s="21" t="n">
        <v>19.959</v>
      </c>
      <c r="F183" s="21" t="n">
        <v>21.188</v>
      </c>
      <c r="G183" s="6"/>
      <c r="H183" s="22" t="n">
        <f aca="false">A183</f>
        <v>51288</v>
      </c>
      <c r="I183" s="23" t="n">
        <f aca="false">IF($J$1="bid",B183,C183)</f>
        <v>2.72</v>
      </c>
      <c r="J183" s="24" t="n">
        <f aca="false">D183</f>
        <v>51288</v>
      </c>
      <c r="K183" s="23" t="n">
        <f aca="false">IF($J$1="bid",E183,F183)</f>
        <v>21.188</v>
      </c>
      <c r="L183" s="11"/>
      <c r="M183" s="11"/>
      <c r="N183" s="11"/>
      <c r="O183" s="11"/>
      <c r="P183" s="11"/>
      <c r="Q183" s="11"/>
      <c r="R183" s="11"/>
      <c r="S183" s="11"/>
      <c r="T183" s="11"/>
      <c r="U183" s="11"/>
      <c r="V183" s="11"/>
      <c r="W183" s="11"/>
      <c r="X183" s="11"/>
      <c r="Y183" s="11"/>
      <c r="Z183" s="11"/>
      <c r="AA183" s="11"/>
      <c r="AB183" s="11"/>
      <c r="AC183" s="11"/>
      <c r="AD183" s="11"/>
      <c r="AE183" s="11"/>
      <c r="AF183" s="11"/>
      <c r="AG183" s="11"/>
      <c r="AH183" s="11"/>
      <c r="AI183" s="11"/>
      <c r="AJ183" s="11"/>
      <c r="AK183" s="11"/>
      <c r="AL183" s="11"/>
      <c r="AM183" s="11"/>
      <c r="AN183" s="11"/>
      <c r="AO183" s="11"/>
      <c r="AP183" s="11"/>
      <c r="AQ183" s="11"/>
      <c r="AR183" s="5"/>
      <c r="AS183" s="12"/>
      <c r="AT183" s="12"/>
      <c r="AU183" s="12"/>
      <c r="AV183" s="12"/>
      <c r="AW183" s="12"/>
      <c r="AX183" s="12"/>
      <c r="AY183" s="12"/>
      <c r="AZ183" s="12"/>
      <c r="BA183" s="12"/>
      <c r="BB183" s="12"/>
      <c r="BC183" s="12"/>
      <c r="BD183" s="12"/>
      <c r="BE183" s="12"/>
      <c r="BF183" s="12"/>
      <c r="BG183" s="12"/>
      <c r="BH183" s="12"/>
      <c r="BI183" s="12"/>
      <c r="BJ183" s="12"/>
      <c r="BK183" s="12"/>
      <c r="BL183" s="12"/>
      <c r="BM183" s="12"/>
      <c r="BN183" s="12"/>
      <c r="BO183" s="12"/>
      <c r="BP183" s="12"/>
      <c r="BQ183" s="12"/>
      <c r="BR183" s="12"/>
      <c r="BS183" s="12"/>
      <c r="BT183" s="12"/>
      <c r="BU183" s="12"/>
      <c r="BV183" s="12"/>
      <c r="BW183" s="12"/>
      <c r="BX183" s="12"/>
      <c r="BY183" s="12"/>
      <c r="BZ183" s="12"/>
      <c r="CA183" s="12"/>
      <c r="CB183" s="12"/>
      <c r="CC183" s="12"/>
      <c r="CD183" s="12"/>
      <c r="CE183" s="12"/>
      <c r="CF183" s="12"/>
      <c r="CG183" s="12"/>
      <c r="CH183" s="12"/>
      <c r="CI183" s="12"/>
      <c r="CJ183" s="12"/>
      <c r="CK183" s="12"/>
      <c r="CL183" s="12"/>
      <c r="CM183" s="12"/>
      <c r="CN183" s="12"/>
      <c r="CO183" s="12"/>
      <c r="CP183" s="12"/>
      <c r="CQ183" s="12"/>
      <c r="CR183" s="12"/>
      <c r="CS183" s="12"/>
      <c r="CT183" s="12"/>
      <c r="CU183" s="12"/>
      <c r="CV183" s="12"/>
      <c r="CW183" s="12"/>
      <c r="CX183" s="12"/>
      <c r="CY183" s="12"/>
      <c r="CZ183" s="12"/>
      <c r="DA183" s="12"/>
      <c r="DB183" s="12"/>
      <c r="DC183" s="12"/>
      <c r="DD183" s="12"/>
      <c r="DE183" s="12"/>
      <c r="DF183" s="12"/>
      <c r="DG183" s="12"/>
      <c r="DH183" s="12"/>
      <c r="DI183" s="12"/>
      <c r="DJ183" s="12"/>
      <c r="DK183" s="12"/>
      <c r="DL183" s="12"/>
      <c r="DM183" s="12"/>
      <c r="DN183" s="12"/>
      <c r="DO183" s="12"/>
      <c r="DP183" s="12"/>
      <c r="DQ183" s="12"/>
      <c r="DR183" s="12"/>
      <c r="DS183" s="12"/>
      <c r="DT183" s="12"/>
      <c r="DU183" s="12"/>
      <c r="DV183" s="12"/>
      <c r="DW183" s="12"/>
      <c r="DX183" s="12"/>
      <c r="DY183" s="12"/>
      <c r="DZ183" s="12"/>
      <c r="EA183" s="12"/>
      <c r="EB183" s="12"/>
      <c r="EC183" s="12"/>
      <c r="ED183" s="12"/>
      <c r="EE183" s="12"/>
      <c r="EF183" s="12"/>
      <c r="EG183" s="12"/>
      <c r="EH183" s="12"/>
      <c r="EI183" s="12"/>
      <c r="EJ183" s="12"/>
      <c r="EK183" s="12"/>
      <c r="EL183" s="12"/>
      <c r="EM183" s="12"/>
      <c r="EN183" s="12"/>
      <c r="EO183" s="12"/>
      <c r="EP183" s="12"/>
      <c r="EQ183" s="12"/>
      <c r="ER183" s="12"/>
      <c r="ES183" s="12"/>
      <c r="ET183" s="12"/>
      <c r="EU183" s="12"/>
      <c r="EV183" s="12"/>
      <c r="EW183" s="12"/>
      <c r="EX183" s="12"/>
      <c r="EY183" s="12"/>
      <c r="EZ183" s="12"/>
      <c r="FA183" s="12"/>
      <c r="FB183" s="12"/>
      <c r="FC183" s="12"/>
      <c r="FD183" s="12"/>
      <c r="FE183" s="12"/>
      <c r="FF183" s="12"/>
      <c r="FG183" s="12"/>
      <c r="FH183" s="12"/>
      <c r="FI183" s="12"/>
      <c r="FJ183" s="12"/>
      <c r="FK183" s="12"/>
      <c r="FL183" s="12"/>
      <c r="FM183" s="12"/>
      <c r="FN183" s="12"/>
      <c r="FO183" s="12"/>
      <c r="FP183" s="12"/>
      <c r="FQ183" s="12"/>
      <c r="FR183" s="12"/>
      <c r="FS183" s="12"/>
      <c r="FT183" s="12"/>
      <c r="FU183" s="12"/>
      <c r="FV183" s="12"/>
      <c r="FW183" s="12"/>
      <c r="FX183" s="12"/>
      <c r="FY183" s="12"/>
      <c r="FZ183" s="12"/>
      <c r="GA183" s="12"/>
      <c r="GB183" s="12"/>
      <c r="GC183" s="12"/>
      <c r="GD183" s="12"/>
      <c r="GE183" s="12"/>
      <c r="GF183" s="12"/>
      <c r="GG183" s="12"/>
      <c r="GH183" s="12"/>
      <c r="GI183" s="12"/>
      <c r="GJ183" s="12"/>
      <c r="GK183" s="12"/>
      <c r="GL183" s="12"/>
      <c r="GM183" s="12"/>
      <c r="GN183" s="12"/>
      <c r="GO183" s="12"/>
      <c r="GP183" s="12"/>
      <c r="GQ183" s="12"/>
      <c r="GR183" s="12"/>
      <c r="GS183" s="12"/>
      <c r="GT183" s="12"/>
      <c r="GU183" s="12"/>
      <c r="GV183" s="12"/>
      <c r="GW183" s="12"/>
      <c r="GX183" s="12"/>
      <c r="GY183" s="12"/>
      <c r="GZ183" s="12"/>
      <c r="HA183" s="12"/>
      <c r="HB183" s="12"/>
      <c r="HC183" s="12"/>
      <c r="HD183" s="12"/>
      <c r="HE183" s="12"/>
      <c r="HF183" s="12"/>
      <c r="HG183" s="12"/>
      <c r="HH183" s="12"/>
      <c r="HI183" s="12"/>
      <c r="HJ183" s="12"/>
      <c r="HK183" s="12"/>
      <c r="HL183" s="12"/>
      <c r="HM183" s="12"/>
      <c r="HN183" s="12"/>
      <c r="HO183" s="12"/>
      <c r="HP183" s="12"/>
      <c r="HQ183" s="12"/>
      <c r="HR183" s="12"/>
      <c r="HS183" s="12"/>
      <c r="HT183" s="12"/>
      <c r="HU183" s="12"/>
      <c r="HV183" s="12"/>
      <c r="HW183" s="12"/>
      <c r="HX183" s="12"/>
      <c r="HY183" s="12"/>
      <c r="HZ183" s="12"/>
      <c r="IA183" s="12"/>
      <c r="IB183" s="12"/>
      <c r="IC183" s="12"/>
      <c r="ID183" s="12"/>
      <c r="IE183" s="12"/>
      <c r="IF183" s="12"/>
      <c r="IG183" s="12"/>
      <c r="IH183" s="12"/>
      <c r="II183" s="12"/>
      <c r="IJ183" s="12"/>
      <c r="IK183" s="12"/>
      <c r="IL183" s="12"/>
      <c r="IM183" s="12"/>
      <c r="IN183" s="12"/>
      <c r="IO183" s="12"/>
      <c r="IP183" s="12"/>
      <c r="IQ183" s="12"/>
      <c r="IR183" s="12"/>
      <c r="IS183" s="12"/>
      <c r="IT183" s="12"/>
      <c r="IU183" s="12"/>
      <c r="IV183" s="12"/>
      <c r="IW183" s="12"/>
    </row>
    <row r="184" customFormat="false" ht="11.25" hidden="false" customHeight="false" outlineLevel="0" collapsed="false">
      <c r="A184" s="25" t="n">
        <f aca="false">DATE(YEAR(A183),MONTH(A183)+1,1)</f>
        <v>51318</v>
      </c>
      <c r="B184" s="21" t="n">
        <v>2.62</v>
      </c>
      <c r="C184" s="21" t="n">
        <v>2.72</v>
      </c>
      <c r="D184" s="25" t="n">
        <f aca="false">DATE(YEAR(D183),MONTH(D183)+1,1)</f>
        <v>51318</v>
      </c>
      <c r="E184" s="21" t="n">
        <v>19.976</v>
      </c>
      <c r="F184" s="21" t="n">
        <v>21.214</v>
      </c>
      <c r="G184" s="6"/>
      <c r="H184" s="22" t="n">
        <f aca="false">A184</f>
        <v>51318</v>
      </c>
      <c r="I184" s="23" t="n">
        <f aca="false">IF($J$1="bid",B184,C184)</f>
        <v>2.72</v>
      </c>
      <c r="J184" s="24" t="n">
        <f aca="false">D184</f>
        <v>51318</v>
      </c>
      <c r="K184" s="23" t="n">
        <f aca="false">IF($J$1="bid",E184,F184)</f>
        <v>21.214</v>
      </c>
      <c r="L184" s="11"/>
      <c r="M184" s="11"/>
      <c r="N184" s="11"/>
      <c r="O184" s="11"/>
      <c r="P184" s="11"/>
      <c r="Q184" s="11"/>
      <c r="R184" s="11"/>
      <c r="S184" s="11"/>
      <c r="T184" s="11"/>
      <c r="U184" s="11"/>
      <c r="V184" s="11"/>
      <c r="W184" s="11"/>
      <c r="X184" s="11"/>
      <c r="Y184" s="11"/>
      <c r="Z184" s="11"/>
      <c r="AA184" s="11"/>
      <c r="AB184" s="11"/>
      <c r="AC184" s="11"/>
      <c r="AD184" s="11"/>
      <c r="AE184" s="11"/>
      <c r="AF184" s="11"/>
      <c r="AG184" s="11"/>
      <c r="AH184" s="11"/>
      <c r="AI184" s="11"/>
      <c r="AJ184" s="11"/>
      <c r="AK184" s="11"/>
      <c r="AL184" s="11"/>
      <c r="AM184" s="11"/>
      <c r="AN184" s="11"/>
      <c r="AO184" s="11"/>
      <c r="AP184" s="11"/>
      <c r="AQ184" s="11"/>
      <c r="AR184" s="5"/>
      <c r="AS184" s="12"/>
      <c r="AT184" s="12"/>
      <c r="AU184" s="12"/>
      <c r="AV184" s="12"/>
      <c r="AW184" s="12"/>
      <c r="AX184" s="12"/>
      <c r="AY184" s="12"/>
      <c r="AZ184" s="12"/>
      <c r="BA184" s="12"/>
      <c r="BB184" s="12"/>
      <c r="BC184" s="12"/>
      <c r="BD184" s="12"/>
      <c r="BE184" s="12"/>
      <c r="BF184" s="12"/>
      <c r="BG184" s="12"/>
      <c r="BH184" s="12"/>
      <c r="BI184" s="12"/>
      <c r="BJ184" s="12"/>
      <c r="BK184" s="12"/>
      <c r="BL184" s="12"/>
      <c r="BM184" s="12"/>
      <c r="BN184" s="12"/>
      <c r="BO184" s="12"/>
      <c r="BP184" s="12"/>
      <c r="BQ184" s="12"/>
      <c r="BR184" s="12"/>
      <c r="BS184" s="12"/>
      <c r="BT184" s="12"/>
      <c r="BU184" s="12"/>
      <c r="BV184" s="12"/>
      <c r="BW184" s="12"/>
      <c r="BX184" s="12"/>
      <c r="BY184" s="12"/>
      <c r="BZ184" s="12"/>
      <c r="CA184" s="12"/>
      <c r="CB184" s="12"/>
      <c r="CC184" s="12"/>
      <c r="CD184" s="12"/>
      <c r="CE184" s="12"/>
      <c r="CF184" s="12"/>
      <c r="CG184" s="12"/>
      <c r="CH184" s="12"/>
      <c r="CI184" s="12"/>
      <c r="CJ184" s="12"/>
      <c r="CK184" s="12"/>
      <c r="CL184" s="12"/>
      <c r="CM184" s="12"/>
      <c r="CN184" s="12"/>
      <c r="CO184" s="12"/>
      <c r="CP184" s="12"/>
      <c r="CQ184" s="12"/>
      <c r="CR184" s="12"/>
      <c r="CS184" s="12"/>
      <c r="CT184" s="12"/>
      <c r="CU184" s="12"/>
      <c r="CV184" s="12"/>
      <c r="CW184" s="12"/>
      <c r="CX184" s="12"/>
      <c r="CY184" s="12"/>
      <c r="CZ184" s="12"/>
      <c r="DA184" s="12"/>
      <c r="DB184" s="12"/>
      <c r="DC184" s="12"/>
      <c r="DD184" s="12"/>
      <c r="DE184" s="12"/>
      <c r="DF184" s="12"/>
      <c r="DG184" s="12"/>
      <c r="DH184" s="12"/>
      <c r="DI184" s="12"/>
      <c r="DJ184" s="12"/>
      <c r="DK184" s="12"/>
      <c r="DL184" s="12"/>
      <c r="DM184" s="12"/>
      <c r="DN184" s="12"/>
      <c r="DO184" s="12"/>
      <c r="DP184" s="12"/>
      <c r="DQ184" s="12"/>
      <c r="DR184" s="12"/>
      <c r="DS184" s="12"/>
      <c r="DT184" s="12"/>
      <c r="DU184" s="12"/>
      <c r="DV184" s="12"/>
      <c r="DW184" s="12"/>
      <c r="DX184" s="12"/>
      <c r="DY184" s="12"/>
      <c r="DZ184" s="12"/>
      <c r="EA184" s="12"/>
      <c r="EB184" s="12"/>
      <c r="EC184" s="12"/>
      <c r="ED184" s="12"/>
      <c r="EE184" s="12"/>
      <c r="EF184" s="12"/>
      <c r="EG184" s="12"/>
      <c r="EH184" s="12"/>
      <c r="EI184" s="12"/>
      <c r="EJ184" s="12"/>
      <c r="EK184" s="12"/>
      <c r="EL184" s="12"/>
      <c r="EM184" s="12"/>
      <c r="EN184" s="12"/>
      <c r="EO184" s="12"/>
      <c r="EP184" s="12"/>
      <c r="EQ184" s="12"/>
      <c r="ER184" s="12"/>
      <c r="ES184" s="12"/>
      <c r="ET184" s="12"/>
      <c r="EU184" s="12"/>
      <c r="EV184" s="12"/>
      <c r="EW184" s="12"/>
      <c r="EX184" s="12"/>
      <c r="EY184" s="12"/>
      <c r="EZ184" s="12"/>
      <c r="FA184" s="12"/>
      <c r="FB184" s="12"/>
      <c r="FC184" s="12"/>
      <c r="FD184" s="12"/>
      <c r="FE184" s="12"/>
      <c r="FF184" s="12"/>
      <c r="FG184" s="12"/>
      <c r="FH184" s="12"/>
      <c r="FI184" s="12"/>
      <c r="FJ184" s="12"/>
      <c r="FK184" s="12"/>
      <c r="FL184" s="12"/>
      <c r="FM184" s="12"/>
      <c r="FN184" s="12"/>
      <c r="FO184" s="12"/>
      <c r="FP184" s="12"/>
      <c r="FQ184" s="12"/>
      <c r="FR184" s="12"/>
      <c r="FS184" s="12"/>
      <c r="FT184" s="12"/>
      <c r="FU184" s="12"/>
      <c r="FV184" s="12"/>
      <c r="FW184" s="12"/>
      <c r="FX184" s="12"/>
      <c r="FY184" s="12"/>
      <c r="FZ184" s="12"/>
      <c r="GA184" s="12"/>
      <c r="GB184" s="12"/>
      <c r="GC184" s="12"/>
      <c r="GD184" s="12"/>
      <c r="GE184" s="12"/>
      <c r="GF184" s="12"/>
      <c r="GG184" s="12"/>
      <c r="GH184" s="12"/>
      <c r="GI184" s="12"/>
      <c r="GJ184" s="12"/>
      <c r="GK184" s="12"/>
      <c r="GL184" s="12"/>
      <c r="GM184" s="12"/>
      <c r="GN184" s="12"/>
      <c r="GO184" s="12"/>
      <c r="GP184" s="12"/>
      <c r="GQ184" s="12"/>
      <c r="GR184" s="12"/>
      <c r="GS184" s="12"/>
      <c r="GT184" s="12"/>
      <c r="GU184" s="12"/>
      <c r="GV184" s="12"/>
      <c r="GW184" s="12"/>
      <c r="GX184" s="12"/>
      <c r="GY184" s="12"/>
      <c r="GZ184" s="12"/>
      <c r="HA184" s="12"/>
      <c r="HB184" s="12"/>
      <c r="HC184" s="12"/>
      <c r="HD184" s="12"/>
      <c r="HE184" s="12"/>
      <c r="HF184" s="12"/>
      <c r="HG184" s="12"/>
      <c r="HH184" s="12"/>
      <c r="HI184" s="12"/>
      <c r="HJ184" s="12"/>
      <c r="HK184" s="12"/>
      <c r="HL184" s="12"/>
      <c r="HM184" s="12"/>
      <c r="HN184" s="12"/>
      <c r="HO184" s="12"/>
      <c r="HP184" s="12"/>
      <c r="HQ184" s="12"/>
      <c r="HR184" s="12"/>
      <c r="HS184" s="12"/>
      <c r="HT184" s="12"/>
      <c r="HU184" s="12"/>
      <c r="HV184" s="12"/>
      <c r="HW184" s="12"/>
      <c r="HX184" s="12"/>
      <c r="HY184" s="12"/>
      <c r="HZ184" s="12"/>
      <c r="IA184" s="12"/>
      <c r="IB184" s="12"/>
      <c r="IC184" s="12"/>
      <c r="ID184" s="12"/>
      <c r="IE184" s="12"/>
      <c r="IF184" s="12"/>
      <c r="IG184" s="12"/>
      <c r="IH184" s="12"/>
      <c r="II184" s="12"/>
      <c r="IJ184" s="12"/>
      <c r="IK184" s="12"/>
      <c r="IL184" s="12"/>
      <c r="IM184" s="12"/>
      <c r="IN184" s="12"/>
      <c r="IO184" s="12"/>
      <c r="IP184" s="12"/>
      <c r="IQ184" s="12"/>
      <c r="IR184" s="12"/>
      <c r="IS184" s="12"/>
      <c r="IT184" s="12"/>
      <c r="IU184" s="12"/>
      <c r="IV184" s="12"/>
      <c r="IW184" s="12"/>
    </row>
    <row r="185" customFormat="false" ht="11.25" hidden="false" customHeight="false" outlineLevel="0" collapsed="false">
      <c r="A185" s="25" t="n">
        <f aca="false">DATE(YEAR(A184),MONTH(A184)+1,1)</f>
        <v>51349</v>
      </c>
      <c r="B185" s="21" t="n">
        <v>2.62</v>
      </c>
      <c r="C185" s="21" t="n">
        <v>2.72</v>
      </c>
      <c r="D185" s="25" t="n">
        <f aca="false">DATE(YEAR(D184),MONTH(D184)+1,1)</f>
        <v>51349</v>
      </c>
      <c r="E185" s="21" t="n">
        <v>19.993</v>
      </c>
      <c r="F185" s="21" t="n">
        <v>21.24</v>
      </c>
      <c r="G185" s="6"/>
      <c r="H185" s="22" t="n">
        <f aca="false">A185</f>
        <v>51349</v>
      </c>
      <c r="I185" s="23" t="n">
        <f aca="false">IF($J$1="bid",B185,C185)</f>
        <v>2.72</v>
      </c>
      <c r="J185" s="24" t="n">
        <f aca="false">D185</f>
        <v>51349</v>
      </c>
      <c r="K185" s="23" t="n">
        <f aca="false">IF($J$1="bid",E185,F185)</f>
        <v>21.24</v>
      </c>
      <c r="L185" s="11"/>
      <c r="M185" s="11"/>
      <c r="N185" s="11"/>
      <c r="O185" s="11"/>
      <c r="P185" s="11"/>
      <c r="Q185" s="11"/>
      <c r="R185" s="11"/>
      <c r="S185" s="11"/>
      <c r="T185" s="11"/>
      <c r="U185" s="11"/>
      <c r="V185" s="11"/>
      <c r="W185" s="11"/>
      <c r="X185" s="11"/>
      <c r="Y185" s="11"/>
      <c r="Z185" s="11"/>
      <c r="AA185" s="11"/>
      <c r="AB185" s="11"/>
      <c r="AC185" s="11"/>
      <c r="AD185" s="11"/>
      <c r="AE185" s="11"/>
      <c r="AF185" s="11"/>
      <c r="AG185" s="11"/>
      <c r="AH185" s="11"/>
      <c r="AI185" s="11"/>
      <c r="AJ185" s="11"/>
      <c r="AK185" s="11"/>
      <c r="AL185" s="11"/>
      <c r="AM185" s="11"/>
      <c r="AN185" s="11"/>
      <c r="AO185" s="11"/>
      <c r="AP185" s="11"/>
      <c r="AQ185" s="11"/>
      <c r="AR185" s="5"/>
      <c r="AS185" s="12"/>
      <c r="AT185" s="12"/>
      <c r="AU185" s="12"/>
      <c r="AV185" s="12"/>
      <c r="AW185" s="12"/>
      <c r="AX185" s="12"/>
      <c r="AY185" s="12"/>
      <c r="AZ185" s="12"/>
      <c r="BA185" s="12"/>
      <c r="BB185" s="12"/>
      <c r="BC185" s="12"/>
      <c r="BD185" s="12"/>
      <c r="BE185" s="12"/>
      <c r="BF185" s="12"/>
      <c r="BG185" s="12"/>
      <c r="BH185" s="12"/>
      <c r="BI185" s="12"/>
      <c r="BJ185" s="12"/>
      <c r="BK185" s="12"/>
      <c r="BL185" s="12"/>
      <c r="BM185" s="12"/>
      <c r="BN185" s="12"/>
      <c r="BO185" s="12"/>
      <c r="BP185" s="12"/>
      <c r="BQ185" s="12"/>
      <c r="BR185" s="12"/>
      <c r="BS185" s="12"/>
      <c r="BT185" s="12"/>
      <c r="BU185" s="12"/>
      <c r="BV185" s="12"/>
      <c r="BW185" s="12"/>
      <c r="BX185" s="12"/>
      <c r="BY185" s="12"/>
      <c r="BZ185" s="12"/>
      <c r="CA185" s="12"/>
      <c r="CB185" s="12"/>
      <c r="CC185" s="12"/>
      <c r="CD185" s="12"/>
      <c r="CE185" s="12"/>
      <c r="CF185" s="12"/>
      <c r="CG185" s="12"/>
      <c r="CH185" s="12"/>
      <c r="CI185" s="12"/>
      <c r="CJ185" s="12"/>
      <c r="CK185" s="12"/>
      <c r="CL185" s="12"/>
      <c r="CM185" s="12"/>
      <c r="CN185" s="12"/>
      <c r="CO185" s="12"/>
      <c r="CP185" s="12"/>
      <c r="CQ185" s="12"/>
      <c r="CR185" s="12"/>
      <c r="CS185" s="12"/>
      <c r="CT185" s="12"/>
      <c r="CU185" s="12"/>
      <c r="CV185" s="12"/>
      <c r="CW185" s="12"/>
      <c r="CX185" s="12"/>
      <c r="CY185" s="12"/>
      <c r="CZ185" s="12"/>
      <c r="DA185" s="12"/>
      <c r="DB185" s="12"/>
      <c r="DC185" s="12"/>
      <c r="DD185" s="12"/>
      <c r="DE185" s="12"/>
      <c r="DF185" s="12"/>
      <c r="DG185" s="12"/>
      <c r="DH185" s="12"/>
      <c r="DI185" s="12"/>
      <c r="DJ185" s="12"/>
      <c r="DK185" s="12"/>
      <c r="DL185" s="12"/>
      <c r="DM185" s="12"/>
      <c r="DN185" s="12"/>
      <c r="DO185" s="12"/>
      <c r="DP185" s="12"/>
      <c r="DQ185" s="12"/>
      <c r="DR185" s="12"/>
      <c r="DS185" s="12"/>
      <c r="DT185" s="12"/>
      <c r="DU185" s="12"/>
      <c r="DV185" s="12"/>
      <c r="DW185" s="12"/>
      <c r="DX185" s="12"/>
      <c r="DY185" s="12"/>
      <c r="DZ185" s="12"/>
      <c r="EA185" s="12"/>
      <c r="EB185" s="12"/>
      <c r="EC185" s="12"/>
      <c r="ED185" s="12"/>
      <c r="EE185" s="12"/>
      <c r="EF185" s="12"/>
      <c r="EG185" s="12"/>
      <c r="EH185" s="12"/>
      <c r="EI185" s="12"/>
      <c r="EJ185" s="12"/>
      <c r="EK185" s="12"/>
      <c r="EL185" s="12"/>
      <c r="EM185" s="12"/>
      <c r="EN185" s="12"/>
      <c r="EO185" s="12"/>
      <c r="EP185" s="12"/>
      <c r="EQ185" s="12"/>
      <c r="ER185" s="12"/>
      <c r="ES185" s="12"/>
      <c r="ET185" s="12"/>
      <c r="EU185" s="12"/>
      <c r="EV185" s="12"/>
      <c r="EW185" s="12"/>
      <c r="EX185" s="12"/>
      <c r="EY185" s="12"/>
      <c r="EZ185" s="12"/>
      <c r="FA185" s="12"/>
      <c r="FB185" s="12"/>
      <c r="FC185" s="12"/>
      <c r="FD185" s="12"/>
      <c r="FE185" s="12"/>
      <c r="FF185" s="12"/>
      <c r="FG185" s="12"/>
      <c r="FH185" s="12"/>
      <c r="FI185" s="12"/>
      <c r="FJ185" s="12"/>
      <c r="FK185" s="12"/>
      <c r="FL185" s="12"/>
      <c r="FM185" s="12"/>
      <c r="FN185" s="12"/>
      <c r="FO185" s="12"/>
      <c r="FP185" s="12"/>
      <c r="FQ185" s="12"/>
      <c r="FR185" s="12"/>
      <c r="FS185" s="12"/>
      <c r="FT185" s="12"/>
      <c r="FU185" s="12"/>
      <c r="FV185" s="12"/>
      <c r="FW185" s="12"/>
      <c r="FX185" s="12"/>
      <c r="FY185" s="12"/>
      <c r="FZ185" s="12"/>
      <c r="GA185" s="12"/>
      <c r="GB185" s="12"/>
      <c r="GC185" s="12"/>
      <c r="GD185" s="12"/>
      <c r="GE185" s="12"/>
      <c r="GF185" s="12"/>
      <c r="GG185" s="12"/>
      <c r="GH185" s="12"/>
      <c r="GI185" s="12"/>
      <c r="GJ185" s="12"/>
      <c r="GK185" s="12"/>
      <c r="GL185" s="12"/>
      <c r="GM185" s="12"/>
      <c r="GN185" s="12"/>
      <c r="GO185" s="12"/>
      <c r="GP185" s="12"/>
      <c r="GQ185" s="12"/>
      <c r="GR185" s="12"/>
      <c r="GS185" s="12"/>
      <c r="GT185" s="12"/>
      <c r="GU185" s="12"/>
      <c r="GV185" s="12"/>
      <c r="GW185" s="12"/>
      <c r="GX185" s="12"/>
      <c r="GY185" s="12"/>
      <c r="GZ185" s="12"/>
      <c r="HA185" s="12"/>
      <c r="HB185" s="12"/>
      <c r="HC185" s="12"/>
      <c r="HD185" s="12"/>
      <c r="HE185" s="12"/>
      <c r="HF185" s="12"/>
      <c r="HG185" s="12"/>
      <c r="HH185" s="12"/>
      <c r="HI185" s="12"/>
      <c r="HJ185" s="12"/>
      <c r="HK185" s="12"/>
      <c r="HL185" s="12"/>
      <c r="HM185" s="12"/>
      <c r="HN185" s="12"/>
      <c r="HO185" s="12"/>
      <c r="HP185" s="12"/>
      <c r="HQ185" s="12"/>
      <c r="HR185" s="12"/>
      <c r="HS185" s="12"/>
      <c r="HT185" s="12"/>
      <c r="HU185" s="12"/>
      <c r="HV185" s="12"/>
      <c r="HW185" s="12"/>
      <c r="HX185" s="12"/>
      <c r="HY185" s="12"/>
      <c r="HZ185" s="12"/>
      <c r="IA185" s="12"/>
      <c r="IB185" s="12"/>
      <c r="IC185" s="12"/>
      <c r="ID185" s="12"/>
      <c r="IE185" s="12"/>
      <c r="IF185" s="12"/>
      <c r="IG185" s="12"/>
      <c r="IH185" s="12"/>
      <c r="II185" s="12"/>
      <c r="IJ185" s="12"/>
      <c r="IK185" s="12"/>
      <c r="IL185" s="12"/>
      <c r="IM185" s="12"/>
      <c r="IN185" s="12"/>
      <c r="IO185" s="12"/>
      <c r="IP185" s="12"/>
      <c r="IQ185" s="12"/>
      <c r="IR185" s="12"/>
      <c r="IS185" s="12"/>
      <c r="IT185" s="12"/>
      <c r="IU185" s="12"/>
      <c r="IV185" s="12"/>
      <c r="IW185" s="12"/>
    </row>
    <row r="186" customFormat="false" ht="11.25" hidden="false" customHeight="false" outlineLevel="0" collapsed="false">
      <c r="A186" s="25" t="n">
        <f aca="false">DATE(YEAR(A185),MONTH(A185)+1,1)</f>
        <v>51380</v>
      </c>
      <c r="B186" s="21" t="n">
        <v>2.694</v>
      </c>
      <c r="C186" s="21" t="n">
        <v>2.794</v>
      </c>
      <c r="D186" s="25" t="n">
        <f aca="false">DATE(YEAR(D185),MONTH(D185)+1,1)</f>
        <v>51380</v>
      </c>
      <c r="E186" s="21" t="n">
        <v>20.01</v>
      </c>
      <c r="F186" s="21" t="n">
        <v>21.265</v>
      </c>
      <c r="G186" s="6"/>
      <c r="H186" s="22" t="n">
        <f aca="false">A186</f>
        <v>51380</v>
      </c>
      <c r="I186" s="23" t="n">
        <f aca="false">IF($J$1="bid",B186,C186)</f>
        <v>2.794</v>
      </c>
      <c r="J186" s="24" t="n">
        <f aca="false">D186</f>
        <v>51380</v>
      </c>
      <c r="K186" s="23" t="n">
        <f aca="false">IF($J$1="bid",E186,F186)</f>
        <v>21.265</v>
      </c>
      <c r="L186" s="11"/>
      <c r="M186" s="11"/>
      <c r="N186" s="11"/>
      <c r="O186" s="11"/>
      <c r="P186" s="11"/>
      <c r="Q186" s="11"/>
      <c r="R186" s="11"/>
      <c r="S186" s="11"/>
      <c r="T186" s="11"/>
      <c r="U186" s="11"/>
      <c r="V186" s="11"/>
      <c r="W186" s="11"/>
      <c r="X186" s="11"/>
      <c r="Y186" s="11"/>
      <c r="Z186" s="11"/>
      <c r="AA186" s="11"/>
      <c r="AB186" s="11"/>
      <c r="AC186" s="11"/>
      <c r="AD186" s="11"/>
      <c r="AE186" s="11"/>
      <c r="AF186" s="11"/>
      <c r="AG186" s="11"/>
      <c r="AH186" s="11"/>
      <c r="AI186" s="11"/>
      <c r="AJ186" s="11"/>
      <c r="AK186" s="11"/>
      <c r="AL186" s="11"/>
      <c r="AM186" s="11"/>
      <c r="AN186" s="11"/>
      <c r="AO186" s="11"/>
      <c r="AP186" s="11"/>
      <c r="AQ186" s="11"/>
      <c r="AR186" s="5"/>
      <c r="AS186" s="12"/>
      <c r="AT186" s="12"/>
      <c r="AU186" s="12"/>
      <c r="AV186" s="12"/>
      <c r="AW186" s="12"/>
      <c r="AX186" s="12"/>
      <c r="AY186" s="12"/>
      <c r="AZ186" s="12"/>
      <c r="BA186" s="12"/>
      <c r="BB186" s="12"/>
      <c r="BC186" s="12"/>
      <c r="BD186" s="12"/>
      <c r="BE186" s="12"/>
      <c r="BF186" s="12"/>
      <c r="BG186" s="12"/>
      <c r="BH186" s="12"/>
      <c r="BI186" s="12"/>
      <c r="BJ186" s="12"/>
      <c r="BK186" s="12"/>
      <c r="BL186" s="12"/>
      <c r="BM186" s="12"/>
      <c r="BN186" s="12"/>
      <c r="BO186" s="12"/>
      <c r="BP186" s="12"/>
      <c r="BQ186" s="12"/>
      <c r="BR186" s="12"/>
      <c r="BS186" s="12"/>
      <c r="BT186" s="12"/>
      <c r="BU186" s="12"/>
      <c r="BV186" s="12"/>
      <c r="BW186" s="12"/>
      <c r="BX186" s="12"/>
      <c r="BY186" s="12"/>
      <c r="BZ186" s="12"/>
      <c r="CA186" s="12"/>
      <c r="CB186" s="12"/>
      <c r="CC186" s="12"/>
      <c r="CD186" s="12"/>
      <c r="CE186" s="12"/>
      <c r="CF186" s="12"/>
      <c r="CG186" s="12"/>
      <c r="CH186" s="12"/>
      <c r="CI186" s="12"/>
      <c r="CJ186" s="12"/>
      <c r="CK186" s="12"/>
      <c r="CL186" s="12"/>
      <c r="CM186" s="12"/>
      <c r="CN186" s="12"/>
      <c r="CO186" s="12"/>
      <c r="CP186" s="12"/>
      <c r="CQ186" s="12"/>
      <c r="CR186" s="12"/>
      <c r="CS186" s="12"/>
      <c r="CT186" s="12"/>
      <c r="CU186" s="12"/>
      <c r="CV186" s="12"/>
      <c r="CW186" s="12"/>
      <c r="CX186" s="12"/>
      <c r="CY186" s="12"/>
      <c r="CZ186" s="12"/>
      <c r="DA186" s="12"/>
      <c r="DB186" s="12"/>
      <c r="DC186" s="12"/>
      <c r="DD186" s="12"/>
      <c r="DE186" s="12"/>
      <c r="DF186" s="12"/>
      <c r="DG186" s="12"/>
      <c r="DH186" s="12"/>
      <c r="DI186" s="12"/>
      <c r="DJ186" s="12"/>
      <c r="DK186" s="12"/>
      <c r="DL186" s="12"/>
      <c r="DM186" s="12"/>
      <c r="DN186" s="12"/>
      <c r="DO186" s="12"/>
      <c r="DP186" s="12"/>
      <c r="DQ186" s="12"/>
      <c r="DR186" s="12"/>
      <c r="DS186" s="12"/>
      <c r="DT186" s="12"/>
      <c r="DU186" s="12"/>
      <c r="DV186" s="12"/>
      <c r="DW186" s="12"/>
      <c r="DX186" s="12"/>
      <c r="DY186" s="12"/>
      <c r="DZ186" s="12"/>
      <c r="EA186" s="12"/>
      <c r="EB186" s="12"/>
      <c r="EC186" s="12"/>
      <c r="ED186" s="12"/>
      <c r="EE186" s="12"/>
      <c r="EF186" s="12"/>
      <c r="EG186" s="12"/>
      <c r="EH186" s="12"/>
      <c r="EI186" s="12"/>
      <c r="EJ186" s="12"/>
      <c r="EK186" s="12"/>
      <c r="EL186" s="12"/>
      <c r="EM186" s="12"/>
      <c r="EN186" s="12"/>
      <c r="EO186" s="12"/>
      <c r="EP186" s="12"/>
      <c r="EQ186" s="12"/>
      <c r="ER186" s="12"/>
      <c r="ES186" s="12"/>
      <c r="ET186" s="12"/>
      <c r="EU186" s="12"/>
      <c r="EV186" s="12"/>
      <c r="EW186" s="12"/>
      <c r="EX186" s="12"/>
      <c r="EY186" s="12"/>
      <c r="EZ186" s="12"/>
      <c r="FA186" s="12"/>
      <c r="FB186" s="12"/>
      <c r="FC186" s="12"/>
      <c r="FD186" s="12"/>
      <c r="FE186" s="12"/>
      <c r="FF186" s="12"/>
      <c r="FG186" s="12"/>
      <c r="FH186" s="12"/>
      <c r="FI186" s="12"/>
      <c r="FJ186" s="12"/>
      <c r="FK186" s="12"/>
      <c r="FL186" s="12"/>
      <c r="FM186" s="12"/>
      <c r="FN186" s="12"/>
      <c r="FO186" s="12"/>
      <c r="FP186" s="12"/>
      <c r="FQ186" s="12"/>
      <c r="FR186" s="12"/>
      <c r="FS186" s="12"/>
      <c r="FT186" s="12"/>
      <c r="FU186" s="12"/>
      <c r="FV186" s="12"/>
      <c r="FW186" s="12"/>
      <c r="FX186" s="12"/>
      <c r="FY186" s="12"/>
      <c r="FZ186" s="12"/>
      <c r="GA186" s="12"/>
      <c r="GB186" s="12"/>
      <c r="GC186" s="12"/>
      <c r="GD186" s="12"/>
      <c r="GE186" s="12"/>
      <c r="GF186" s="12"/>
      <c r="GG186" s="12"/>
      <c r="GH186" s="12"/>
      <c r="GI186" s="12"/>
      <c r="GJ186" s="12"/>
      <c r="GK186" s="12"/>
      <c r="GL186" s="12"/>
      <c r="GM186" s="12"/>
      <c r="GN186" s="12"/>
      <c r="GO186" s="12"/>
      <c r="GP186" s="12"/>
      <c r="GQ186" s="12"/>
      <c r="GR186" s="12"/>
      <c r="GS186" s="12"/>
      <c r="GT186" s="12"/>
      <c r="GU186" s="12"/>
      <c r="GV186" s="12"/>
      <c r="GW186" s="12"/>
      <c r="GX186" s="12"/>
      <c r="GY186" s="12"/>
      <c r="GZ186" s="12"/>
      <c r="HA186" s="12"/>
      <c r="HB186" s="12"/>
      <c r="HC186" s="12"/>
      <c r="HD186" s="12"/>
      <c r="HE186" s="12"/>
      <c r="HF186" s="12"/>
      <c r="HG186" s="12"/>
      <c r="HH186" s="12"/>
      <c r="HI186" s="12"/>
      <c r="HJ186" s="12"/>
      <c r="HK186" s="12"/>
      <c r="HL186" s="12"/>
      <c r="HM186" s="12"/>
      <c r="HN186" s="12"/>
      <c r="HO186" s="12"/>
      <c r="HP186" s="12"/>
      <c r="HQ186" s="12"/>
      <c r="HR186" s="12"/>
      <c r="HS186" s="12"/>
      <c r="HT186" s="12"/>
      <c r="HU186" s="12"/>
      <c r="HV186" s="12"/>
      <c r="HW186" s="12"/>
      <c r="HX186" s="12"/>
      <c r="HY186" s="12"/>
      <c r="HZ186" s="12"/>
      <c r="IA186" s="12"/>
      <c r="IB186" s="12"/>
      <c r="IC186" s="12"/>
      <c r="ID186" s="12"/>
      <c r="IE186" s="12"/>
      <c r="IF186" s="12"/>
      <c r="IG186" s="12"/>
      <c r="IH186" s="12"/>
      <c r="II186" s="12"/>
      <c r="IJ186" s="12"/>
      <c r="IK186" s="12"/>
      <c r="IL186" s="12"/>
      <c r="IM186" s="12"/>
      <c r="IN186" s="12"/>
      <c r="IO186" s="12"/>
      <c r="IP186" s="12"/>
      <c r="IQ186" s="12"/>
      <c r="IR186" s="12"/>
      <c r="IS186" s="12"/>
      <c r="IT186" s="12"/>
      <c r="IU186" s="12"/>
      <c r="IV186" s="12"/>
      <c r="IW186" s="12"/>
    </row>
    <row r="187" customFormat="false" ht="11.25" hidden="false" customHeight="false" outlineLevel="0" collapsed="false">
      <c r="A187" s="25" t="n">
        <f aca="false">DATE(YEAR(A186),MONTH(A186)+1,1)</f>
        <v>51410</v>
      </c>
      <c r="B187" s="21" t="n">
        <v>2.812</v>
      </c>
      <c r="C187" s="21" t="n">
        <v>2.912</v>
      </c>
      <c r="D187" s="25" t="n">
        <f aca="false">DATE(YEAR(D186),MONTH(D186)+1,1)</f>
        <v>51410</v>
      </c>
      <c r="E187" s="21" t="n">
        <v>20.026</v>
      </c>
      <c r="F187" s="21" t="n">
        <v>21.289</v>
      </c>
      <c r="G187" s="6"/>
      <c r="H187" s="22" t="n">
        <f aca="false">A187</f>
        <v>51410</v>
      </c>
      <c r="I187" s="23" t="n">
        <f aca="false">IF($J$1="bid",B187,C187)</f>
        <v>2.912</v>
      </c>
      <c r="J187" s="24" t="n">
        <f aca="false">D187</f>
        <v>51410</v>
      </c>
      <c r="K187" s="23" t="n">
        <f aca="false">IF($J$1="bid",E187,F187)</f>
        <v>21.289</v>
      </c>
      <c r="L187" s="11"/>
      <c r="M187" s="11"/>
      <c r="N187" s="11"/>
      <c r="O187" s="11"/>
      <c r="P187" s="11"/>
      <c r="Q187" s="11"/>
      <c r="R187" s="11"/>
      <c r="S187" s="11"/>
      <c r="T187" s="11"/>
      <c r="U187" s="11"/>
      <c r="V187" s="11"/>
      <c r="W187" s="11"/>
      <c r="X187" s="11"/>
      <c r="Y187" s="11"/>
      <c r="Z187" s="11"/>
      <c r="AA187" s="11"/>
      <c r="AB187" s="11"/>
      <c r="AC187" s="11"/>
      <c r="AD187" s="11"/>
      <c r="AE187" s="11"/>
      <c r="AF187" s="11"/>
      <c r="AG187" s="11"/>
      <c r="AH187" s="11"/>
      <c r="AI187" s="11"/>
      <c r="AJ187" s="11"/>
      <c r="AK187" s="11"/>
      <c r="AL187" s="11"/>
      <c r="AM187" s="11"/>
      <c r="AN187" s="11"/>
      <c r="AO187" s="11"/>
      <c r="AP187" s="11"/>
      <c r="AQ187" s="11"/>
      <c r="AR187" s="5"/>
      <c r="AS187" s="12"/>
      <c r="AT187" s="12"/>
      <c r="AU187" s="12"/>
      <c r="AV187" s="12"/>
      <c r="AW187" s="12"/>
      <c r="AX187" s="12"/>
      <c r="AY187" s="12"/>
      <c r="AZ187" s="12"/>
      <c r="BA187" s="12"/>
      <c r="BB187" s="12"/>
      <c r="BC187" s="12"/>
      <c r="BD187" s="12"/>
      <c r="BE187" s="12"/>
      <c r="BF187" s="12"/>
      <c r="BG187" s="12"/>
      <c r="BH187" s="12"/>
      <c r="BI187" s="12"/>
      <c r="BJ187" s="12"/>
      <c r="BK187" s="12"/>
      <c r="BL187" s="12"/>
      <c r="BM187" s="12"/>
      <c r="BN187" s="12"/>
      <c r="BO187" s="12"/>
      <c r="BP187" s="12"/>
      <c r="BQ187" s="12"/>
      <c r="BR187" s="12"/>
      <c r="BS187" s="12"/>
      <c r="BT187" s="12"/>
      <c r="BU187" s="12"/>
      <c r="BV187" s="12"/>
      <c r="BW187" s="12"/>
      <c r="BX187" s="12"/>
      <c r="BY187" s="12"/>
      <c r="BZ187" s="12"/>
      <c r="CA187" s="12"/>
      <c r="CB187" s="12"/>
      <c r="CC187" s="12"/>
      <c r="CD187" s="12"/>
      <c r="CE187" s="12"/>
      <c r="CF187" s="12"/>
      <c r="CG187" s="12"/>
      <c r="CH187" s="12"/>
      <c r="CI187" s="12"/>
      <c r="CJ187" s="12"/>
      <c r="CK187" s="12"/>
      <c r="CL187" s="12"/>
      <c r="CM187" s="12"/>
      <c r="CN187" s="12"/>
      <c r="CO187" s="12"/>
      <c r="CP187" s="12"/>
      <c r="CQ187" s="12"/>
      <c r="CR187" s="12"/>
      <c r="CS187" s="12"/>
      <c r="CT187" s="12"/>
      <c r="CU187" s="12"/>
      <c r="CV187" s="12"/>
      <c r="CW187" s="12"/>
      <c r="CX187" s="12"/>
      <c r="CY187" s="12"/>
      <c r="CZ187" s="12"/>
      <c r="DA187" s="12"/>
      <c r="DB187" s="12"/>
      <c r="DC187" s="12"/>
      <c r="DD187" s="12"/>
      <c r="DE187" s="12"/>
      <c r="DF187" s="12"/>
      <c r="DG187" s="12"/>
      <c r="DH187" s="12"/>
      <c r="DI187" s="12"/>
      <c r="DJ187" s="12"/>
      <c r="DK187" s="12"/>
      <c r="DL187" s="12"/>
      <c r="DM187" s="12"/>
      <c r="DN187" s="12"/>
      <c r="DO187" s="12"/>
      <c r="DP187" s="12"/>
      <c r="DQ187" s="12"/>
      <c r="DR187" s="12"/>
      <c r="DS187" s="12"/>
      <c r="DT187" s="12"/>
      <c r="DU187" s="12"/>
      <c r="DV187" s="12"/>
      <c r="DW187" s="12"/>
      <c r="DX187" s="12"/>
      <c r="DY187" s="12"/>
      <c r="DZ187" s="12"/>
      <c r="EA187" s="12"/>
      <c r="EB187" s="12"/>
      <c r="EC187" s="12"/>
      <c r="ED187" s="12"/>
      <c r="EE187" s="12"/>
      <c r="EF187" s="12"/>
      <c r="EG187" s="12"/>
      <c r="EH187" s="12"/>
      <c r="EI187" s="12"/>
      <c r="EJ187" s="12"/>
      <c r="EK187" s="12"/>
      <c r="EL187" s="12"/>
      <c r="EM187" s="12"/>
      <c r="EN187" s="12"/>
      <c r="EO187" s="12"/>
      <c r="EP187" s="12"/>
      <c r="EQ187" s="12"/>
      <c r="ER187" s="12"/>
      <c r="ES187" s="12"/>
      <c r="ET187" s="12"/>
      <c r="EU187" s="12"/>
      <c r="EV187" s="12"/>
      <c r="EW187" s="12"/>
      <c r="EX187" s="12"/>
      <c r="EY187" s="12"/>
      <c r="EZ187" s="12"/>
      <c r="FA187" s="12"/>
      <c r="FB187" s="12"/>
      <c r="FC187" s="12"/>
      <c r="FD187" s="12"/>
      <c r="FE187" s="12"/>
      <c r="FF187" s="12"/>
      <c r="FG187" s="12"/>
      <c r="FH187" s="12"/>
      <c r="FI187" s="12"/>
      <c r="FJ187" s="12"/>
      <c r="FK187" s="12"/>
      <c r="FL187" s="12"/>
      <c r="FM187" s="12"/>
      <c r="FN187" s="12"/>
      <c r="FO187" s="12"/>
      <c r="FP187" s="12"/>
      <c r="FQ187" s="12"/>
      <c r="FR187" s="12"/>
      <c r="FS187" s="12"/>
      <c r="FT187" s="12"/>
      <c r="FU187" s="12"/>
      <c r="FV187" s="12"/>
      <c r="FW187" s="12"/>
      <c r="FX187" s="12"/>
      <c r="FY187" s="12"/>
      <c r="FZ187" s="12"/>
      <c r="GA187" s="12"/>
      <c r="GB187" s="12"/>
      <c r="GC187" s="12"/>
      <c r="GD187" s="12"/>
      <c r="GE187" s="12"/>
      <c r="GF187" s="12"/>
      <c r="GG187" s="12"/>
      <c r="GH187" s="12"/>
      <c r="GI187" s="12"/>
      <c r="GJ187" s="12"/>
      <c r="GK187" s="12"/>
      <c r="GL187" s="12"/>
      <c r="GM187" s="12"/>
      <c r="GN187" s="12"/>
      <c r="GO187" s="12"/>
      <c r="GP187" s="12"/>
      <c r="GQ187" s="12"/>
      <c r="GR187" s="12"/>
      <c r="GS187" s="12"/>
      <c r="GT187" s="12"/>
      <c r="GU187" s="12"/>
      <c r="GV187" s="12"/>
      <c r="GW187" s="12"/>
      <c r="GX187" s="12"/>
      <c r="GY187" s="12"/>
      <c r="GZ187" s="12"/>
      <c r="HA187" s="12"/>
      <c r="HB187" s="12"/>
      <c r="HC187" s="12"/>
      <c r="HD187" s="12"/>
      <c r="HE187" s="12"/>
      <c r="HF187" s="12"/>
      <c r="HG187" s="12"/>
      <c r="HH187" s="12"/>
      <c r="HI187" s="12"/>
      <c r="HJ187" s="12"/>
      <c r="HK187" s="12"/>
      <c r="HL187" s="12"/>
      <c r="HM187" s="12"/>
      <c r="HN187" s="12"/>
      <c r="HO187" s="12"/>
      <c r="HP187" s="12"/>
      <c r="HQ187" s="12"/>
      <c r="HR187" s="12"/>
      <c r="HS187" s="12"/>
      <c r="HT187" s="12"/>
      <c r="HU187" s="12"/>
      <c r="HV187" s="12"/>
      <c r="HW187" s="12"/>
      <c r="HX187" s="12"/>
      <c r="HY187" s="12"/>
      <c r="HZ187" s="12"/>
      <c r="IA187" s="12"/>
      <c r="IB187" s="12"/>
      <c r="IC187" s="12"/>
      <c r="ID187" s="12"/>
      <c r="IE187" s="12"/>
      <c r="IF187" s="12"/>
      <c r="IG187" s="12"/>
      <c r="IH187" s="12"/>
      <c r="II187" s="12"/>
      <c r="IJ187" s="12"/>
      <c r="IK187" s="12"/>
      <c r="IL187" s="12"/>
      <c r="IM187" s="12"/>
      <c r="IN187" s="12"/>
      <c r="IO187" s="12"/>
      <c r="IP187" s="12"/>
      <c r="IQ187" s="12"/>
      <c r="IR187" s="12"/>
      <c r="IS187" s="12"/>
      <c r="IT187" s="12"/>
      <c r="IU187" s="12"/>
      <c r="IV187" s="12"/>
      <c r="IW187" s="12"/>
    </row>
    <row r="188" customFormat="false" ht="11.25" hidden="false" customHeight="false" outlineLevel="0" collapsed="false">
      <c r="A188" s="25" t="n">
        <f aca="false">DATE(YEAR(A187),MONTH(A187)+1,1)</f>
        <v>51441</v>
      </c>
      <c r="B188" s="21" t="n">
        <v>2.983</v>
      </c>
      <c r="C188" s="21" t="n">
        <v>3.083</v>
      </c>
      <c r="D188" s="25" t="n">
        <f aca="false">DATE(YEAR(D187),MONTH(D187)+1,1)</f>
        <v>51441</v>
      </c>
      <c r="E188" s="21" t="n">
        <v>20.043</v>
      </c>
      <c r="F188" s="21" t="n">
        <v>21.315</v>
      </c>
      <c r="G188" s="6"/>
      <c r="H188" s="22" t="n">
        <f aca="false">A188</f>
        <v>51441</v>
      </c>
      <c r="I188" s="23" t="n">
        <f aca="false">IF($J$1="bid",B188,C188)</f>
        <v>3.083</v>
      </c>
      <c r="J188" s="24" t="n">
        <f aca="false">D188</f>
        <v>51441</v>
      </c>
      <c r="K188" s="23" t="n">
        <f aca="false">IF($J$1="bid",E188,F188)</f>
        <v>21.315</v>
      </c>
      <c r="L188" s="11"/>
      <c r="M188" s="11"/>
      <c r="N188" s="11"/>
      <c r="O188" s="11"/>
      <c r="P188" s="11"/>
      <c r="Q188" s="11"/>
      <c r="R188" s="11"/>
      <c r="S188" s="11"/>
      <c r="T188" s="11"/>
      <c r="U188" s="11"/>
      <c r="V188" s="11"/>
      <c r="W188" s="11"/>
      <c r="X188" s="11"/>
      <c r="Y188" s="11"/>
      <c r="Z188" s="11"/>
      <c r="AA188" s="11"/>
      <c r="AB188" s="11"/>
      <c r="AC188" s="11"/>
      <c r="AD188" s="11"/>
      <c r="AE188" s="11"/>
      <c r="AF188" s="11"/>
      <c r="AG188" s="11"/>
      <c r="AH188" s="11"/>
      <c r="AI188" s="11"/>
      <c r="AJ188" s="11"/>
      <c r="AK188" s="11"/>
      <c r="AL188" s="11"/>
      <c r="AM188" s="11"/>
      <c r="AN188" s="11"/>
      <c r="AO188" s="11"/>
      <c r="AP188" s="11"/>
      <c r="AQ188" s="11"/>
      <c r="AR188" s="5"/>
      <c r="AS188" s="12"/>
      <c r="AT188" s="12"/>
      <c r="AU188" s="12"/>
      <c r="AV188" s="12"/>
      <c r="AW188" s="12"/>
      <c r="AX188" s="12"/>
      <c r="AY188" s="12"/>
      <c r="AZ188" s="12"/>
      <c r="BA188" s="12"/>
      <c r="BB188" s="12"/>
      <c r="BC188" s="12"/>
      <c r="BD188" s="12"/>
      <c r="BE188" s="12"/>
      <c r="BF188" s="12"/>
      <c r="BG188" s="12"/>
      <c r="BH188" s="12"/>
      <c r="BI188" s="12"/>
      <c r="BJ188" s="12"/>
      <c r="BK188" s="12"/>
      <c r="BL188" s="12"/>
      <c r="BM188" s="12"/>
      <c r="BN188" s="12"/>
      <c r="BO188" s="12"/>
      <c r="BP188" s="12"/>
      <c r="BQ188" s="12"/>
      <c r="BR188" s="12"/>
      <c r="BS188" s="12"/>
      <c r="BT188" s="12"/>
      <c r="BU188" s="12"/>
      <c r="BV188" s="12"/>
      <c r="BW188" s="12"/>
      <c r="BX188" s="12"/>
      <c r="BY188" s="12"/>
      <c r="BZ188" s="12"/>
      <c r="CA188" s="12"/>
      <c r="CB188" s="12"/>
      <c r="CC188" s="12"/>
      <c r="CD188" s="12"/>
      <c r="CE188" s="12"/>
      <c r="CF188" s="12"/>
      <c r="CG188" s="12"/>
      <c r="CH188" s="12"/>
      <c r="CI188" s="12"/>
      <c r="CJ188" s="12"/>
      <c r="CK188" s="12"/>
      <c r="CL188" s="12"/>
      <c r="CM188" s="12"/>
      <c r="CN188" s="12"/>
      <c r="CO188" s="12"/>
      <c r="CP188" s="12"/>
      <c r="CQ188" s="12"/>
      <c r="CR188" s="12"/>
      <c r="CS188" s="12"/>
      <c r="CT188" s="12"/>
      <c r="CU188" s="12"/>
      <c r="CV188" s="12"/>
      <c r="CW188" s="12"/>
      <c r="CX188" s="12"/>
      <c r="CY188" s="12"/>
      <c r="CZ188" s="12"/>
      <c r="DA188" s="12"/>
      <c r="DB188" s="12"/>
      <c r="DC188" s="12"/>
      <c r="DD188" s="12"/>
      <c r="DE188" s="12"/>
      <c r="DF188" s="12"/>
      <c r="DG188" s="12"/>
      <c r="DH188" s="12"/>
      <c r="DI188" s="12"/>
      <c r="DJ188" s="12"/>
      <c r="DK188" s="12"/>
      <c r="DL188" s="12"/>
      <c r="DM188" s="12"/>
      <c r="DN188" s="12"/>
      <c r="DO188" s="12"/>
      <c r="DP188" s="12"/>
      <c r="DQ188" s="12"/>
      <c r="DR188" s="12"/>
      <c r="DS188" s="12"/>
      <c r="DT188" s="12"/>
      <c r="DU188" s="12"/>
      <c r="DV188" s="12"/>
      <c r="DW188" s="12"/>
      <c r="DX188" s="12"/>
      <c r="DY188" s="12"/>
      <c r="DZ188" s="12"/>
      <c r="EA188" s="12"/>
      <c r="EB188" s="12"/>
      <c r="EC188" s="12"/>
      <c r="ED188" s="12"/>
      <c r="EE188" s="12"/>
      <c r="EF188" s="12"/>
      <c r="EG188" s="12"/>
      <c r="EH188" s="12"/>
      <c r="EI188" s="12"/>
      <c r="EJ188" s="12"/>
      <c r="EK188" s="12"/>
      <c r="EL188" s="12"/>
      <c r="EM188" s="12"/>
      <c r="EN188" s="12"/>
      <c r="EO188" s="12"/>
      <c r="EP188" s="12"/>
      <c r="EQ188" s="12"/>
      <c r="ER188" s="12"/>
      <c r="ES188" s="12"/>
      <c r="ET188" s="12"/>
      <c r="EU188" s="12"/>
      <c r="EV188" s="12"/>
      <c r="EW188" s="12"/>
      <c r="EX188" s="12"/>
      <c r="EY188" s="12"/>
      <c r="EZ188" s="12"/>
      <c r="FA188" s="12"/>
      <c r="FB188" s="12"/>
      <c r="FC188" s="12"/>
      <c r="FD188" s="12"/>
      <c r="FE188" s="12"/>
      <c r="FF188" s="12"/>
      <c r="FG188" s="12"/>
      <c r="FH188" s="12"/>
      <c r="FI188" s="12"/>
      <c r="FJ188" s="12"/>
      <c r="FK188" s="12"/>
      <c r="FL188" s="12"/>
      <c r="FM188" s="12"/>
      <c r="FN188" s="12"/>
      <c r="FO188" s="12"/>
      <c r="FP188" s="12"/>
      <c r="FQ188" s="12"/>
      <c r="FR188" s="12"/>
      <c r="FS188" s="12"/>
      <c r="FT188" s="12"/>
      <c r="FU188" s="12"/>
      <c r="FV188" s="12"/>
      <c r="FW188" s="12"/>
      <c r="FX188" s="12"/>
      <c r="FY188" s="12"/>
      <c r="FZ188" s="12"/>
      <c r="GA188" s="12"/>
      <c r="GB188" s="12"/>
      <c r="GC188" s="12"/>
      <c r="GD188" s="12"/>
      <c r="GE188" s="12"/>
      <c r="GF188" s="12"/>
      <c r="GG188" s="12"/>
      <c r="GH188" s="12"/>
      <c r="GI188" s="12"/>
      <c r="GJ188" s="12"/>
      <c r="GK188" s="12"/>
      <c r="GL188" s="12"/>
      <c r="GM188" s="12"/>
      <c r="GN188" s="12"/>
      <c r="GO188" s="12"/>
      <c r="GP188" s="12"/>
      <c r="GQ188" s="12"/>
      <c r="GR188" s="12"/>
      <c r="GS188" s="12"/>
      <c r="GT188" s="12"/>
      <c r="GU188" s="12"/>
      <c r="GV188" s="12"/>
      <c r="GW188" s="12"/>
      <c r="GX188" s="12"/>
      <c r="GY188" s="12"/>
      <c r="GZ188" s="12"/>
      <c r="HA188" s="12"/>
      <c r="HB188" s="12"/>
      <c r="HC188" s="12"/>
      <c r="HD188" s="12"/>
      <c r="HE188" s="12"/>
      <c r="HF188" s="12"/>
      <c r="HG188" s="12"/>
      <c r="HH188" s="12"/>
      <c r="HI188" s="12"/>
      <c r="HJ188" s="12"/>
      <c r="HK188" s="12"/>
      <c r="HL188" s="12"/>
      <c r="HM188" s="12"/>
      <c r="HN188" s="12"/>
      <c r="HO188" s="12"/>
      <c r="HP188" s="12"/>
      <c r="HQ188" s="12"/>
      <c r="HR188" s="12"/>
      <c r="HS188" s="12"/>
      <c r="HT188" s="12"/>
      <c r="HU188" s="12"/>
      <c r="HV188" s="12"/>
      <c r="HW188" s="12"/>
      <c r="HX188" s="12"/>
      <c r="HY188" s="12"/>
      <c r="HZ188" s="12"/>
      <c r="IA188" s="12"/>
      <c r="IB188" s="12"/>
      <c r="IC188" s="12"/>
      <c r="ID188" s="12"/>
      <c r="IE188" s="12"/>
      <c r="IF188" s="12"/>
      <c r="IG188" s="12"/>
      <c r="IH188" s="12"/>
      <c r="II188" s="12"/>
      <c r="IJ188" s="12"/>
      <c r="IK188" s="12"/>
      <c r="IL188" s="12"/>
      <c r="IM188" s="12"/>
      <c r="IN188" s="12"/>
      <c r="IO188" s="12"/>
      <c r="IP188" s="12"/>
      <c r="IQ188" s="12"/>
      <c r="IR188" s="12"/>
      <c r="IS188" s="12"/>
      <c r="IT188" s="12"/>
      <c r="IU188" s="12"/>
      <c r="IV188" s="12"/>
      <c r="IW188" s="12"/>
    </row>
    <row r="189" customFormat="false" ht="11.25" hidden="false" customHeight="false" outlineLevel="0" collapsed="false">
      <c r="A189" s="25" t="n">
        <f aca="false">DATE(YEAR(A188),MONTH(A188)+1,1)</f>
        <v>51471</v>
      </c>
      <c r="B189" s="21" t="n">
        <v>2.898</v>
      </c>
      <c r="C189" s="21" t="n">
        <v>2.998</v>
      </c>
      <c r="D189" s="25" t="n">
        <f aca="false">DATE(YEAR(D188),MONTH(D188)+1,1)</f>
        <v>51471</v>
      </c>
      <c r="E189" s="21" t="n">
        <v>20.059</v>
      </c>
      <c r="F189" s="21" t="n">
        <v>21.339</v>
      </c>
      <c r="G189" s="6"/>
      <c r="H189" s="22" t="n">
        <f aca="false">A189</f>
        <v>51471</v>
      </c>
      <c r="I189" s="23" t="n">
        <f aca="false">IF($J$1="bid",B189,C189)</f>
        <v>2.998</v>
      </c>
      <c r="J189" s="24" t="n">
        <f aca="false">D189</f>
        <v>51471</v>
      </c>
      <c r="K189" s="23" t="n">
        <f aca="false">IF($J$1="bid",E189,F189)</f>
        <v>21.339</v>
      </c>
      <c r="L189" s="11"/>
      <c r="M189" s="11"/>
      <c r="N189" s="11"/>
      <c r="O189" s="11"/>
      <c r="P189" s="11"/>
      <c r="Q189" s="11"/>
      <c r="R189" s="11"/>
      <c r="S189" s="11"/>
      <c r="T189" s="11"/>
      <c r="U189" s="11"/>
      <c r="V189" s="11"/>
      <c r="W189" s="11"/>
      <c r="X189" s="11"/>
      <c r="Y189" s="11"/>
      <c r="Z189" s="11"/>
      <c r="AA189" s="11"/>
      <c r="AB189" s="11"/>
      <c r="AC189" s="11"/>
      <c r="AD189" s="11"/>
      <c r="AE189" s="11"/>
      <c r="AF189" s="11"/>
      <c r="AG189" s="11"/>
      <c r="AH189" s="11"/>
      <c r="AI189" s="11"/>
      <c r="AJ189" s="11"/>
      <c r="AK189" s="11"/>
      <c r="AL189" s="11"/>
      <c r="AM189" s="11"/>
      <c r="AN189" s="11"/>
      <c r="AO189" s="11"/>
      <c r="AP189" s="11"/>
      <c r="AQ189" s="11"/>
      <c r="AR189" s="5"/>
      <c r="AS189" s="12"/>
      <c r="AT189" s="12"/>
      <c r="AU189" s="12"/>
      <c r="AV189" s="12"/>
      <c r="AW189" s="12"/>
      <c r="AX189" s="12"/>
      <c r="AY189" s="12"/>
      <c r="AZ189" s="12"/>
      <c r="BA189" s="12"/>
      <c r="BB189" s="12"/>
      <c r="BC189" s="12"/>
      <c r="BD189" s="12"/>
      <c r="BE189" s="12"/>
      <c r="BF189" s="12"/>
      <c r="BG189" s="12"/>
      <c r="BH189" s="12"/>
      <c r="BI189" s="12"/>
      <c r="BJ189" s="12"/>
      <c r="BK189" s="12"/>
      <c r="BL189" s="12"/>
      <c r="BM189" s="12"/>
      <c r="BN189" s="12"/>
      <c r="BO189" s="12"/>
      <c r="BP189" s="12"/>
      <c r="BQ189" s="12"/>
      <c r="BR189" s="12"/>
      <c r="BS189" s="12"/>
      <c r="BT189" s="12"/>
      <c r="BU189" s="12"/>
      <c r="BV189" s="12"/>
      <c r="BW189" s="12"/>
      <c r="BX189" s="12"/>
      <c r="BY189" s="12"/>
      <c r="BZ189" s="12"/>
      <c r="CA189" s="12"/>
      <c r="CB189" s="12"/>
      <c r="CC189" s="12"/>
      <c r="CD189" s="12"/>
      <c r="CE189" s="12"/>
      <c r="CF189" s="12"/>
      <c r="CG189" s="12"/>
      <c r="CH189" s="12"/>
      <c r="CI189" s="12"/>
      <c r="CJ189" s="12"/>
      <c r="CK189" s="12"/>
      <c r="CL189" s="12"/>
      <c r="CM189" s="12"/>
      <c r="CN189" s="12"/>
      <c r="CO189" s="12"/>
      <c r="CP189" s="12"/>
      <c r="CQ189" s="12"/>
      <c r="CR189" s="12"/>
      <c r="CS189" s="12"/>
      <c r="CT189" s="12"/>
      <c r="CU189" s="12"/>
      <c r="CV189" s="12"/>
      <c r="CW189" s="12"/>
      <c r="CX189" s="12"/>
      <c r="CY189" s="12"/>
      <c r="CZ189" s="12"/>
      <c r="DA189" s="12"/>
      <c r="DB189" s="12"/>
      <c r="DC189" s="12"/>
      <c r="DD189" s="12"/>
      <c r="DE189" s="12"/>
      <c r="DF189" s="12"/>
      <c r="DG189" s="12"/>
      <c r="DH189" s="12"/>
      <c r="DI189" s="12"/>
      <c r="DJ189" s="12"/>
      <c r="DK189" s="12"/>
      <c r="DL189" s="12"/>
      <c r="DM189" s="12"/>
      <c r="DN189" s="12"/>
      <c r="DO189" s="12"/>
      <c r="DP189" s="12"/>
      <c r="DQ189" s="12"/>
      <c r="DR189" s="12"/>
      <c r="DS189" s="12"/>
      <c r="DT189" s="12"/>
      <c r="DU189" s="12"/>
      <c r="DV189" s="12"/>
      <c r="DW189" s="12"/>
      <c r="DX189" s="12"/>
      <c r="DY189" s="12"/>
      <c r="DZ189" s="12"/>
      <c r="EA189" s="12"/>
      <c r="EB189" s="12"/>
      <c r="EC189" s="12"/>
      <c r="ED189" s="12"/>
      <c r="EE189" s="12"/>
      <c r="EF189" s="12"/>
      <c r="EG189" s="12"/>
      <c r="EH189" s="12"/>
      <c r="EI189" s="12"/>
      <c r="EJ189" s="12"/>
      <c r="EK189" s="12"/>
      <c r="EL189" s="12"/>
      <c r="EM189" s="12"/>
      <c r="EN189" s="12"/>
      <c r="EO189" s="12"/>
      <c r="EP189" s="12"/>
      <c r="EQ189" s="12"/>
      <c r="ER189" s="12"/>
      <c r="ES189" s="12"/>
      <c r="ET189" s="12"/>
      <c r="EU189" s="12"/>
      <c r="EV189" s="12"/>
      <c r="EW189" s="12"/>
      <c r="EX189" s="12"/>
      <c r="EY189" s="12"/>
      <c r="EZ189" s="12"/>
      <c r="FA189" s="12"/>
      <c r="FB189" s="12"/>
      <c r="FC189" s="12"/>
      <c r="FD189" s="12"/>
      <c r="FE189" s="12"/>
      <c r="FF189" s="12"/>
      <c r="FG189" s="12"/>
      <c r="FH189" s="12"/>
      <c r="FI189" s="12"/>
      <c r="FJ189" s="12"/>
      <c r="FK189" s="12"/>
      <c r="FL189" s="12"/>
      <c r="FM189" s="12"/>
      <c r="FN189" s="12"/>
      <c r="FO189" s="12"/>
      <c r="FP189" s="12"/>
      <c r="FQ189" s="12"/>
      <c r="FR189" s="12"/>
      <c r="FS189" s="12"/>
      <c r="FT189" s="12"/>
      <c r="FU189" s="12"/>
      <c r="FV189" s="12"/>
      <c r="FW189" s="12"/>
      <c r="FX189" s="12"/>
      <c r="FY189" s="12"/>
      <c r="FZ189" s="12"/>
      <c r="GA189" s="12"/>
      <c r="GB189" s="12"/>
      <c r="GC189" s="12"/>
      <c r="GD189" s="12"/>
      <c r="GE189" s="12"/>
      <c r="GF189" s="12"/>
      <c r="GG189" s="12"/>
      <c r="GH189" s="12"/>
      <c r="GI189" s="12"/>
      <c r="GJ189" s="12"/>
      <c r="GK189" s="12"/>
      <c r="GL189" s="12"/>
      <c r="GM189" s="12"/>
      <c r="GN189" s="12"/>
      <c r="GO189" s="12"/>
      <c r="GP189" s="12"/>
      <c r="GQ189" s="12"/>
      <c r="GR189" s="12"/>
      <c r="GS189" s="12"/>
      <c r="GT189" s="12"/>
      <c r="GU189" s="12"/>
      <c r="GV189" s="12"/>
      <c r="GW189" s="12"/>
      <c r="GX189" s="12"/>
      <c r="GY189" s="12"/>
      <c r="GZ189" s="12"/>
      <c r="HA189" s="12"/>
      <c r="HB189" s="12"/>
      <c r="HC189" s="12"/>
      <c r="HD189" s="12"/>
      <c r="HE189" s="12"/>
      <c r="HF189" s="12"/>
      <c r="HG189" s="12"/>
      <c r="HH189" s="12"/>
      <c r="HI189" s="12"/>
      <c r="HJ189" s="12"/>
      <c r="HK189" s="12"/>
      <c r="HL189" s="12"/>
      <c r="HM189" s="12"/>
      <c r="HN189" s="12"/>
      <c r="HO189" s="12"/>
      <c r="HP189" s="12"/>
      <c r="HQ189" s="12"/>
      <c r="HR189" s="12"/>
      <c r="HS189" s="12"/>
      <c r="HT189" s="12"/>
      <c r="HU189" s="12"/>
      <c r="HV189" s="12"/>
      <c r="HW189" s="12"/>
      <c r="HX189" s="12"/>
      <c r="HY189" s="12"/>
      <c r="HZ189" s="12"/>
      <c r="IA189" s="12"/>
      <c r="IB189" s="12"/>
      <c r="IC189" s="12"/>
      <c r="ID189" s="12"/>
      <c r="IE189" s="12"/>
      <c r="IF189" s="12"/>
      <c r="IG189" s="12"/>
      <c r="IH189" s="12"/>
      <c r="II189" s="12"/>
      <c r="IJ189" s="12"/>
      <c r="IK189" s="12"/>
      <c r="IL189" s="12"/>
      <c r="IM189" s="12"/>
      <c r="IN189" s="12"/>
      <c r="IO189" s="12"/>
      <c r="IP189" s="12"/>
      <c r="IQ189" s="12"/>
      <c r="IR189" s="12"/>
      <c r="IS189" s="12"/>
      <c r="IT189" s="12"/>
      <c r="IU189" s="12"/>
      <c r="IV189" s="12"/>
      <c r="IW189" s="12"/>
    </row>
    <row r="190" customFormat="false" ht="11.25" hidden="false" customHeight="false" outlineLevel="0" collapsed="false">
      <c r="A190" s="25" t="n">
        <f aca="false">DATE(YEAR(A189),MONTH(A189)+1,1)</f>
        <v>51502</v>
      </c>
      <c r="B190" s="21" t="n">
        <v>2.832</v>
      </c>
      <c r="C190" s="21" t="n">
        <v>2.932</v>
      </c>
      <c r="D190" s="25" t="n">
        <f aca="false">DATE(YEAR(D189),MONTH(D189)+1,1)</f>
        <v>51502</v>
      </c>
      <c r="E190" s="21" t="n">
        <v>20.076</v>
      </c>
      <c r="F190" s="21" t="n">
        <v>21.365</v>
      </c>
      <c r="G190" s="6"/>
      <c r="H190" s="22" t="n">
        <f aca="false">A190</f>
        <v>51502</v>
      </c>
      <c r="I190" s="23" t="n">
        <f aca="false">IF($J$1="bid",B190,C190)</f>
        <v>2.932</v>
      </c>
      <c r="J190" s="24" t="n">
        <f aca="false">D190</f>
        <v>51502</v>
      </c>
      <c r="K190" s="23" t="n">
        <f aca="false">IF($J$1="bid",E190,F190)</f>
        <v>21.365</v>
      </c>
      <c r="L190" s="11"/>
      <c r="M190" s="11"/>
      <c r="N190" s="11"/>
      <c r="O190" s="11"/>
      <c r="P190" s="11"/>
      <c r="Q190" s="11"/>
      <c r="R190" s="11"/>
      <c r="S190" s="11"/>
      <c r="T190" s="11"/>
      <c r="U190" s="11"/>
      <c r="V190" s="11"/>
      <c r="W190" s="11"/>
      <c r="X190" s="11"/>
      <c r="Y190" s="11"/>
      <c r="Z190" s="11"/>
      <c r="AA190" s="11"/>
      <c r="AB190" s="11"/>
      <c r="AC190" s="11"/>
      <c r="AD190" s="11"/>
      <c r="AE190" s="11"/>
      <c r="AF190" s="11"/>
      <c r="AG190" s="11"/>
      <c r="AH190" s="11"/>
      <c r="AI190" s="11"/>
      <c r="AJ190" s="11"/>
      <c r="AK190" s="11"/>
      <c r="AL190" s="11"/>
      <c r="AM190" s="11"/>
      <c r="AN190" s="11"/>
      <c r="AO190" s="11"/>
      <c r="AP190" s="11"/>
      <c r="AQ190" s="11"/>
      <c r="AR190" s="5"/>
      <c r="AS190" s="12"/>
      <c r="AT190" s="12"/>
      <c r="AU190" s="12"/>
      <c r="AV190" s="12"/>
      <c r="AW190" s="12"/>
      <c r="AX190" s="12"/>
      <c r="AY190" s="12"/>
      <c r="AZ190" s="12"/>
      <c r="BA190" s="12"/>
      <c r="BB190" s="12"/>
      <c r="BC190" s="12"/>
      <c r="BD190" s="12"/>
      <c r="BE190" s="12"/>
      <c r="BF190" s="12"/>
      <c r="BG190" s="12"/>
      <c r="BH190" s="12"/>
      <c r="BI190" s="12"/>
      <c r="BJ190" s="12"/>
      <c r="BK190" s="12"/>
      <c r="BL190" s="12"/>
      <c r="BM190" s="12"/>
      <c r="BN190" s="12"/>
      <c r="BO190" s="12"/>
      <c r="BP190" s="12"/>
      <c r="BQ190" s="12"/>
      <c r="BR190" s="12"/>
      <c r="BS190" s="12"/>
      <c r="BT190" s="12"/>
      <c r="BU190" s="12"/>
      <c r="BV190" s="12"/>
      <c r="BW190" s="12"/>
      <c r="BX190" s="12"/>
      <c r="BY190" s="12"/>
      <c r="BZ190" s="12"/>
      <c r="CA190" s="12"/>
      <c r="CB190" s="12"/>
      <c r="CC190" s="12"/>
      <c r="CD190" s="12"/>
      <c r="CE190" s="12"/>
      <c r="CF190" s="12"/>
      <c r="CG190" s="12"/>
      <c r="CH190" s="12"/>
      <c r="CI190" s="12"/>
      <c r="CJ190" s="12"/>
      <c r="CK190" s="12"/>
      <c r="CL190" s="12"/>
      <c r="CM190" s="12"/>
      <c r="CN190" s="12"/>
      <c r="CO190" s="12"/>
      <c r="CP190" s="12"/>
      <c r="CQ190" s="12"/>
      <c r="CR190" s="12"/>
      <c r="CS190" s="12"/>
      <c r="CT190" s="12"/>
      <c r="CU190" s="12"/>
      <c r="CV190" s="12"/>
      <c r="CW190" s="12"/>
      <c r="CX190" s="12"/>
      <c r="CY190" s="12"/>
      <c r="CZ190" s="12"/>
      <c r="DA190" s="12"/>
      <c r="DB190" s="12"/>
      <c r="DC190" s="12"/>
      <c r="DD190" s="12"/>
      <c r="DE190" s="12"/>
      <c r="DF190" s="12"/>
      <c r="DG190" s="12"/>
      <c r="DH190" s="12"/>
      <c r="DI190" s="12"/>
      <c r="DJ190" s="12"/>
      <c r="DK190" s="12"/>
      <c r="DL190" s="12"/>
      <c r="DM190" s="12"/>
      <c r="DN190" s="12"/>
      <c r="DO190" s="12"/>
      <c r="DP190" s="12"/>
      <c r="DQ190" s="12"/>
      <c r="DR190" s="12"/>
      <c r="DS190" s="12"/>
      <c r="DT190" s="12"/>
      <c r="DU190" s="12"/>
      <c r="DV190" s="12"/>
      <c r="DW190" s="12"/>
      <c r="DX190" s="12"/>
      <c r="DY190" s="12"/>
      <c r="DZ190" s="12"/>
      <c r="EA190" s="12"/>
      <c r="EB190" s="12"/>
      <c r="EC190" s="12"/>
      <c r="ED190" s="12"/>
      <c r="EE190" s="12"/>
      <c r="EF190" s="12"/>
      <c r="EG190" s="12"/>
      <c r="EH190" s="12"/>
      <c r="EI190" s="12"/>
      <c r="EJ190" s="12"/>
      <c r="EK190" s="12"/>
      <c r="EL190" s="12"/>
      <c r="EM190" s="12"/>
      <c r="EN190" s="12"/>
      <c r="EO190" s="12"/>
      <c r="EP190" s="12"/>
      <c r="EQ190" s="12"/>
      <c r="ER190" s="12"/>
      <c r="ES190" s="12"/>
      <c r="ET190" s="12"/>
      <c r="EU190" s="12"/>
      <c r="EV190" s="12"/>
      <c r="EW190" s="12"/>
      <c r="EX190" s="12"/>
      <c r="EY190" s="12"/>
      <c r="EZ190" s="12"/>
      <c r="FA190" s="12"/>
      <c r="FB190" s="12"/>
      <c r="FC190" s="12"/>
      <c r="FD190" s="12"/>
      <c r="FE190" s="12"/>
      <c r="FF190" s="12"/>
      <c r="FG190" s="12"/>
      <c r="FH190" s="12"/>
      <c r="FI190" s="12"/>
      <c r="FJ190" s="12"/>
      <c r="FK190" s="12"/>
      <c r="FL190" s="12"/>
      <c r="FM190" s="12"/>
      <c r="FN190" s="12"/>
      <c r="FO190" s="12"/>
      <c r="FP190" s="12"/>
      <c r="FQ190" s="12"/>
      <c r="FR190" s="12"/>
      <c r="FS190" s="12"/>
      <c r="FT190" s="12"/>
      <c r="FU190" s="12"/>
      <c r="FV190" s="12"/>
      <c r="FW190" s="12"/>
      <c r="FX190" s="12"/>
      <c r="FY190" s="12"/>
      <c r="FZ190" s="12"/>
      <c r="GA190" s="12"/>
      <c r="GB190" s="12"/>
      <c r="GC190" s="12"/>
      <c r="GD190" s="12"/>
      <c r="GE190" s="12"/>
      <c r="GF190" s="12"/>
      <c r="GG190" s="12"/>
      <c r="GH190" s="12"/>
      <c r="GI190" s="12"/>
      <c r="GJ190" s="12"/>
      <c r="GK190" s="12"/>
      <c r="GL190" s="12"/>
      <c r="GM190" s="12"/>
      <c r="GN190" s="12"/>
      <c r="GO190" s="12"/>
      <c r="GP190" s="12"/>
      <c r="GQ190" s="12"/>
      <c r="GR190" s="12"/>
      <c r="GS190" s="12"/>
      <c r="GT190" s="12"/>
      <c r="GU190" s="12"/>
      <c r="GV190" s="12"/>
      <c r="GW190" s="12"/>
      <c r="GX190" s="12"/>
      <c r="GY190" s="12"/>
      <c r="GZ190" s="12"/>
      <c r="HA190" s="12"/>
      <c r="HB190" s="12"/>
      <c r="HC190" s="12"/>
      <c r="HD190" s="12"/>
      <c r="HE190" s="12"/>
      <c r="HF190" s="12"/>
      <c r="HG190" s="12"/>
      <c r="HH190" s="12"/>
      <c r="HI190" s="12"/>
      <c r="HJ190" s="12"/>
      <c r="HK190" s="12"/>
      <c r="HL190" s="12"/>
      <c r="HM190" s="12"/>
      <c r="HN190" s="12"/>
      <c r="HO190" s="12"/>
      <c r="HP190" s="12"/>
      <c r="HQ190" s="12"/>
      <c r="HR190" s="12"/>
      <c r="HS190" s="12"/>
      <c r="HT190" s="12"/>
      <c r="HU190" s="12"/>
      <c r="HV190" s="12"/>
      <c r="HW190" s="12"/>
      <c r="HX190" s="12"/>
      <c r="HY190" s="12"/>
      <c r="HZ190" s="12"/>
      <c r="IA190" s="12"/>
      <c r="IB190" s="12"/>
      <c r="IC190" s="12"/>
      <c r="ID190" s="12"/>
      <c r="IE190" s="12"/>
      <c r="IF190" s="12"/>
      <c r="IG190" s="12"/>
      <c r="IH190" s="12"/>
      <c r="II190" s="12"/>
      <c r="IJ190" s="12"/>
      <c r="IK190" s="12"/>
      <c r="IL190" s="12"/>
      <c r="IM190" s="12"/>
      <c r="IN190" s="12"/>
      <c r="IO190" s="12"/>
      <c r="IP190" s="12"/>
      <c r="IQ190" s="12"/>
      <c r="IR190" s="12"/>
      <c r="IS190" s="12"/>
      <c r="IT190" s="12"/>
      <c r="IU190" s="12"/>
      <c r="IV190" s="12"/>
      <c r="IW190" s="12"/>
    </row>
    <row r="191" customFormat="false" ht="11.25" hidden="false" customHeight="false" outlineLevel="0" collapsed="false">
      <c r="A191" s="25" t="n">
        <f aca="false">DATE(YEAR(A190),MONTH(A190)+1,1)</f>
        <v>51533</v>
      </c>
      <c r="B191" s="21" t="n">
        <v>2.783</v>
      </c>
      <c r="C191" s="21" t="n">
        <v>2.883</v>
      </c>
      <c r="D191" s="25" t="n">
        <f aca="false">DATE(YEAR(D190),MONTH(D190)+1,1)</f>
        <v>51533</v>
      </c>
      <c r="E191" s="21" t="n">
        <v>20.093</v>
      </c>
      <c r="F191" s="21" t="n">
        <v>21.389</v>
      </c>
      <c r="G191" s="6"/>
      <c r="H191" s="22" t="n">
        <f aca="false">A191</f>
        <v>51533</v>
      </c>
      <c r="I191" s="23" t="n">
        <f aca="false">IF($J$1="bid",B191,C191)</f>
        <v>2.883</v>
      </c>
      <c r="J191" s="24" t="n">
        <f aca="false">D191</f>
        <v>51533</v>
      </c>
      <c r="K191" s="23" t="n">
        <f aca="false">IF($J$1="bid",E191,F191)</f>
        <v>21.389</v>
      </c>
      <c r="L191" s="11"/>
      <c r="M191" s="11"/>
      <c r="N191" s="11"/>
      <c r="O191" s="11"/>
      <c r="P191" s="11"/>
      <c r="Q191" s="11"/>
      <c r="R191" s="11"/>
      <c r="S191" s="11"/>
      <c r="T191" s="11"/>
      <c r="U191" s="11"/>
      <c r="V191" s="11"/>
      <c r="W191" s="11"/>
      <c r="X191" s="11"/>
      <c r="Y191" s="11"/>
      <c r="Z191" s="11"/>
      <c r="AA191" s="11"/>
      <c r="AB191" s="11"/>
      <c r="AC191" s="11"/>
      <c r="AD191" s="11"/>
      <c r="AE191" s="11"/>
      <c r="AF191" s="11"/>
      <c r="AG191" s="11"/>
      <c r="AH191" s="11"/>
      <c r="AI191" s="11"/>
      <c r="AJ191" s="11"/>
      <c r="AK191" s="11"/>
      <c r="AL191" s="11"/>
      <c r="AM191" s="11"/>
      <c r="AN191" s="11"/>
      <c r="AO191" s="11"/>
      <c r="AP191" s="11"/>
      <c r="AQ191" s="11"/>
      <c r="AR191" s="5"/>
      <c r="AS191" s="12"/>
      <c r="AT191" s="12"/>
      <c r="AU191" s="12"/>
      <c r="AV191" s="12"/>
      <c r="AW191" s="12"/>
      <c r="AX191" s="12"/>
      <c r="AY191" s="12"/>
      <c r="AZ191" s="12"/>
      <c r="BA191" s="12"/>
      <c r="BB191" s="12"/>
      <c r="BC191" s="12"/>
      <c r="BD191" s="12"/>
      <c r="BE191" s="12"/>
      <c r="BF191" s="12"/>
      <c r="BG191" s="12"/>
      <c r="BH191" s="12"/>
      <c r="BI191" s="12"/>
      <c r="BJ191" s="12"/>
      <c r="BK191" s="12"/>
      <c r="BL191" s="12"/>
      <c r="BM191" s="12"/>
      <c r="BN191" s="12"/>
      <c r="BO191" s="12"/>
      <c r="BP191" s="12"/>
      <c r="BQ191" s="12"/>
      <c r="BR191" s="12"/>
      <c r="BS191" s="12"/>
      <c r="BT191" s="12"/>
      <c r="BU191" s="12"/>
      <c r="BV191" s="12"/>
      <c r="BW191" s="12"/>
      <c r="BX191" s="12"/>
      <c r="BY191" s="12"/>
      <c r="BZ191" s="12"/>
      <c r="CA191" s="12"/>
      <c r="CB191" s="12"/>
      <c r="CC191" s="12"/>
      <c r="CD191" s="12"/>
      <c r="CE191" s="12"/>
      <c r="CF191" s="12"/>
      <c r="CG191" s="12"/>
      <c r="CH191" s="12"/>
      <c r="CI191" s="12"/>
      <c r="CJ191" s="12"/>
      <c r="CK191" s="12"/>
      <c r="CL191" s="12"/>
      <c r="CM191" s="12"/>
      <c r="CN191" s="12"/>
      <c r="CO191" s="12"/>
      <c r="CP191" s="12"/>
      <c r="CQ191" s="12"/>
      <c r="CR191" s="12"/>
      <c r="CS191" s="12"/>
      <c r="CT191" s="12"/>
      <c r="CU191" s="12"/>
      <c r="CV191" s="12"/>
      <c r="CW191" s="12"/>
      <c r="CX191" s="12"/>
      <c r="CY191" s="12"/>
      <c r="CZ191" s="12"/>
      <c r="DA191" s="12"/>
      <c r="DB191" s="12"/>
      <c r="DC191" s="12"/>
      <c r="DD191" s="12"/>
      <c r="DE191" s="12"/>
      <c r="DF191" s="12"/>
      <c r="DG191" s="12"/>
      <c r="DH191" s="12"/>
      <c r="DI191" s="12"/>
      <c r="DJ191" s="12"/>
      <c r="DK191" s="12"/>
      <c r="DL191" s="12"/>
      <c r="DM191" s="12"/>
      <c r="DN191" s="12"/>
      <c r="DO191" s="12"/>
      <c r="DP191" s="12"/>
      <c r="DQ191" s="12"/>
      <c r="DR191" s="12"/>
      <c r="DS191" s="12"/>
      <c r="DT191" s="12"/>
      <c r="DU191" s="12"/>
      <c r="DV191" s="12"/>
      <c r="DW191" s="12"/>
      <c r="DX191" s="12"/>
      <c r="DY191" s="12"/>
      <c r="DZ191" s="12"/>
      <c r="EA191" s="12"/>
      <c r="EB191" s="12"/>
      <c r="EC191" s="12"/>
      <c r="ED191" s="12"/>
      <c r="EE191" s="12"/>
      <c r="EF191" s="12"/>
      <c r="EG191" s="12"/>
      <c r="EH191" s="12"/>
      <c r="EI191" s="12"/>
      <c r="EJ191" s="12"/>
      <c r="EK191" s="12"/>
      <c r="EL191" s="12"/>
      <c r="EM191" s="12"/>
      <c r="EN191" s="12"/>
      <c r="EO191" s="12"/>
      <c r="EP191" s="12"/>
      <c r="EQ191" s="12"/>
      <c r="ER191" s="12"/>
      <c r="ES191" s="12"/>
      <c r="ET191" s="12"/>
      <c r="EU191" s="12"/>
      <c r="EV191" s="12"/>
      <c r="EW191" s="12"/>
      <c r="EX191" s="12"/>
      <c r="EY191" s="12"/>
      <c r="EZ191" s="12"/>
      <c r="FA191" s="12"/>
      <c r="FB191" s="12"/>
      <c r="FC191" s="12"/>
      <c r="FD191" s="12"/>
      <c r="FE191" s="12"/>
      <c r="FF191" s="12"/>
      <c r="FG191" s="12"/>
      <c r="FH191" s="12"/>
      <c r="FI191" s="12"/>
      <c r="FJ191" s="12"/>
      <c r="FK191" s="12"/>
      <c r="FL191" s="12"/>
      <c r="FM191" s="12"/>
      <c r="FN191" s="12"/>
      <c r="FO191" s="12"/>
      <c r="FP191" s="12"/>
      <c r="FQ191" s="12"/>
      <c r="FR191" s="12"/>
      <c r="FS191" s="12"/>
      <c r="FT191" s="12"/>
      <c r="FU191" s="12"/>
      <c r="FV191" s="12"/>
      <c r="FW191" s="12"/>
      <c r="FX191" s="12"/>
      <c r="FY191" s="12"/>
      <c r="FZ191" s="12"/>
      <c r="GA191" s="12"/>
      <c r="GB191" s="12"/>
      <c r="GC191" s="12"/>
      <c r="GD191" s="12"/>
      <c r="GE191" s="12"/>
      <c r="GF191" s="12"/>
      <c r="GG191" s="12"/>
      <c r="GH191" s="12"/>
      <c r="GI191" s="12"/>
      <c r="GJ191" s="12"/>
      <c r="GK191" s="12"/>
      <c r="GL191" s="12"/>
      <c r="GM191" s="12"/>
      <c r="GN191" s="12"/>
      <c r="GO191" s="12"/>
      <c r="GP191" s="12"/>
      <c r="GQ191" s="12"/>
      <c r="GR191" s="12"/>
      <c r="GS191" s="12"/>
      <c r="GT191" s="12"/>
      <c r="GU191" s="12"/>
      <c r="GV191" s="12"/>
      <c r="GW191" s="12"/>
      <c r="GX191" s="12"/>
      <c r="GY191" s="12"/>
      <c r="GZ191" s="12"/>
      <c r="HA191" s="12"/>
      <c r="HB191" s="12"/>
      <c r="HC191" s="12"/>
      <c r="HD191" s="12"/>
      <c r="HE191" s="12"/>
      <c r="HF191" s="12"/>
      <c r="HG191" s="12"/>
      <c r="HH191" s="12"/>
      <c r="HI191" s="12"/>
      <c r="HJ191" s="12"/>
      <c r="HK191" s="12"/>
      <c r="HL191" s="12"/>
      <c r="HM191" s="12"/>
      <c r="HN191" s="12"/>
      <c r="HO191" s="12"/>
      <c r="HP191" s="12"/>
      <c r="HQ191" s="12"/>
      <c r="HR191" s="12"/>
      <c r="HS191" s="12"/>
      <c r="HT191" s="12"/>
      <c r="HU191" s="12"/>
      <c r="HV191" s="12"/>
      <c r="HW191" s="12"/>
      <c r="HX191" s="12"/>
      <c r="HY191" s="12"/>
      <c r="HZ191" s="12"/>
      <c r="IA191" s="12"/>
      <c r="IB191" s="12"/>
      <c r="IC191" s="12"/>
      <c r="ID191" s="12"/>
      <c r="IE191" s="12"/>
      <c r="IF191" s="12"/>
      <c r="IG191" s="12"/>
      <c r="IH191" s="12"/>
      <c r="II191" s="12"/>
      <c r="IJ191" s="12"/>
      <c r="IK191" s="12"/>
      <c r="IL191" s="12"/>
      <c r="IM191" s="12"/>
      <c r="IN191" s="12"/>
      <c r="IO191" s="12"/>
      <c r="IP191" s="12"/>
      <c r="IQ191" s="12"/>
      <c r="IR191" s="12"/>
      <c r="IS191" s="12"/>
      <c r="IT191" s="12"/>
      <c r="IU191" s="12"/>
      <c r="IV191" s="12"/>
      <c r="IW191" s="12"/>
    </row>
    <row r="192" customFormat="false" ht="11.25" hidden="false" customHeight="false" outlineLevel="0" collapsed="false">
      <c r="A192" s="25" t="n">
        <f aca="false">DATE(YEAR(A191),MONTH(A191)+1,1)</f>
        <v>51561</v>
      </c>
      <c r="B192" s="21" t="n">
        <v>2.77</v>
      </c>
      <c r="C192" s="21" t="n">
        <v>2.87</v>
      </c>
      <c r="D192" s="25" t="n">
        <f aca="false">DATE(YEAR(D191),MONTH(D191)+1,1)</f>
        <v>51561</v>
      </c>
      <c r="E192" s="21" t="n">
        <v>20.109</v>
      </c>
      <c r="F192" s="21" t="n">
        <v>21.413</v>
      </c>
      <c r="G192" s="6"/>
      <c r="H192" s="22" t="n">
        <f aca="false">A192</f>
        <v>51561</v>
      </c>
      <c r="I192" s="23" t="n">
        <f aca="false">IF($J$1="bid",B192,C192)</f>
        <v>2.87</v>
      </c>
      <c r="J192" s="24" t="n">
        <f aca="false">D192</f>
        <v>51561</v>
      </c>
      <c r="K192" s="23" t="n">
        <f aca="false">IF($J$1="bid",E192,F192)</f>
        <v>21.413</v>
      </c>
      <c r="L192" s="11"/>
      <c r="M192" s="11"/>
      <c r="N192" s="11"/>
      <c r="O192" s="11"/>
      <c r="P192" s="11"/>
      <c r="Q192" s="11"/>
      <c r="R192" s="11"/>
      <c r="S192" s="11"/>
      <c r="T192" s="11"/>
      <c r="U192" s="11"/>
      <c r="V192" s="11"/>
      <c r="W192" s="11"/>
      <c r="X192" s="11"/>
      <c r="Y192" s="11"/>
      <c r="Z192" s="11"/>
      <c r="AA192" s="11"/>
      <c r="AB192" s="11"/>
      <c r="AC192" s="11"/>
      <c r="AD192" s="11"/>
      <c r="AE192" s="11"/>
      <c r="AF192" s="11"/>
      <c r="AG192" s="11"/>
      <c r="AH192" s="11"/>
      <c r="AI192" s="11"/>
      <c r="AJ192" s="11"/>
      <c r="AK192" s="11"/>
      <c r="AL192" s="11"/>
      <c r="AM192" s="11"/>
      <c r="AN192" s="11"/>
      <c r="AO192" s="11"/>
      <c r="AP192" s="11"/>
      <c r="AQ192" s="11"/>
      <c r="AR192" s="5"/>
      <c r="AS192" s="12"/>
      <c r="AT192" s="12"/>
      <c r="AU192" s="12"/>
      <c r="AV192" s="12"/>
      <c r="AW192" s="12"/>
      <c r="AX192" s="12"/>
      <c r="AY192" s="12"/>
      <c r="AZ192" s="12"/>
      <c r="BA192" s="12"/>
      <c r="BB192" s="12"/>
      <c r="BC192" s="12"/>
      <c r="BD192" s="12"/>
      <c r="BE192" s="12"/>
      <c r="BF192" s="12"/>
      <c r="BG192" s="12"/>
      <c r="BH192" s="12"/>
      <c r="BI192" s="12"/>
      <c r="BJ192" s="12"/>
      <c r="BK192" s="12"/>
      <c r="BL192" s="12"/>
      <c r="BM192" s="12"/>
      <c r="BN192" s="12"/>
      <c r="BO192" s="12"/>
      <c r="BP192" s="12"/>
      <c r="BQ192" s="12"/>
      <c r="BR192" s="12"/>
      <c r="BS192" s="12"/>
      <c r="BT192" s="12"/>
      <c r="BU192" s="12"/>
      <c r="BV192" s="12"/>
      <c r="BW192" s="12"/>
      <c r="BX192" s="12"/>
      <c r="BY192" s="12"/>
      <c r="BZ192" s="12"/>
      <c r="CA192" s="12"/>
      <c r="CB192" s="12"/>
      <c r="CC192" s="12"/>
      <c r="CD192" s="12"/>
      <c r="CE192" s="12"/>
      <c r="CF192" s="12"/>
      <c r="CG192" s="12"/>
      <c r="CH192" s="12"/>
      <c r="CI192" s="12"/>
      <c r="CJ192" s="12"/>
      <c r="CK192" s="12"/>
      <c r="CL192" s="12"/>
      <c r="CM192" s="12"/>
      <c r="CN192" s="12"/>
      <c r="CO192" s="12"/>
      <c r="CP192" s="12"/>
      <c r="CQ192" s="12"/>
      <c r="CR192" s="12"/>
      <c r="CS192" s="12"/>
      <c r="CT192" s="12"/>
      <c r="CU192" s="12"/>
      <c r="CV192" s="12"/>
      <c r="CW192" s="12"/>
      <c r="CX192" s="12"/>
      <c r="CY192" s="12"/>
      <c r="CZ192" s="12"/>
      <c r="DA192" s="12"/>
      <c r="DB192" s="12"/>
      <c r="DC192" s="12"/>
      <c r="DD192" s="12"/>
      <c r="DE192" s="12"/>
      <c r="DF192" s="12"/>
      <c r="DG192" s="12"/>
      <c r="DH192" s="12"/>
      <c r="DI192" s="12"/>
      <c r="DJ192" s="12"/>
      <c r="DK192" s="12"/>
      <c r="DL192" s="12"/>
      <c r="DM192" s="12"/>
      <c r="DN192" s="12"/>
      <c r="DO192" s="12"/>
      <c r="DP192" s="12"/>
      <c r="DQ192" s="12"/>
      <c r="DR192" s="12"/>
      <c r="DS192" s="12"/>
      <c r="DT192" s="12"/>
      <c r="DU192" s="12"/>
      <c r="DV192" s="12"/>
      <c r="DW192" s="12"/>
      <c r="DX192" s="12"/>
      <c r="DY192" s="12"/>
      <c r="DZ192" s="12"/>
      <c r="EA192" s="12"/>
      <c r="EB192" s="12"/>
      <c r="EC192" s="12"/>
      <c r="ED192" s="12"/>
      <c r="EE192" s="12"/>
      <c r="EF192" s="12"/>
      <c r="EG192" s="12"/>
      <c r="EH192" s="12"/>
      <c r="EI192" s="12"/>
      <c r="EJ192" s="12"/>
      <c r="EK192" s="12"/>
      <c r="EL192" s="12"/>
      <c r="EM192" s="12"/>
      <c r="EN192" s="12"/>
      <c r="EO192" s="12"/>
      <c r="EP192" s="12"/>
      <c r="EQ192" s="12"/>
      <c r="ER192" s="12"/>
      <c r="ES192" s="12"/>
      <c r="ET192" s="12"/>
      <c r="EU192" s="12"/>
      <c r="EV192" s="12"/>
      <c r="EW192" s="12"/>
      <c r="EX192" s="12"/>
      <c r="EY192" s="12"/>
      <c r="EZ192" s="12"/>
      <c r="FA192" s="12"/>
      <c r="FB192" s="12"/>
      <c r="FC192" s="12"/>
      <c r="FD192" s="12"/>
      <c r="FE192" s="12"/>
      <c r="FF192" s="12"/>
      <c r="FG192" s="12"/>
      <c r="FH192" s="12"/>
      <c r="FI192" s="12"/>
      <c r="FJ192" s="12"/>
      <c r="FK192" s="12"/>
      <c r="FL192" s="12"/>
      <c r="FM192" s="12"/>
      <c r="FN192" s="12"/>
      <c r="FO192" s="12"/>
      <c r="FP192" s="12"/>
      <c r="FQ192" s="12"/>
      <c r="FR192" s="12"/>
      <c r="FS192" s="12"/>
      <c r="FT192" s="12"/>
      <c r="FU192" s="12"/>
      <c r="FV192" s="12"/>
      <c r="FW192" s="12"/>
      <c r="FX192" s="12"/>
      <c r="FY192" s="12"/>
      <c r="FZ192" s="12"/>
      <c r="GA192" s="12"/>
      <c r="GB192" s="12"/>
      <c r="GC192" s="12"/>
      <c r="GD192" s="12"/>
      <c r="GE192" s="12"/>
      <c r="GF192" s="12"/>
      <c r="GG192" s="12"/>
      <c r="GH192" s="12"/>
      <c r="GI192" s="12"/>
      <c r="GJ192" s="12"/>
      <c r="GK192" s="12"/>
      <c r="GL192" s="12"/>
      <c r="GM192" s="12"/>
      <c r="GN192" s="12"/>
      <c r="GO192" s="12"/>
      <c r="GP192" s="12"/>
      <c r="GQ192" s="12"/>
      <c r="GR192" s="12"/>
      <c r="GS192" s="12"/>
      <c r="GT192" s="12"/>
      <c r="GU192" s="12"/>
      <c r="GV192" s="12"/>
      <c r="GW192" s="12"/>
      <c r="GX192" s="12"/>
      <c r="GY192" s="12"/>
      <c r="GZ192" s="12"/>
      <c r="HA192" s="12"/>
      <c r="HB192" s="12"/>
      <c r="HC192" s="12"/>
      <c r="HD192" s="12"/>
      <c r="HE192" s="12"/>
      <c r="HF192" s="12"/>
      <c r="HG192" s="12"/>
      <c r="HH192" s="12"/>
      <c r="HI192" s="12"/>
      <c r="HJ192" s="12"/>
      <c r="HK192" s="12"/>
      <c r="HL192" s="12"/>
      <c r="HM192" s="12"/>
      <c r="HN192" s="12"/>
      <c r="HO192" s="12"/>
      <c r="HP192" s="12"/>
      <c r="HQ192" s="12"/>
      <c r="HR192" s="12"/>
      <c r="HS192" s="12"/>
      <c r="HT192" s="12"/>
      <c r="HU192" s="12"/>
      <c r="HV192" s="12"/>
      <c r="HW192" s="12"/>
      <c r="HX192" s="12"/>
      <c r="HY192" s="12"/>
      <c r="HZ192" s="12"/>
      <c r="IA192" s="12"/>
      <c r="IB192" s="12"/>
      <c r="IC192" s="12"/>
      <c r="ID192" s="12"/>
      <c r="IE192" s="12"/>
      <c r="IF192" s="12"/>
      <c r="IG192" s="12"/>
      <c r="IH192" s="12"/>
      <c r="II192" s="12"/>
      <c r="IJ192" s="12"/>
      <c r="IK192" s="12"/>
      <c r="IL192" s="12"/>
      <c r="IM192" s="12"/>
      <c r="IN192" s="12"/>
      <c r="IO192" s="12"/>
      <c r="IP192" s="12"/>
      <c r="IQ192" s="12"/>
      <c r="IR192" s="12"/>
      <c r="IS192" s="12"/>
      <c r="IT192" s="12"/>
      <c r="IU192" s="12"/>
      <c r="IV192" s="12"/>
      <c r="IW192" s="12"/>
    </row>
    <row r="193" customFormat="false" ht="11.25" hidden="false" customHeight="false" outlineLevel="0" collapsed="false">
      <c r="A193" s="25" t="n">
        <f aca="false">DATE(YEAR(A192),MONTH(A192)+1,1)</f>
        <v>51592</v>
      </c>
      <c r="B193" s="21" t="n">
        <v>2.778</v>
      </c>
      <c r="C193" s="21" t="n">
        <v>2.878</v>
      </c>
      <c r="D193" s="25" t="n">
        <f aca="false">DATE(YEAR(D192),MONTH(D192)+1,1)</f>
        <v>51592</v>
      </c>
      <c r="E193" s="21" t="n">
        <v>20.127</v>
      </c>
      <c r="F193" s="21" t="n">
        <v>21.44</v>
      </c>
      <c r="G193" s="6"/>
      <c r="H193" s="22" t="n">
        <f aca="false">A193</f>
        <v>51592</v>
      </c>
      <c r="I193" s="23" t="n">
        <f aca="false">IF($J$1="bid",B193,C193)</f>
        <v>2.878</v>
      </c>
      <c r="J193" s="24" t="n">
        <f aca="false">D193</f>
        <v>51592</v>
      </c>
      <c r="K193" s="23" t="n">
        <f aca="false">IF($J$1="bid",E193,F193)</f>
        <v>21.44</v>
      </c>
      <c r="L193" s="11"/>
      <c r="M193" s="11"/>
      <c r="N193" s="11"/>
      <c r="O193" s="11"/>
      <c r="P193" s="11"/>
      <c r="Q193" s="11"/>
      <c r="R193" s="11"/>
      <c r="S193" s="11"/>
      <c r="T193" s="11"/>
      <c r="U193" s="11"/>
      <c r="V193" s="11"/>
      <c r="W193" s="11"/>
      <c r="X193" s="11"/>
      <c r="Y193" s="11"/>
      <c r="Z193" s="11"/>
      <c r="AA193" s="11"/>
      <c r="AB193" s="11"/>
      <c r="AC193" s="11"/>
      <c r="AD193" s="11"/>
      <c r="AE193" s="11"/>
      <c r="AF193" s="11"/>
      <c r="AG193" s="11"/>
      <c r="AH193" s="11"/>
      <c r="AI193" s="11"/>
      <c r="AJ193" s="11"/>
      <c r="AK193" s="11"/>
      <c r="AL193" s="11"/>
      <c r="AM193" s="11"/>
      <c r="AN193" s="11"/>
      <c r="AO193" s="11"/>
      <c r="AP193" s="11"/>
      <c r="AQ193" s="11"/>
      <c r="AR193" s="5"/>
      <c r="AS193" s="12"/>
      <c r="AT193" s="12"/>
      <c r="AU193" s="12"/>
      <c r="AV193" s="12"/>
      <c r="AW193" s="12"/>
      <c r="AX193" s="12"/>
      <c r="AY193" s="12"/>
      <c r="AZ193" s="12"/>
      <c r="BA193" s="12"/>
      <c r="BB193" s="12"/>
      <c r="BC193" s="12"/>
      <c r="BD193" s="12"/>
      <c r="BE193" s="12"/>
      <c r="BF193" s="12"/>
      <c r="BG193" s="12"/>
      <c r="BH193" s="12"/>
      <c r="BI193" s="12"/>
      <c r="BJ193" s="12"/>
      <c r="BK193" s="12"/>
      <c r="BL193" s="12"/>
      <c r="BM193" s="12"/>
      <c r="BN193" s="12"/>
      <c r="BO193" s="12"/>
      <c r="BP193" s="12"/>
      <c r="BQ193" s="12"/>
      <c r="BR193" s="12"/>
      <c r="BS193" s="12"/>
      <c r="BT193" s="12"/>
      <c r="BU193" s="12"/>
      <c r="BV193" s="12"/>
      <c r="BW193" s="12"/>
      <c r="BX193" s="12"/>
      <c r="BY193" s="12"/>
      <c r="BZ193" s="12"/>
      <c r="CA193" s="12"/>
      <c r="CB193" s="12"/>
      <c r="CC193" s="12"/>
      <c r="CD193" s="12"/>
      <c r="CE193" s="12"/>
      <c r="CF193" s="12"/>
      <c r="CG193" s="12"/>
      <c r="CH193" s="12"/>
      <c r="CI193" s="12"/>
      <c r="CJ193" s="12"/>
      <c r="CK193" s="12"/>
      <c r="CL193" s="12"/>
      <c r="CM193" s="12"/>
      <c r="CN193" s="12"/>
      <c r="CO193" s="12"/>
      <c r="CP193" s="12"/>
      <c r="CQ193" s="12"/>
      <c r="CR193" s="12"/>
      <c r="CS193" s="12"/>
      <c r="CT193" s="12"/>
      <c r="CU193" s="12"/>
      <c r="CV193" s="12"/>
      <c r="CW193" s="12"/>
      <c r="CX193" s="12"/>
      <c r="CY193" s="12"/>
      <c r="CZ193" s="12"/>
      <c r="DA193" s="12"/>
      <c r="DB193" s="12"/>
      <c r="DC193" s="12"/>
      <c r="DD193" s="12"/>
      <c r="DE193" s="12"/>
      <c r="DF193" s="12"/>
      <c r="DG193" s="12"/>
      <c r="DH193" s="12"/>
      <c r="DI193" s="12"/>
      <c r="DJ193" s="12"/>
      <c r="DK193" s="12"/>
      <c r="DL193" s="12"/>
      <c r="DM193" s="12"/>
      <c r="DN193" s="12"/>
      <c r="DO193" s="12"/>
      <c r="DP193" s="12"/>
      <c r="DQ193" s="12"/>
      <c r="DR193" s="12"/>
      <c r="DS193" s="12"/>
      <c r="DT193" s="12"/>
      <c r="DU193" s="12"/>
      <c r="DV193" s="12"/>
      <c r="DW193" s="12"/>
      <c r="DX193" s="12"/>
      <c r="DY193" s="12"/>
      <c r="DZ193" s="12"/>
      <c r="EA193" s="12"/>
      <c r="EB193" s="12"/>
      <c r="EC193" s="12"/>
      <c r="ED193" s="12"/>
      <c r="EE193" s="12"/>
      <c r="EF193" s="12"/>
      <c r="EG193" s="12"/>
      <c r="EH193" s="12"/>
      <c r="EI193" s="12"/>
      <c r="EJ193" s="12"/>
      <c r="EK193" s="12"/>
      <c r="EL193" s="12"/>
      <c r="EM193" s="12"/>
      <c r="EN193" s="12"/>
      <c r="EO193" s="12"/>
      <c r="EP193" s="12"/>
      <c r="EQ193" s="12"/>
      <c r="ER193" s="12"/>
      <c r="ES193" s="12"/>
      <c r="ET193" s="12"/>
      <c r="EU193" s="12"/>
      <c r="EV193" s="12"/>
      <c r="EW193" s="12"/>
      <c r="EX193" s="12"/>
      <c r="EY193" s="12"/>
      <c r="EZ193" s="12"/>
      <c r="FA193" s="12"/>
      <c r="FB193" s="12"/>
      <c r="FC193" s="12"/>
      <c r="FD193" s="12"/>
      <c r="FE193" s="12"/>
      <c r="FF193" s="12"/>
      <c r="FG193" s="12"/>
      <c r="FH193" s="12"/>
      <c r="FI193" s="12"/>
      <c r="FJ193" s="12"/>
      <c r="FK193" s="12"/>
      <c r="FL193" s="12"/>
      <c r="FM193" s="12"/>
      <c r="FN193" s="12"/>
      <c r="FO193" s="12"/>
      <c r="FP193" s="12"/>
      <c r="FQ193" s="12"/>
      <c r="FR193" s="12"/>
      <c r="FS193" s="12"/>
      <c r="FT193" s="12"/>
      <c r="FU193" s="12"/>
      <c r="FV193" s="12"/>
      <c r="FW193" s="12"/>
      <c r="FX193" s="12"/>
      <c r="FY193" s="12"/>
      <c r="FZ193" s="12"/>
      <c r="GA193" s="12"/>
      <c r="GB193" s="12"/>
      <c r="GC193" s="12"/>
      <c r="GD193" s="12"/>
      <c r="GE193" s="12"/>
      <c r="GF193" s="12"/>
      <c r="GG193" s="12"/>
      <c r="GH193" s="12"/>
      <c r="GI193" s="12"/>
      <c r="GJ193" s="12"/>
      <c r="GK193" s="12"/>
      <c r="GL193" s="12"/>
      <c r="GM193" s="12"/>
      <c r="GN193" s="12"/>
      <c r="GO193" s="12"/>
      <c r="GP193" s="12"/>
      <c r="GQ193" s="12"/>
      <c r="GR193" s="12"/>
      <c r="GS193" s="12"/>
      <c r="GT193" s="12"/>
      <c r="GU193" s="12"/>
      <c r="GV193" s="12"/>
      <c r="GW193" s="12"/>
      <c r="GX193" s="12"/>
      <c r="GY193" s="12"/>
      <c r="GZ193" s="12"/>
      <c r="HA193" s="12"/>
      <c r="HB193" s="12"/>
      <c r="HC193" s="12"/>
      <c r="HD193" s="12"/>
      <c r="HE193" s="12"/>
      <c r="HF193" s="12"/>
      <c r="HG193" s="12"/>
      <c r="HH193" s="12"/>
      <c r="HI193" s="12"/>
      <c r="HJ193" s="12"/>
      <c r="HK193" s="12"/>
      <c r="HL193" s="12"/>
      <c r="HM193" s="12"/>
      <c r="HN193" s="12"/>
      <c r="HO193" s="12"/>
      <c r="HP193" s="12"/>
      <c r="HQ193" s="12"/>
      <c r="HR193" s="12"/>
      <c r="HS193" s="12"/>
      <c r="HT193" s="12"/>
      <c r="HU193" s="12"/>
      <c r="HV193" s="12"/>
      <c r="HW193" s="12"/>
      <c r="HX193" s="12"/>
      <c r="HY193" s="12"/>
      <c r="HZ193" s="12"/>
      <c r="IA193" s="12"/>
      <c r="IB193" s="12"/>
      <c r="IC193" s="12"/>
      <c r="ID193" s="12"/>
      <c r="IE193" s="12"/>
      <c r="IF193" s="12"/>
      <c r="IG193" s="12"/>
      <c r="IH193" s="12"/>
      <c r="II193" s="12"/>
      <c r="IJ193" s="12"/>
      <c r="IK193" s="12"/>
      <c r="IL193" s="12"/>
      <c r="IM193" s="12"/>
      <c r="IN193" s="12"/>
      <c r="IO193" s="12"/>
      <c r="IP193" s="12"/>
      <c r="IQ193" s="12"/>
      <c r="IR193" s="12"/>
      <c r="IS193" s="12"/>
      <c r="IT193" s="12"/>
      <c r="IU193" s="12"/>
      <c r="IV193" s="12"/>
      <c r="IW193" s="12"/>
    </row>
    <row r="194" customFormat="false" ht="11.25" hidden="false" customHeight="false" outlineLevel="0" collapsed="false">
      <c r="A194" s="25" t="n">
        <f aca="false">DATE(YEAR(A193),MONTH(A193)+1,1)</f>
        <v>51622</v>
      </c>
      <c r="B194" s="21" t="n">
        <v>2.77</v>
      </c>
      <c r="C194" s="21" t="n">
        <v>2.87</v>
      </c>
      <c r="D194" s="25" t="n">
        <f aca="false">DATE(YEAR(D193),MONTH(D193)+1,1)</f>
        <v>51622</v>
      </c>
      <c r="E194" s="21" t="n">
        <v>20.143</v>
      </c>
      <c r="F194" s="21" t="n">
        <v>21.465</v>
      </c>
      <c r="G194" s="6"/>
      <c r="H194" s="22" t="n">
        <f aca="false">A194</f>
        <v>51622</v>
      </c>
      <c r="I194" s="23" t="n">
        <f aca="false">IF($J$1="bid",B194,C194)</f>
        <v>2.87</v>
      </c>
      <c r="J194" s="24" t="n">
        <f aca="false">D194</f>
        <v>51622</v>
      </c>
      <c r="K194" s="23" t="n">
        <f aca="false">IF($J$1="bid",E194,F194)</f>
        <v>21.465</v>
      </c>
      <c r="L194" s="11"/>
      <c r="M194" s="11"/>
      <c r="N194" s="11"/>
      <c r="O194" s="11"/>
      <c r="P194" s="11"/>
      <c r="Q194" s="11"/>
      <c r="R194" s="11"/>
      <c r="S194" s="11"/>
      <c r="T194" s="11"/>
      <c r="U194" s="11"/>
      <c r="V194" s="11"/>
      <c r="W194" s="11"/>
      <c r="X194" s="11"/>
      <c r="Y194" s="11"/>
      <c r="Z194" s="11"/>
      <c r="AA194" s="11"/>
      <c r="AB194" s="11"/>
      <c r="AC194" s="11"/>
      <c r="AD194" s="11"/>
      <c r="AE194" s="11"/>
      <c r="AF194" s="11"/>
      <c r="AG194" s="11"/>
      <c r="AH194" s="11"/>
      <c r="AI194" s="11"/>
      <c r="AJ194" s="11"/>
      <c r="AK194" s="11"/>
      <c r="AL194" s="11"/>
      <c r="AM194" s="11"/>
      <c r="AN194" s="11"/>
      <c r="AO194" s="11"/>
      <c r="AP194" s="11"/>
      <c r="AQ194" s="11"/>
      <c r="AR194" s="5"/>
      <c r="AS194" s="12"/>
      <c r="AT194" s="12"/>
      <c r="AU194" s="12"/>
      <c r="AV194" s="12"/>
      <c r="AW194" s="12"/>
      <c r="AX194" s="12"/>
      <c r="AY194" s="12"/>
      <c r="AZ194" s="12"/>
      <c r="BA194" s="12"/>
      <c r="BB194" s="12"/>
      <c r="BC194" s="12"/>
      <c r="BD194" s="12"/>
      <c r="BE194" s="12"/>
      <c r="BF194" s="12"/>
      <c r="BG194" s="12"/>
      <c r="BH194" s="12"/>
      <c r="BI194" s="12"/>
      <c r="BJ194" s="12"/>
      <c r="BK194" s="12"/>
      <c r="BL194" s="12"/>
      <c r="BM194" s="12"/>
      <c r="BN194" s="12"/>
      <c r="BO194" s="12"/>
      <c r="BP194" s="12"/>
      <c r="BQ194" s="12"/>
      <c r="BR194" s="12"/>
      <c r="BS194" s="12"/>
      <c r="BT194" s="12"/>
      <c r="BU194" s="12"/>
      <c r="BV194" s="12"/>
      <c r="BW194" s="12"/>
      <c r="BX194" s="12"/>
      <c r="BY194" s="12"/>
      <c r="BZ194" s="12"/>
      <c r="CA194" s="12"/>
      <c r="CB194" s="12"/>
      <c r="CC194" s="12"/>
      <c r="CD194" s="12"/>
      <c r="CE194" s="12"/>
      <c r="CF194" s="12"/>
      <c r="CG194" s="12"/>
      <c r="CH194" s="12"/>
      <c r="CI194" s="12"/>
      <c r="CJ194" s="12"/>
      <c r="CK194" s="12"/>
      <c r="CL194" s="12"/>
      <c r="CM194" s="12"/>
      <c r="CN194" s="12"/>
      <c r="CO194" s="12"/>
      <c r="CP194" s="12"/>
      <c r="CQ194" s="12"/>
      <c r="CR194" s="12"/>
      <c r="CS194" s="12"/>
      <c r="CT194" s="12"/>
      <c r="CU194" s="12"/>
      <c r="CV194" s="12"/>
      <c r="CW194" s="12"/>
      <c r="CX194" s="12"/>
      <c r="CY194" s="12"/>
      <c r="CZ194" s="12"/>
      <c r="DA194" s="12"/>
      <c r="DB194" s="12"/>
      <c r="DC194" s="12"/>
      <c r="DD194" s="12"/>
      <c r="DE194" s="12"/>
      <c r="DF194" s="12"/>
      <c r="DG194" s="12"/>
      <c r="DH194" s="12"/>
      <c r="DI194" s="12"/>
      <c r="DJ194" s="12"/>
      <c r="DK194" s="12"/>
      <c r="DL194" s="12"/>
      <c r="DM194" s="12"/>
      <c r="DN194" s="12"/>
      <c r="DO194" s="12"/>
      <c r="DP194" s="12"/>
      <c r="DQ194" s="12"/>
      <c r="DR194" s="12"/>
      <c r="DS194" s="12"/>
      <c r="DT194" s="12"/>
      <c r="DU194" s="12"/>
      <c r="DV194" s="12"/>
      <c r="DW194" s="12"/>
      <c r="DX194" s="12"/>
      <c r="DY194" s="12"/>
      <c r="DZ194" s="12"/>
      <c r="EA194" s="12"/>
      <c r="EB194" s="12"/>
      <c r="EC194" s="12"/>
      <c r="ED194" s="12"/>
      <c r="EE194" s="12"/>
      <c r="EF194" s="12"/>
      <c r="EG194" s="12"/>
      <c r="EH194" s="12"/>
      <c r="EI194" s="12"/>
      <c r="EJ194" s="12"/>
      <c r="EK194" s="12"/>
      <c r="EL194" s="12"/>
      <c r="EM194" s="12"/>
      <c r="EN194" s="12"/>
      <c r="EO194" s="12"/>
      <c r="EP194" s="12"/>
      <c r="EQ194" s="12"/>
      <c r="ER194" s="12"/>
      <c r="ES194" s="12"/>
      <c r="ET194" s="12"/>
      <c r="EU194" s="12"/>
      <c r="EV194" s="12"/>
      <c r="EW194" s="12"/>
      <c r="EX194" s="12"/>
      <c r="EY194" s="12"/>
      <c r="EZ194" s="12"/>
      <c r="FA194" s="12"/>
      <c r="FB194" s="12"/>
      <c r="FC194" s="12"/>
      <c r="FD194" s="12"/>
      <c r="FE194" s="12"/>
      <c r="FF194" s="12"/>
      <c r="FG194" s="12"/>
      <c r="FH194" s="12"/>
      <c r="FI194" s="12"/>
      <c r="FJ194" s="12"/>
      <c r="FK194" s="12"/>
      <c r="FL194" s="12"/>
      <c r="FM194" s="12"/>
      <c r="FN194" s="12"/>
      <c r="FO194" s="12"/>
      <c r="FP194" s="12"/>
      <c r="FQ194" s="12"/>
      <c r="FR194" s="12"/>
      <c r="FS194" s="12"/>
      <c r="FT194" s="12"/>
      <c r="FU194" s="12"/>
      <c r="FV194" s="12"/>
      <c r="FW194" s="12"/>
      <c r="FX194" s="12"/>
      <c r="FY194" s="12"/>
      <c r="FZ194" s="12"/>
      <c r="GA194" s="12"/>
      <c r="GB194" s="12"/>
      <c r="GC194" s="12"/>
      <c r="GD194" s="12"/>
      <c r="GE194" s="12"/>
      <c r="GF194" s="12"/>
      <c r="GG194" s="12"/>
      <c r="GH194" s="12"/>
      <c r="GI194" s="12"/>
      <c r="GJ194" s="12"/>
      <c r="GK194" s="12"/>
      <c r="GL194" s="12"/>
      <c r="GM194" s="12"/>
      <c r="GN194" s="12"/>
      <c r="GO194" s="12"/>
      <c r="GP194" s="12"/>
      <c r="GQ194" s="12"/>
      <c r="GR194" s="12"/>
      <c r="GS194" s="12"/>
      <c r="GT194" s="12"/>
      <c r="GU194" s="12"/>
      <c r="GV194" s="12"/>
      <c r="GW194" s="12"/>
      <c r="GX194" s="12"/>
      <c r="GY194" s="12"/>
      <c r="GZ194" s="12"/>
      <c r="HA194" s="12"/>
      <c r="HB194" s="12"/>
      <c r="HC194" s="12"/>
      <c r="HD194" s="12"/>
      <c r="HE194" s="12"/>
      <c r="HF194" s="12"/>
      <c r="HG194" s="12"/>
      <c r="HH194" s="12"/>
      <c r="HI194" s="12"/>
      <c r="HJ194" s="12"/>
      <c r="HK194" s="12"/>
      <c r="HL194" s="12"/>
      <c r="HM194" s="12"/>
      <c r="HN194" s="12"/>
      <c r="HO194" s="12"/>
      <c r="HP194" s="12"/>
      <c r="HQ194" s="12"/>
      <c r="HR194" s="12"/>
      <c r="HS194" s="12"/>
      <c r="HT194" s="12"/>
      <c r="HU194" s="12"/>
      <c r="HV194" s="12"/>
      <c r="HW194" s="12"/>
      <c r="HX194" s="12"/>
      <c r="HY194" s="12"/>
      <c r="HZ194" s="12"/>
      <c r="IA194" s="12"/>
      <c r="IB194" s="12"/>
      <c r="IC194" s="12"/>
      <c r="ID194" s="12"/>
      <c r="IE194" s="12"/>
      <c r="IF194" s="12"/>
      <c r="IG194" s="12"/>
      <c r="IH194" s="12"/>
      <c r="II194" s="12"/>
      <c r="IJ194" s="12"/>
      <c r="IK194" s="12"/>
      <c r="IL194" s="12"/>
      <c r="IM194" s="12"/>
      <c r="IN194" s="12"/>
      <c r="IO194" s="12"/>
      <c r="IP194" s="12"/>
      <c r="IQ194" s="12"/>
      <c r="IR194" s="12"/>
      <c r="IS194" s="12"/>
      <c r="IT194" s="12"/>
      <c r="IU194" s="12"/>
      <c r="IV194" s="12"/>
      <c r="IW194" s="12"/>
    </row>
    <row r="195" customFormat="false" ht="11.25" hidden="false" customHeight="false" outlineLevel="0" collapsed="false">
      <c r="A195" s="25" t="n">
        <f aca="false">DATE(YEAR(A194),MONTH(A194)+1,1)</f>
        <v>51653</v>
      </c>
      <c r="B195" s="21" t="n">
        <v>2.77</v>
      </c>
      <c r="C195" s="21" t="n">
        <v>2.87</v>
      </c>
      <c r="D195" s="25" t="n">
        <f aca="false">DATE(YEAR(D194),MONTH(D194)+1,1)</f>
        <v>51653</v>
      </c>
      <c r="E195" s="21" t="n">
        <v>20.159</v>
      </c>
      <c r="F195" s="21" t="n">
        <v>21.489</v>
      </c>
      <c r="G195" s="6"/>
      <c r="H195" s="22" t="n">
        <f aca="false">A195</f>
        <v>51653</v>
      </c>
      <c r="I195" s="23" t="n">
        <f aca="false">IF($J$1="bid",B195,C195)</f>
        <v>2.87</v>
      </c>
      <c r="J195" s="24" t="n">
        <f aca="false">D195</f>
        <v>51653</v>
      </c>
      <c r="K195" s="23" t="n">
        <f aca="false">IF($J$1="bid",E195,F195)</f>
        <v>21.489</v>
      </c>
      <c r="L195" s="11"/>
      <c r="M195" s="11"/>
      <c r="N195" s="11"/>
      <c r="O195" s="11"/>
      <c r="P195" s="11"/>
      <c r="Q195" s="11"/>
      <c r="R195" s="11"/>
      <c r="S195" s="11"/>
      <c r="T195" s="11"/>
      <c r="U195" s="11"/>
      <c r="V195" s="11"/>
      <c r="W195" s="11"/>
      <c r="X195" s="11"/>
      <c r="Y195" s="11"/>
      <c r="Z195" s="11"/>
      <c r="AA195" s="11"/>
      <c r="AB195" s="11"/>
      <c r="AC195" s="11"/>
      <c r="AD195" s="11"/>
      <c r="AE195" s="11"/>
      <c r="AF195" s="11"/>
      <c r="AG195" s="11"/>
      <c r="AH195" s="11"/>
      <c r="AI195" s="11"/>
      <c r="AJ195" s="11"/>
      <c r="AK195" s="11"/>
      <c r="AL195" s="11"/>
      <c r="AM195" s="11"/>
      <c r="AN195" s="11"/>
      <c r="AO195" s="11"/>
      <c r="AP195" s="11"/>
      <c r="AQ195" s="11"/>
      <c r="AR195" s="5"/>
      <c r="AS195" s="12"/>
      <c r="AT195" s="12"/>
      <c r="AU195" s="12"/>
      <c r="AV195" s="12"/>
      <c r="AW195" s="12"/>
      <c r="AX195" s="12"/>
      <c r="AY195" s="12"/>
      <c r="AZ195" s="12"/>
      <c r="BA195" s="12"/>
      <c r="BB195" s="12"/>
      <c r="BC195" s="12"/>
      <c r="BD195" s="12"/>
      <c r="BE195" s="12"/>
      <c r="BF195" s="12"/>
      <c r="BG195" s="12"/>
      <c r="BH195" s="12"/>
      <c r="BI195" s="12"/>
      <c r="BJ195" s="12"/>
      <c r="BK195" s="12"/>
      <c r="BL195" s="12"/>
      <c r="BM195" s="12"/>
      <c r="BN195" s="12"/>
      <c r="BO195" s="12"/>
      <c r="BP195" s="12"/>
      <c r="BQ195" s="12"/>
      <c r="BR195" s="12"/>
      <c r="BS195" s="12"/>
      <c r="BT195" s="12"/>
      <c r="BU195" s="12"/>
      <c r="BV195" s="12"/>
      <c r="BW195" s="12"/>
      <c r="BX195" s="12"/>
      <c r="BY195" s="12"/>
      <c r="BZ195" s="12"/>
      <c r="CA195" s="12"/>
      <c r="CB195" s="12"/>
      <c r="CC195" s="12"/>
      <c r="CD195" s="12"/>
      <c r="CE195" s="12"/>
      <c r="CF195" s="12"/>
      <c r="CG195" s="12"/>
      <c r="CH195" s="12"/>
      <c r="CI195" s="12"/>
      <c r="CJ195" s="12"/>
      <c r="CK195" s="12"/>
      <c r="CL195" s="12"/>
      <c r="CM195" s="12"/>
      <c r="CN195" s="12"/>
      <c r="CO195" s="12"/>
      <c r="CP195" s="12"/>
      <c r="CQ195" s="12"/>
      <c r="CR195" s="12"/>
      <c r="CS195" s="12"/>
      <c r="CT195" s="12"/>
      <c r="CU195" s="12"/>
      <c r="CV195" s="12"/>
      <c r="CW195" s="12"/>
      <c r="CX195" s="12"/>
      <c r="CY195" s="12"/>
      <c r="CZ195" s="12"/>
      <c r="DA195" s="12"/>
      <c r="DB195" s="12"/>
      <c r="DC195" s="12"/>
      <c r="DD195" s="12"/>
      <c r="DE195" s="12"/>
      <c r="DF195" s="12"/>
      <c r="DG195" s="12"/>
      <c r="DH195" s="12"/>
      <c r="DI195" s="12"/>
      <c r="DJ195" s="12"/>
      <c r="DK195" s="12"/>
      <c r="DL195" s="12"/>
      <c r="DM195" s="12"/>
      <c r="DN195" s="12"/>
      <c r="DO195" s="12"/>
      <c r="DP195" s="12"/>
      <c r="DQ195" s="12"/>
      <c r="DR195" s="12"/>
      <c r="DS195" s="12"/>
      <c r="DT195" s="12"/>
      <c r="DU195" s="12"/>
      <c r="DV195" s="12"/>
      <c r="DW195" s="12"/>
      <c r="DX195" s="12"/>
      <c r="DY195" s="12"/>
      <c r="DZ195" s="12"/>
      <c r="EA195" s="12"/>
      <c r="EB195" s="12"/>
      <c r="EC195" s="12"/>
      <c r="ED195" s="12"/>
      <c r="EE195" s="12"/>
      <c r="EF195" s="12"/>
      <c r="EG195" s="12"/>
      <c r="EH195" s="12"/>
      <c r="EI195" s="12"/>
      <c r="EJ195" s="12"/>
      <c r="EK195" s="12"/>
      <c r="EL195" s="12"/>
      <c r="EM195" s="12"/>
      <c r="EN195" s="12"/>
      <c r="EO195" s="12"/>
      <c r="EP195" s="12"/>
      <c r="EQ195" s="12"/>
      <c r="ER195" s="12"/>
      <c r="ES195" s="12"/>
      <c r="ET195" s="12"/>
      <c r="EU195" s="12"/>
      <c r="EV195" s="12"/>
      <c r="EW195" s="12"/>
      <c r="EX195" s="12"/>
      <c r="EY195" s="12"/>
      <c r="EZ195" s="12"/>
      <c r="FA195" s="12"/>
      <c r="FB195" s="12"/>
      <c r="FC195" s="12"/>
      <c r="FD195" s="12"/>
      <c r="FE195" s="12"/>
      <c r="FF195" s="12"/>
      <c r="FG195" s="12"/>
      <c r="FH195" s="12"/>
      <c r="FI195" s="12"/>
      <c r="FJ195" s="12"/>
      <c r="FK195" s="12"/>
      <c r="FL195" s="12"/>
      <c r="FM195" s="12"/>
      <c r="FN195" s="12"/>
      <c r="FO195" s="12"/>
      <c r="FP195" s="12"/>
      <c r="FQ195" s="12"/>
      <c r="FR195" s="12"/>
      <c r="FS195" s="12"/>
      <c r="FT195" s="12"/>
      <c r="FU195" s="12"/>
      <c r="FV195" s="12"/>
      <c r="FW195" s="12"/>
      <c r="FX195" s="12"/>
      <c r="FY195" s="12"/>
      <c r="FZ195" s="12"/>
      <c r="GA195" s="12"/>
      <c r="GB195" s="12"/>
      <c r="GC195" s="12"/>
      <c r="GD195" s="12"/>
      <c r="GE195" s="12"/>
      <c r="GF195" s="12"/>
      <c r="GG195" s="12"/>
      <c r="GH195" s="12"/>
      <c r="GI195" s="12"/>
      <c r="GJ195" s="12"/>
      <c r="GK195" s="12"/>
      <c r="GL195" s="12"/>
      <c r="GM195" s="12"/>
      <c r="GN195" s="12"/>
      <c r="GO195" s="12"/>
      <c r="GP195" s="12"/>
      <c r="GQ195" s="12"/>
      <c r="GR195" s="12"/>
      <c r="GS195" s="12"/>
      <c r="GT195" s="12"/>
      <c r="GU195" s="12"/>
      <c r="GV195" s="12"/>
      <c r="GW195" s="12"/>
      <c r="GX195" s="12"/>
      <c r="GY195" s="12"/>
      <c r="GZ195" s="12"/>
      <c r="HA195" s="12"/>
      <c r="HB195" s="12"/>
      <c r="HC195" s="12"/>
      <c r="HD195" s="12"/>
      <c r="HE195" s="12"/>
      <c r="HF195" s="12"/>
      <c r="HG195" s="12"/>
      <c r="HH195" s="12"/>
      <c r="HI195" s="12"/>
      <c r="HJ195" s="12"/>
      <c r="HK195" s="12"/>
      <c r="HL195" s="12"/>
      <c r="HM195" s="12"/>
      <c r="HN195" s="12"/>
      <c r="HO195" s="12"/>
      <c r="HP195" s="12"/>
      <c r="HQ195" s="12"/>
      <c r="HR195" s="12"/>
      <c r="HS195" s="12"/>
      <c r="HT195" s="12"/>
      <c r="HU195" s="12"/>
      <c r="HV195" s="12"/>
      <c r="HW195" s="12"/>
      <c r="HX195" s="12"/>
      <c r="HY195" s="12"/>
      <c r="HZ195" s="12"/>
      <c r="IA195" s="12"/>
      <c r="IB195" s="12"/>
      <c r="IC195" s="12"/>
      <c r="ID195" s="12"/>
      <c r="IE195" s="12"/>
      <c r="IF195" s="12"/>
      <c r="IG195" s="12"/>
      <c r="IH195" s="12"/>
      <c r="II195" s="12"/>
      <c r="IJ195" s="12"/>
      <c r="IK195" s="12"/>
      <c r="IL195" s="12"/>
      <c r="IM195" s="12"/>
      <c r="IN195" s="12"/>
      <c r="IO195" s="12"/>
      <c r="IP195" s="12"/>
      <c r="IQ195" s="12"/>
      <c r="IR195" s="12"/>
      <c r="IS195" s="12"/>
      <c r="IT195" s="12"/>
      <c r="IU195" s="12"/>
      <c r="IV195" s="12"/>
      <c r="IW195" s="12"/>
    </row>
    <row r="196" customFormat="false" ht="11.25" hidden="false" customHeight="false" outlineLevel="0" collapsed="false">
      <c r="A196" s="25" t="n">
        <f aca="false">DATE(YEAR(A195),MONTH(A195)+1,1)</f>
        <v>51683</v>
      </c>
      <c r="B196" s="21" t="n">
        <v>2.77</v>
      </c>
      <c r="C196" s="21" t="n">
        <v>2.87</v>
      </c>
      <c r="D196" s="25" t="n">
        <f aca="false">DATE(YEAR(D195),MONTH(D195)+1,1)</f>
        <v>51683</v>
      </c>
      <c r="E196" s="21" t="n">
        <v>20.177</v>
      </c>
      <c r="F196" s="21" t="n">
        <v>21.516</v>
      </c>
      <c r="G196" s="6"/>
      <c r="H196" s="22" t="n">
        <f aca="false">A196</f>
        <v>51683</v>
      </c>
      <c r="I196" s="23" t="n">
        <f aca="false">IF($J$1="bid",B196,C196)</f>
        <v>2.87</v>
      </c>
      <c r="J196" s="24" t="n">
        <f aca="false">D196</f>
        <v>51683</v>
      </c>
      <c r="K196" s="23" t="n">
        <f aca="false">IF($J$1="bid",E196,F196)</f>
        <v>21.516</v>
      </c>
      <c r="L196" s="11"/>
      <c r="M196" s="11"/>
      <c r="N196" s="11"/>
      <c r="O196" s="11"/>
      <c r="P196" s="11"/>
      <c r="Q196" s="11"/>
      <c r="R196" s="11"/>
      <c r="S196" s="11"/>
      <c r="T196" s="11"/>
      <c r="U196" s="11"/>
      <c r="V196" s="11"/>
      <c r="W196" s="11"/>
      <c r="X196" s="11"/>
      <c r="Y196" s="11"/>
      <c r="Z196" s="11"/>
      <c r="AA196" s="11"/>
      <c r="AB196" s="11"/>
      <c r="AC196" s="11"/>
      <c r="AD196" s="11"/>
      <c r="AE196" s="11"/>
      <c r="AF196" s="11"/>
      <c r="AG196" s="11"/>
      <c r="AH196" s="11"/>
      <c r="AI196" s="11"/>
      <c r="AJ196" s="11"/>
      <c r="AK196" s="11"/>
      <c r="AL196" s="11"/>
      <c r="AM196" s="11"/>
      <c r="AN196" s="11"/>
      <c r="AO196" s="11"/>
      <c r="AP196" s="11"/>
      <c r="AQ196" s="11"/>
      <c r="AR196" s="5"/>
      <c r="AS196" s="12"/>
      <c r="AT196" s="12"/>
      <c r="AU196" s="12"/>
      <c r="AV196" s="12"/>
      <c r="AW196" s="12"/>
      <c r="AX196" s="12"/>
      <c r="AY196" s="12"/>
      <c r="AZ196" s="12"/>
      <c r="BA196" s="12"/>
      <c r="BB196" s="12"/>
      <c r="BC196" s="12"/>
      <c r="BD196" s="12"/>
      <c r="BE196" s="12"/>
      <c r="BF196" s="12"/>
      <c r="BG196" s="12"/>
      <c r="BH196" s="12"/>
      <c r="BI196" s="12"/>
      <c r="BJ196" s="12"/>
      <c r="BK196" s="12"/>
      <c r="BL196" s="12"/>
      <c r="BM196" s="12"/>
      <c r="BN196" s="12"/>
      <c r="BO196" s="12"/>
      <c r="BP196" s="12"/>
      <c r="BQ196" s="12"/>
      <c r="BR196" s="12"/>
      <c r="BS196" s="12"/>
      <c r="BT196" s="12"/>
      <c r="BU196" s="12"/>
      <c r="BV196" s="12"/>
      <c r="BW196" s="12"/>
      <c r="BX196" s="12"/>
      <c r="BY196" s="12"/>
      <c r="BZ196" s="12"/>
      <c r="CA196" s="12"/>
      <c r="CB196" s="12"/>
      <c r="CC196" s="12"/>
      <c r="CD196" s="12"/>
      <c r="CE196" s="12"/>
      <c r="CF196" s="12"/>
      <c r="CG196" s="12"/>
      <c r="CH196" s="12"/>
      <c r="CI196" s="12"/>
      <c r="CJ196" s="12"/>
      <c r="CK196" s="12"/>
      <c r="CL196" s="12"/>
      <c r="CM196" s="12"/>
      <c r="CN196" s="12"/>
      <c r="CO196" s="12"/>
      <c r="CP196" s="12"/>
      <c r="CQ196" s="12"/>
      <c r="CR196" s="12"/>
      <c r="CS196" s="12"/>
      <c r="CT196" s="12"/>
      <c r="CU196" s="12"/>
      <c r="CV196" s="12"/>
      <c r="CW196" s="12"/>
      <c r="CX196" s="12"/>
      <c r="CY196" s="12"/>
      <c r="CZ196" s="12"/>
      <c r="DA196" s="12"/>
      <c r="DB196" s="12"/>
      <c r="DC196" s="12"/>
      <c r="DD196" s="12"/>
      <c r="DE196" s="12"/>
      <c r="DF196" s="12"/>
      <c r="DG196" s="12"/>
      <c r="DH196" s="12"/>
      <c r="DI196" s="12"/>
      <c r="DJ196" s="12"/>
      <c r="DK196" s="12"/>
      <c r="DL196" s="12"/>
      <c r="DM196" s="12"/>
      <c r="DN196" s="12"/>
      <c r="DO196" s="12"/>
      <c r="DP196" s="12"/>
      <c r="DQ196" s="12"/>
      <c r="DR196" s="12"/>
      <c r="DS196" s="12"/>
      <c r="DT196" s="12"/>
      <c r="DU196" s="12"/>
      <c r="DV196" s="12"/>
      <c r="DW196" s="12"/>
      <c r="DX196" s="12"/>
      <c r="DY196" s="12"/>
      <c r="DZ196" s="12"/>
      <c r="EA196" s="12"/>
      <c r="EB196" s="12"/>
      <c r="EC196" s="12"/>
      <c r="ED196" s="12"/>
      <c r="EE196" s="12"/>
      <c r="EF196" s="12"/>
      <c r="EG196" s="12"/>
      <c r="EH196" s="12"/>
      <c r="EI196" s="12"/>
      <c r="EJ196" s="12"/>
      <c r="EK196" s="12"/>
      <c r="EL196" s="12"/>
      <c r="EM196" s="12"/>
      <c r="EN196" s="12"/>
      <c r="EO196" s="12"/>
      <c r="EP196" s="12"/>
      <c r="EQ196" s="12"/>
      <c r="ER196" s="12"/>
      <c r="ES196" s="12"/>
      <c r="ET196" s="12"/>
      <c r="EU196" s="12"/>
      <c r="EV196" s="12"/>
      <c r="EW196" s="12"/>
      <c r="EX196" s="12"/>
      <c r="EY196" s="12"/>
      <c r="EZ196" s="12"/>
      <c r="FA196" s="12"/>
      <c r="FB196" s="12"/>
      <c r="FC196" s="12"/>
      <c r="FD196" s="12"/>
      <c r="FE196" s="12"/>
      <c r="FF196" s="12"/>
      <c r="FG196" s="12"/>
      <c r="FH196" s="12"/>
      <c r="FI196" s="12"/>
      <c r="FJ196" s="12"/>
      <c r="FK196" s="12"/>
      <c r="FL196" s="12"/>
      <c r="FM196" s="12"/>
      <c r="FN196" s="12"/>
      <c r="FO196" s="12"/>
      <c r="FP196" s="12"/>
      <c r="FQ196" s="12"/>
      <c r="FR196" s="12"/>
      <c r="FS196" s="12"/>
      <c r="FT196" s="12"/>
      <c r="FU196" s="12"/>
      <c r="FV196" s="12"/>
      <c r="FW196" s="12"/>
      <c r="FX196" s="12"/>
      <c r="FY196" s="12"/>
      <c r="FZ196" s="12"/>
      <c r="GA196" s="12"/>
      <c r="GB196" s="12"/>
      <c r="GC196" s="12"/>
      <c r="GD196" s="12"/>
      <c r="GE196" s="12"/>
      <c r="GF196" s="12"/>
      <c r="GG196" s="12"/>
      <c r="GH196" s="12"/>
      <c r="GI196" s="12"/>
      <c r="GJ196" s="12"/>
      <c r="GK196" s="12"/>
      <c r="GL196" s="12"/>
      <c r="GM196" s="12"/>
      <c r="GN196" s="12"/>
      <c r="GO196" s="12"/>
      <c r="GP196" s="12"/>
      <c r="GQ196" s="12"/>
      <c r="GR196" s="12"/>
      <c r="GS196" s="12"/>
      <c r="GT196" s="12"/>
      <c r="GU196" s="12"/>
      <c r="GV196" s="12"/>
      <c r="GW196" s="12"/>
      <c r="GX196" s="12"/>
      <c r="GY196" s="12"/>
      <c r="GZ196" s="12"/>
      <c r="HA196" s="12"/>
      <c r="HB196" s="12"/>
      <c r="HC196" s="12"/>
      <c r="HD196" s="12"/>
      <c r="HE196" s="12"/>
      <c r="HF196" s="12"/>
      <c r="HG196" s="12"/>
      <c r="HH196" s="12"/>
      <c r="HI196" s="12"/>
      <c r="HJ196" s="12"/>
      <c r="HK196" s="12"/>
      <c r="HL196" s="12"/>
      <c r="HM196" s="12"/>
      <c r="HN196" s="12"/>
      <c r="HO196" s="12"/>
      <c r="HP196" s="12"/>
      <c r="HQ196" s="12"/>
      <c r="HR196" s="12"/>
      <c r="HS196" s="12"/>
      <c r="HT196" s="12"/>
      <c r="HU196" s="12"/>
      <c r="HV196" s="12"/>
      <c r="HW196" s="12"/>
      <c r="HX196" s="12"/>
      <c r="HY196" s="12"/>
      <c r="HZ196" s="12"/>
      <c r="IA196" s="12"/>
      <c r="IB196" s="12"/>
      <c r="IC196" s="12"/>
      <c r="ID196" s="12"/>
      <c r="IE196" s="12"/>
      <c r="IF196" s="12"/>
      <c r="IG196" s="12"/>
      <c r="IH196" s="12"/>
      <c r="II196" s="12"/>
      <c r="IJ196" s="12"/>
      <c r="IK196" s="12"/>
      <c r="IL196" s="12"/>
      <c r="IM196" s="12"/>
      <c r="IN196" s="12"/>
      <c r="IO196" s="12"/>
      <c r="IP196" s="12"/>
      <c r="IQ196" s="12"/>
      <c r="IR196" s="12"/>
      <c r="IS196" s="12"/>
      <c r="IT196" s="12"/>
      <c r="IU196" s="12"/>
      <c r="IV196" s="12"/>
      <c r="IW196" s="12"/>
    </row>
    <row r="197" customFormat="false" ht="11.25" hidden="false" customHeight="false" outlineLevel="0" collapsed="false">
      <c r="A197" s="25" t="n">
        <f aca="false">DATE(YEAR(A196),MONTH(A196)+1,1)</f>
        <v>51714</v>
      </c>
      <c r="B197" s="21" t="n">
        <v>2.77</v>
      </c>
      <c r="C197" s="21" t="n">
        <v>2.87</v>
      </c>
      <c r="D197" s="25" t="n">
        <f aca="false">DATE(YEAR(D196),MONTH(D196)+1,1)</f>
        <v>51714</v>
      </c>
      <c r="E197" s="21" t="n">
        <v>20.193</v>
      </c>
      <c r="F197" s="21" t="n">
        <v>21.54</v>
      </c>
      <c r="G197" s="6"/>
      <c r="H197" s="22" t="n">
        <f aca="false">A197</f>
        <v>51714</v>
      </c>
      <c r="I197" s="23" t="n">
        <f aca="false">IF($J$1="bid",B197,C197)</f>
        <v>2.87</v>
      </c>
      <c r="J197" s="24" t="n">
        <f aca="false">D197</f>
        <v>51714</v>
      </c>
      <c r="K197" s="23" t="n">
        <f aca="false">IF($J$1="bid",E197,F197)</f>
        <v>21.54</v>
      </c>
      <c r="L197" s="11"/>
      <c r="M197" s="11"/>
      <c r="N197" s="11"/>
      <c r="O197" s="11"/>
      <c r="P197" s="11"/>
      <c r="Q197" s="11"/>
      <c r="R197" s="11"/>
      <c r="S197" s="11"/>
      <c r="T197" s="11"/>
      <c r="U197" s="11"/>
      <c r="V197" s="11"/>
      <c r="W197" s="11"/>
      <c r="X197" s="11"/>
      <c r="Y197" s="11"/>
      <c r="Z197" s="11"/>
      <c r="AA197" s="11"/>
      <c r="AB197" s="11"/>
      <c r="AC197" s="11"/>
      <c r="AD197" s="11"/>
      <c r="AE197" s="11"/>
      <c r="AF197" s="11"/>
      <c r="AG197" s="11"/>
      <c r="AH197" s="11"/>
      <c r="AI197" s="11"/>
      <c r="AJ197" s="11"/>
      <c r="AK197" s="11"/>
      <c r="AL197" s="11"/>
      <c r="AM197" s="11"/>
      <c r="AN197" s="11"/>
      <c r="AO197" s="11"/>
      <c r="AP197" s="11"/>
      <c r="AQ197" s="11"/>
      <c r="AR197" s="5"/>
      <c r="AS197" s="12"/>
      <c r="AT197" s="12"/>
      <c r="AU197" s="12"/>
      <c r="AV197" s="12"/>
      <c r="AW197" s="12"/>
      <c r="AX197" s="12"/>
      <c r="AY197" s="12"/>
      <c r="AZ197" s="12"/>
      <c r="BA197" s="12"/>
      <c r="BB197" s="12"/>
      <c r="BC197" s="12"/>
      <c r="BD197" s="12"/>
      <c r="BE197" s="12"/>
      <c r="BF197" s="12"/>
      <c r="BG197" s="12"/>
      <c r="BH197" s="12"/>
      <c r="BI197" s="12"/>
      <c r="BJ197" s="12"/>
      <c r="BK197" s="12"/>
      <c r="BL197" s="12"/>
      <c r="BM197" s="12"/>
      <c r="BN197" s="12"/>
      <c r="BO197" s="12"/>
      <c r="BP197" s="12"/>
      <c r="BQ197" s="12"/>
      <c r="BR197" s="12"/>
      <c r="BS197" s="12"/>
      <c r="BT197" s="12"/>
      <c r="BU197" s="12"/>
      <c r="BV197" s="12"/>
      <c r="BW197" s="12"/>
      <c r="BX197" s="12"/>
      <c r="BY197" s="12"/>
      <c r="BZ197" s="12"/>
      <c r="CA197" s="12"/>
      <c r="CB197" s="12"/>
      <c r="CC197" s="12"/>
      <c r="CD197" s="12"/>
      <c r="CE197" s="12"/>
      <c r="CF197" s="12"/>
      <c r="CG197" s="12"/>
      <c r="CH197" s="12"/>
      <c r="CI197" s="12"/>
      <c r="CJ197" s="12"/>
      <c r="CK197" s="12"/>
      <c r="CL197" s="12"/>
      <c r="CM197" s="12"/>
      <c r="CN197" s="12"/>
      <c r="CO197" s="12"/>
      <c r="CP197" s="12"/>
      <c r="CQ197" s="12"/>
      <c r="CR197" s="12"/>
      <c r="CS197" s="12"/>
      <c r="CT197" s="12"/>
      <c r="CU197" s="12"/>
      <c r="CV197" s="12"/>
      <c r="CW197" s="12"/>
      <c r="CX197" s="12"/>
      <c r="CY197" s="12"/>
      <c r="CZ197" s="12"/>
      <c r="DA197" s="12"/>
      <c r="DB197" s="12"/>
      <c r="DC197" s="12"/>
      <c r="DD197" s="12"/>
      <c r="DE197" s="12"/>
      <c r="DF197" s="12"/>
      <c r="DG197" s="12"/>
      <c r="DH197" s="12"/>
      <c r="DI197" s="12"/>
      <c r="DJ197" s="12"/>
      <c r="DK197" s="12"/>
      <c r="DL197" s="12"/>
      <c r="DM197" s="12"/>
      <c r="DN197" s="12"/>
      <c r="DO197" s="12"/>
      <c r="DP197" s="12"/>
      <c r="DQ197" s="12"/>
      <c r="DR197" s="12"/>
      <c r="DS197" s="12"/>
      <c r="DT197" s="12"/>
      <c r="DU197" s="12"/>
      <c r="DV197" s="12"/>
      <c r="DW197" s="12"/>
      <c r="DX197" s="12"/>
      <c r="DY197" s="12"/>
      <c r="DZ197" s="12"/>
      <c r="EA197" s="12"/>
      <c r="EB197" s="12"/>
      <c r="EC197" s="12"/>
      <c r="ED197" s="12"/>
      <c r="EE197" s="12"/>
      <c r="EF197" s="12"/>
      <c r="EG197" s="12"/>
      <c r="EH197" s="12"/>
      <c r="EI197" s="12"/>
      <c r="EJ197" s="12"/>
      <c r="EK197" s="12"/>
      <c r="EL197" s="12"/>
      <c r="EM197" s="12"/>
      <c r="EN197" s="12"/>
      <c r="EO197" s="12"/>
      <c r="EP197" s="12"/>
      <c r="EQ197" s="12"/>
      <c r="ER197" s="12"/>
      <c r="ES197" s="12"/>
      <c r="ET197" s="12"/>
      <c r="EU197" s="12"/>
      <c r="EV197" s="12"/>
      <c r="EW197" s="12"/>
      <c r="EX197" s="12"/>
      <c r="EY197" s="12"/>
      <c r="EZ197" s="12"/>
      <c r="FA197" s="12"/>
      <c r="FB197" s="12"/>
      <c r="FC197" s="12"/>
      <c r="FD197" s="12"/>
      <c r="FE197" s="12"/>
      <c r="FF197" s="12"/>
      <c r="FG197" s="12"/>
      <c r="FH197" s="12"/>
      <c r="FI197" s="12"/>
      <c r="FJ197" s="12"/>
      <c r="FK197" s="12"/>
      <c r="FL197" s="12"/>
      <c r="FM197" s="12"/>
      <c r="FN197" s="12"/>
      <c r="FO197" s="12"/>
      <c r="FP197" s="12"/>
      <c r="FQ197" s="12"/>
      <c r="FR197" s="12"/>
      <c r="FS197" s="12"/>
      <c r="FT197" s="12"/>
      <c r="FU197" s="12"/>
      <c r="FV197" s="12"/>
      <c r="FW197" s="12"/>
      <c r="FX197" s="12"/>
      <c r="FY197" s="12"/>
      <c r="FZ197" s="12"/>
      <c r="GA197" s="12"/>
      <c r="GB197" s="12"/>
      <c r="GC197" s="12"/>
      <c r="GD197" s="12"/>
      <c r="GE197" s="12"/>
      <c r="GF197" s="12"/>
      <c r="GG197" s="12"/>
      <c r="GH197" s="12"/>
      <c r="GI197" s="12"/>
      <c r="GJ197" s="12"/>
      <c r="GK197" s="12"/>
      <c r="GL197" s="12"/>
      <c r="GM197" s="12"/>
      <c r="GN197" s="12"/>
      <c r="GO197" s="12"/>
      <c r="GP197" s="12"/>
      <c r="GQ197" s="12"/>
      <c r="GR197" s="12"/>
      <c r="GS197" s="12"/>
      <c r="GT197" s="12"/>
      <c r="GU197" s="12"/>
      <c r="GV197" s="12"/>
      <c r="GW197" s="12"/>
      <c r="GX197" s="12"/>
      <c r="GY197" s="12"/>
      <c r="GZ197" s="12"/>
      <c r="HA197" s="12"/>
      <c r="HB197" s="12"/>
      <c r="HC197" s="12"/>
      <c r="HD197" s="12"/>
      <c r="HE197" s="12"/>
      <c r="HF197" s="12"/>
      <c r="HG197" s="12"/>
      <c r="HH197" s="12"/>
      <c r="HI197" s="12"/>
      <c r="HJ197" s="12"/>
      <c r="HK197" s="12"/>
      <c r="HL197" s="12"/>
      <c r="HM197" s="12"/>
      <c r="HN197" s="12"/>
      <c r="HO197" s="12"/>
      <c r="HP197" s="12"/>
      <c r="HQ197" s="12"/>
      <c r="HR197" s="12"/>
      <c r="HS197" s="12"/>
      <c r="HT197" s="12"/>
      <c r="HU197" s="12"/>
      <c r="HV197" s="12"/>
      <c r="HW197" s="12"/>
      <c r="HX197" s="12"/>
      <c r="HY197" s="12"/>
      <c r="HZ197" s="12"/>
      <c r="IA197" s="12"/>
      <c r="IB197" s="12"/>
      <c r="IC197" s="12"/>
      <c r="ID197" s="12"/>
      <c r="IE197" s="12"/>
      <c r="IF197" s="12"/>
      <c r="IG197" s="12"/>
      <c r="IH197" s="12"/>
      <c r="II197" s="12"/>
      <c r="IJ197" s="12"/>
      <c r="IK197" s="12"/>
      <c r="IL197" s="12"/>
      <c r="IM197" s="12"/>
      <c r="IN197" s="12"/>
      <c r="IO197" s="12"/>
      <c r="IP197" s="12"/>
      <c r="IQ197" s="12"/>
      <c r="IR197" s="12"/>
      <c r="IS197" s="12"/>
      <c r="IT197" s="12"/>
      <c r="IU197" s="12"/>
      <c r="IV197" s="12"/>
      <c r="IW197" s="12"/>
    </row>
    <row r="198" customFormat="false" ht="11.25" hidden="false" customHeight="false" outlineLevel="0" collapsed="false">
      <c r="A198" s="25" t="n">
        <f aca="false">DATE(YEAR(A197),MONTH(A197)+1,1)</f>
        <v>51745</v>
      </c>
      <c r="B198" s="21" t="n">
        <v>2.844</v>
      </c>
      <c r="C198" s="21" t="n">
        <v>2.944</v>
      </c>
      <c r="D198" s="25" t="n">
        <f aca="false">DATE(YEAR(D197),MONTH(D197)+1,1)</f>
        <v>51745</v>
      </c>
      <c r="E198" s="21" t="n">
        <v>20.209</v>
      </c>
      <c r="F198" s="21" t="n">
        <v>21.564</v>
      </c>
      <c r="G198" s="6"/>
      <c r="H198" s="22" t="n">
        <f aca="false">A198</f>
        <v>51745</v>
      </c>
      <c r="I198" s="23" t="n">
        <f aca="false">IF($J$1="bid",B198,C198)</f>
        <v>2.944</v>
      </c>
      <c r="J198" s="24" t="n">
        <f aca="false">D198</f>
        <v>51745</v>
      </c>
      <c r="K198" s="23" t="n">
        <f aca="false">IF($J$1="bid",E198,F198)</f>
        <v>21.564</v>
      </c>
      <c r="L198" s="11"/>
      <c r="M198" s="11"/>
      <c r="N198" s="11"/>
      <c r="O198" s="11"/>
      <c r="P198" s="11"/>
      <c r="Q198" s="11"/>
      <c r="R198" s="11"/>
      <c r="S198" s="11"/>
      <c r="T198" s="11"/>
      <c r="U198" s="11"/>
      <c r="V198" s="11"/>
      <c r="W198" s="11"/>
      <c r="X198" s="11"/>
      <c r="Y198" s="11"/>
      <c r="Z198" s="11"/>
      <c r="AA198" s="11"/>
      <c r="AB198" s="11"/>
      <c r="AC198" s="11"/>
      <c r="AD198" s="11"/>
      <c r="AE198" s="11"/>
      <c r="AF198" s="11"/>
      <c r="AG198" s="11"/>
      <c r="AH198" s="11"/>
      <c r="AI198" s="11"/>
      <c r="AJ198" s="11"/>
      <c r="AK198" s="11"/>
      <c r="AL198" s="11"/>
      <c r="AM198" s="11"/>
      <c r="AN198" s="11"/>
      <c r="AO198" s="11"/>
      <c r="AP198" s="11"/>
      <c r="AQ198" s="11"/>
      <c r="AR198" s="5"/>
      <c r="AS198" s="12"/>
      <c r="AT198" s="12"/>
      <c r="AU198" s="12"/>
      <c r="AV198" s="12"/>
      <c r="AW198" s="12"/>
      <c r="AX198" s="12"/>
      <c r="AY198" s="12"/>
      <c r="AZ198" s="12"/>
      <c r="BA198" s="12"/>
      <c r="BB198" s="12"/>
      <c r="BC198" s="12"/>
      <c r="BD198" s="12"/>
      <c r="BE198" s="12"/>
      <c r="BF198" s="12"/>
      <c r="BG198" s="12"/>
      <c r="BH198" s="12"/>
      <c r="BI198" s="12"/>
      <c r="BJ198" s="12"/>
      <c r="BK198" s="12"/>
      <c r="BL198" s="12"/>
      <c r="BM198" s="12"/>
      <c r="BN198" s="12"/>
      <c r="BO198" s="12"/>
      <c r="BP198" s="12"/>
      <c r="BQ198" s="12"/>
      <c r="BR198" s="12"/>
      <c r="BS198" s="12"/>
      <c r="BT198" s="12"/>
      <c r="BU198" s="12"/>
      <c r="BV198" s="12"/>
      <c r="BW198" s="12"/>
      <c r="BX198" s="12"/>
      <c r="BY198" s="12"/>
      <c r="BZ198" s="12"/>
      <c r="CA198" s="12"/>
      <c r="CB198" s="12"/>
      <c r="CC198" s="12"/>
      <c r="CD198" s="12"/>
      <c r="CE198" s="12"/>
      <c r="CF198" s="12"/>
      <c r="CG198" s="12"/>
      <c r="CH198" s="12"/>
      <c r="CI198" s="12"/>
      <c r="CJ198" s="12"/>
      <c r="CK198" s="12"/>
      <c r="CL198" s="12"/>
      <c r="CM198" s="12"/>
      <c r="CN198" s="12"/>
      <c r="CO198" s="12"/>
      <c r="CP198" s="12"/>
      <c r="CQ198" s="12"/>
      <c r="CR198" s="12"/>
      <c r="CS198" s="12"/>
      <c r="CT198" s="12"/>
      <c r="CU198" s="12"/>
      <c r="CV198" s="12"/>
      <c r="CW198" s="12"/>
      <c r="CX198" s="12"/>
      <c r="CY198" s="12"/>
      <c r="CZ198" s="12"/>
      <c r="DA198" s="12"/>
      <c r="DB198" s="12"/>
      <c r="DC198" s="12"/>
      <c r="DD198" s="12"/>
      <c r="DE198" s="12"/>
      <c r="DF198" s="12"/>
      <c r="DG198" s="12"/>
      <c r="DH198" s="12"/>
      <c r="DI198" s="12"/>
      <c r="DJ198" s="12"/>
      <c r="DK198" s="12"/>
      <c r="DL198" s="12"/>
      <c r="DM198" s="12"/>
      <c r="DN198" s="12"/>
      <c r="DO198" s="12"/>
      <c r="DP198" s="12"/>
      <c r="DQ198" s="12"/>
      <c r="DR198" s="12"/>
      <c r="DS198" s="12"/>
      <c r="DT198" s="12"/>
      <c r="DU198" s="12"/>
      <c r="DV198" s="12"/>
      <c r="DW198" s="12"/>
      <c r="DX198" s="12"/>
      <c r="DY198" s="12"/>
      <c r="DZ198" s="12"/>
      <c r="EA198" s="12"/>
      <c r="EB198" s="12"/>
      <c r="EC198" s="12"/>
      <c r="ED198" s="12"/>
      <c r="EE198" s="12"/>
      <c r="EF198" s="12"/>
      <c r="EG198" s="12"/>
      <c r="EH198" s="12"/>
      <c r="EI198" s="12"/>
      <c r="EJ198" s="12"/>
      <c r="EK198" s="12"/>
      <c r="EL198" s="12"/>
      <c r="EM198" s="12"/>
      <c r="EN198" s="12"/>
      <c r="EO198" s="12"/>
      <c r="EP198" s="12"/>
      <c r="EQ198" s="12"/>
      <c r="ER198" s="12"/>
      <c r="ES198" s="12"/>
      <c r="ET198" s="12"/>
      <c r="EU198" s="12"/>
      <c r="EV198" s="12"/>
      <c r="EW198" s="12"/>
      <c r="EX198" s="12"/>
      <c r="EY198" s="12"/>
      <c r="EZ198" s="12"/>
      <c r="FA198" s="12"/>
      <c r="FB198" s="12"/>
      <c r="FC198" s="12"/>
      <c r="FD198" s="12"/>
      <c r="FE198" s="12"/>
      <c r="FF198" s="12"/>
      <c r="FG198" s="12"/>
      <c r="FH198" s="12"/>
      <c r="FI198" s="12"/>
      <c r="FJ198" s="12"/>
      <c r="FK198" s="12"/>
      <c r="FL198" s="12"/>
      <c r="FM198" s="12"/>
      <c r="FN198" s="12"/>
      <c r="FO198" s="12"/>
      <c r="FP198" s="12"/>
      <c r="FQ198" s="12"/>
      <c r="FR198" s="12"/>
      <c r="FS198" s="12"/>
      <c r="FT198" s="12"/>
      <c r="FU198" s="12"/>
      <c r="FV198" s="12"/>
      <c r="FW198" s="12"/>
      <c r="FX198" s="12"/>
      <c r="FY198" s="12"/>
      <c r="FZ198" s="12"/>
      <c r="GA198" s="12"/>
      <c r="GB198" s="12"/>
      <c r="GC198" s="12"/>
      <c r="GD198" s="12"/>
      <c r="GE198" s="12"/>
      <c r="GF198" s="12"/>
      <c r="GG198" s="12"/>
      <c r="GH198" s="12"/>
      <c r="GI198" s="12"/>
      <c r="GJ198" s="12"/>
      <c r="GK198" s="12"/>
      <c r="GL198" s="12"/>
      <c r="GM198" s="12"/>
      <c r="GN198" s="12"/>
      <c r="GO198" s="12"/>
      <c r="GP198" s="12"/>
      <c r="GQ198" s="12"/>
      <c r="GR198" s="12"/>
      <c r="GS198" s="12"/>
      <c r="GT198" s="12"/>
      <c r="GU198" s="12"/>
      <c r="GV198" s="12"/>
      <c r="GW198" s="12"/>
      <c r="GX198" s="12"/>
      <c r="GY198" s="12"/>
      <c r="GZ198" s="12"/>
      <c r="HA198" s="12"/>
      <c r="HB198" s="12"/>
      <c r="HC198" s="12"/>
      <c r="HD198" s="12"/>
      <c r="HE198" s="12"/>
      <c r="HF198" s="12"/>
      <c r="HG198" s="12"/>
      <c r="HH198" s="12"/>
      <c r="HI198" s="12"/>
      <c r="HJ198" s="12"/>
      <c r="HK198" s="12"/>
      <c r="HL198" s="12"/>
      <c r="HM198" s="12"/>
      <c r="HN198" s="12"/>
      <c r="HO198" s="12"/>
      <c r="HP198" s="12"/>
      <c r="HQ198" s="12"/>
      <c r="HR198" s="12"/>
      <c r="HS198" s="12"/>
      <c r="HT198" s="12"/>
      <c r="HU198" s="12"/>
      <c r="HV198" s="12"/>
      <c r="HW198" s="12"/>
      <c r="HX198" s="12"/>
      <c r="HY198" s="12"/>
      <c r="HZ198" s="12"/>
      <c r="IA198" s="12"/>
      <c r="IB198" s="12"/>
      <c r="IC198" s="12"/>
      <c r="ID198" s="12"/>
      <c r="IE198" s="12"/>
      <c r="IF198" s="12"/>
      <c r="IG198" s="12"/>
      <c r="IH198" s="12"/>
      <c r="II198" s="12"/>
      <c r="IJ198" s="12"/>
      <c r="IK198" s="12"/>
      <c r="IL198" s="12"/>
      <c r="IM198" s="12"/>
      <c r="IN198" s="12"/>
      <c r="IO198" s="12"/>
      <c r="IP198" s="12"/>
      <c r="IQ198" s="12"/>
      <c r="IR198" s="12"/>
      <c r="IS198" s="12"/>
      <c r="IT198" s="12"/>
      <c r="IU198" s="12"/>
      <c r="IV198" s="12"/>
      <c r="IW198" s="12"/>
    </row>
    <row r="199" customFormat="false" ht="11.25" hidden="false" customHeight="false" outlineLevel="0" collapsed="false">
      <c r="A199" s="25" t="n">
        <f aca="false">DATE(YEAR(A198),MONTH(A198)+1,1)</f>
        <v>51775</v>
      </c>
      <c r="B199" s="21" t="n">
        <v>2.962</v>
      </c>
      <c r="C199" s="21" t="n">
        <v>3.062</v>
      </c>
      <c r="D199" s="25" t="n">
        <f aca="false">DATE(YEAR(D198),MONTH(D198)+1,1)</f>
        <v>51775</v>
      </c>
      <c r="E199" s="21" t="n">
        <v>20.228</v>
      </c>
      <c r="F199" s="21" t="n">
        <v>21.591</v>
      </c>
      <c r="G199" s="6"/>
      <c r="H199" s="22" t="n">
        <f aca="false">A199</f>
        <v>51775</v>
      </c>
      <c r="I199" s="23" t="n">
        <f aca="false">IF($J$1="bid",B199,C199)</f>
        <v>3.062</v>
      </c>
      <c r="J199" s="24" t="n">
        <f aca="false">D199</f>
        <v>51775</v>
      </c>
      <c r="K199" s="23" t="n">
        <f aca="false">IF($J$1="bid",E199,F199)</f>
        <v>21.591</v>
      </c>
      <c r="L199" s="11"/>
      <c r="M199" s="11"/>
      <c r="N199" s="11"/>
      <c r="O199" s="11"/>
      <c r="P199" s="11"/>
      <c r="Q199" s="11"/>
      <c r="R199" s="11"/>
      <c r="S199" s="11"/>
      <c r="T199" s="11"/>
      <c r="U199" s="11"/>
      <c r="V199" s="11"/>
      <c r="W199" s="11"/>
      <c r="X199" s="11"/>
      <c r="Y199" s="11"/>
      <c r="Z199" s="11"/>
      <c r="AA199" s="11"/>
      <c r="AB199" s="11"/>
      <c r="AC199" s="11"/>
      <c r="AD199" s="11"/>
      <c r="AE199" s="11"/>
      <c r="AF199" s="11"/>
      <c r="AG199" s="11"/>
      <c r="AH199" s="11"/>
      <c r="AI199" s="11"/>
      <c r="AJ199" s="11"/>
      <c r="AK199" s="11"/>
      <c r="AL199" s="11"/>
      <c r="AM199" s="11"/>
      <c r="AN199" s="11"/>
      <c r="AO199" s="11"/>
      <c r="AP199" s="11"/>
      <c r="AQ199" s="11"/>
      <c r="AR199" s="5"/>
      <c r="AS199" s="12"/>
      <c r="AT199" s="12"/>
      <c r="AU199" s="12"/>
      <c r="AV199" s="12"/>
      <c r="AW199" s="12"/>
      <c r="AX199" s="12"/>
      <c r="AY199" s="12"/>
      <c r="AZ199" s="12"/>
      <c r="BA199" s="12"/>
      <c r="BB199" s="12"/>
      <c r="BC199" s="12"/>
      <c r="BD199" s="12"/>
      <c r="BE199" s="12"/>
      <c r="BF199" s="12"/>
      <c r="BG199" s="12"/>
      <c r="BH199" s="12"/>
      <c r="BI199" s="12"/>
      <c r="BJ199" s="12"/>
      <c r="BK199" s="12"/>
      <c r="BL199" s="12"/>
      <c r="BM199" s="12"/>
      <c r="BN199" s="12"/>
      <c r="BO199" s="12"/>
      <c r="BP199" s="12"/>
      <c r="BQ199" s="12"/>
      <c r="BR199" s="12"/>
      <c r="BS199" s="12"/>
      <c r="BT199" s="12"/>
      <c r="BU199" s="12"/>
      <c r="BV199" s="12"/>
      <c r="BW199" s="12"/>
      <c r="BX199" s="12"/>
      <c r="BY199" s="12"/>
      <c r="BZ199" s="12"/>
      <c r="CA199" s="12"/>
      <c r="CB199" s="12"/>
      <c r="CC199" s="12"/>
      <c r="CD199" s="12"/>
      <c r="CE199" s="12"/>
      <c r="CF199" s="12"/>
      <c r="CG199" s="12"/>
      <c r="CH199" s="12"/>
      <c r="CI199" s="12"/>
      <c r="CJ199" s="12"/>
      <c r="CK199" s="12"/>
      <c r="CL199" s="12"/>
      <c r="CM199" s="12"/>
      <c r="CN199" s="12"/>
      <c r="CO199" s="12"/>
      <c r="CP199" s="12"/>
      <c r="CQ199" s="12"/>
      <c r="CR199" s="12"/>
      <c r="CS199" s="12"/>
      <c r="CT199" s="12"/>
      <c r="CU199" s="12"/>
      <c r="CV199" s="12"/>
      <c r="CW199" s="12"/>
      <c r="CX199" s="12"/>
      <c r="CY199" s="12"/>
      <c r="CZ199" s="12"/>
      <c r="DA199" s="12"/>
      <c r="DB199" s="12"/>
      <c r="DC199" s="12"/>
      <c r="DD199" s="12"/>
      <c r="DE199" s="12"/>
      <c r="DF199" s="12"/>
      <c r="DG199" s="12"/>
      <c r="DH199" s="12"/>
      <c r="DI199" s="12"/>
      <c r="DJ199" s="12"/>
      <c r="DK199" s="12"/>
      <c r="DL199" s="12"/>
      <c r="DM199" s="12"/>
      <c r="DN199" s="12"/>
      <c r="DO199" s="12"/>
      <c r="DP199" s="12"/>
      <c r="DQ199" s="12"/>
      <c r="DR199" s="12"/>
      <c r="DS199" s="12"/>
      <c r="DT199" s="12"/>
      <c r="DU199" s="12"/>
      <c r="DV199" s="12"/>
      <c r="DW199" s="12"/>
      <c r="DX199" s="12"/>
      <c r="DY199" s="12"/>
      <c r="DZ199" s="12"/>
      <c r="EA199" s="12"/>
      <c r="EB199" s="12"/>
      <c r="EC199" s="12"/>
      <c r="ED199" s="12"/>
      <c r="EE199" s="12"/>
      <c r="EF199" s="12"/>
      <c r="EG199" s="12"/>
      <c r="EH199" s="12"/>
      <c r="EI199" s="12"/>
      <c r="EJ199" s="12"/>
      <c r="EK199" s="12"/>
      <c r="EL199" s="12"/>
      <c r="EM199" s="12"/>
      <c r="EN199" s="12"/>
      <c r="EO199" s="12"/>
      <c r="EP199" s="12"/>
      <c r="EQ199" s="12"/>
      <c r="ER199" s="12"/>
      <c r="ES199" s="12"/>
      <c r="ET199" s="12"/>
      <c r="EU199" s="12"/>
      <c r="EV199" s="12"/>
      <c r="EW199" s="12"/>
      <c r="EX199" s="12"/>
      <c r="EY199" s="12"/>
      <c r="EZ199" s="12"/>
      <c r="FA199" s="12"/>
      <c r="FB199" s="12"/>
      <c r="FC199" s="12"/>
      <c r="FD199" s="12"/>
      <c r="FE199" s="12"/>
      <c r="FF199" s="12"/>
      <c r="FG199" s="12"/>
      <c r="FH199" s="12"/>
      <c r="FI199" s="12"/>
      <c r="FJ199" s="12"/>
      <c r="FK199" s="12"/>
      <c r="FL199" s="12"/>
      <c r="FM199" s="12"/>
      <c r="FN199" s="12"/>
      <c r="FO199" s="12"/>
      <c r="FP199" s="12"/>
      <c r="FQ199" s="12"/>
      <c r="FR199" s="12"/>
      <c r="FS199" s="12"/>
      <c r="FT199" s="12"/>
      <c r="FU199" s="12"/>
      <c r="FV199" s="12"/>
      <c r="FW199" s="12"/>
      <c r="FX199" s="12"/>
      <c r="FY199" s="12"/>
      <c r="FZ199" s="12"/>
      <c r="GA199" s="12"/>
      <c r="GB199" s="12"/>
      <c r="GC199" s="12"/>
      <c r="GD199" s="12"/>
      <c r="GE199" s="12"/>
      <c r="GF199" s="12"/>
      <c r="GG199" s="12"/>
      <c r="GH199" s="12"/>
      <c r="GI199" s="12"/>
      <c r="GJ199" s="12"/>
      <c r="GK199" s="12"/>
      <c r="GL199" s="12"/>
      <c r="GM199" s="12"/>
      <c r="GN199" s="12"/>
      <c r="GO199" s="12"/>
      <c r="GP199" s="12"/>
      <c r="GQ199" s="12"/>
      <c r="GR199" s="12"/>
      <c r="GS199" s="12"/>
      <c r="GT199" s="12"/>
      <c r="GU199" s="12"/>
      <c r="GV199" s="12"/>
      <c r="GW199" s="12"/>
      <c r="GX199" s="12"/>
      <c r="GY199" s="12"/>
      <c r="GZ199" s="12"/>
      <c r="HA199" s="12"/>
      <c r="HB199" s="12"/>
      <c r="HC199" s="12"/>
      <c r="HD199" s="12"/>
      <c r="HE199" s="12"/>
      <c r="HF199" s="12"/>
      <c r="HG199" s="12"/>
      <c r="HH199" s="12"/>
      <c r="HI199" s="12"/>
      <c r="HJ199" s="12"/>
      <c r="HK199" s="12"/>
      <c r="HL199" s="12"/>
      <c r="HM199" s="12"/>
      <c r="HN199" s="12"/>
      <c r="HO199" s="12"/>
      <c r="HP199" s="12"/>
      <c r="HQ199" s="12"/>
      <c r="HR199" s="12"/>
      <c r="HS199" s="12"/>
      <c r="HT199" s="12"/>
      <c r="HU199" s="12"/>
      <c r="HV199" s="12"/>
      <c r="HW199" s="12"/>
      <c r="HX199" s="12"/>
      <c r="HY199" s="12"/>
      <c r="HZ199" s="12"/>
      <c r="IA199" s="12"/>
      <c r="IB199" s="12"/>
      <c r="IC199" s="12"/>
      <c r="ID199" s="12"/>
      <c r="IE199" s="12"/>
      <c r="IF199" s="12"/>
      <c r="IG199" s="12"/>
      <c r="IH199" s="12"/>
      <c r="II199" s="12"/>
      <c r="IJ199" s="12"/>
      <c r="IK199" s="12"/>
      <c r="IL199" s="12"/>
      <c r="IM199" s="12"/>
      <c r="IN199" s="12"/>
      <c r="IO199" s="12"/>
      <c r="IP199" s="12"/>
      <c r="IQ199" s="12"/>
      <c r="IR199" s="12"/>
      <c r="IS199" s="12"/>
      <c r="IT199" s="12"/>
      <c r="IU199" s="12"/>
      <c r="IV199" s="12"/>
      <c r="IW199" s="12"/>
    </row>
    <row r="200" customFormat="false" ht="11.25" hidden="false" customHeight="false" outlineLevel="0" collapsed="false">
      <c r="A200" s="25" t="n">
        <f aca="false">DATE(YEAR(A199),MONTH(A199)+1,1)</f>
        <v>51806</v>
      </c>
      <c r="B200" s="21" t="n">
        <v>3.143</v>
      </c>
      <c r="C200" s="21" t="n">
        <v>3.243</v>
      </c>
      <c r="D200" s="25" t="n">
        <f aca="false">DATE(YEAR(D199),MONTH(D199)+1,1)</f>
        <v>51806</v>
      </c>
      <c r="E200" s="21" t="n">
        <v>20.244</v>
      </c>
      <c r="F200" s="21" t="n">
        <v>21.616</v>
      </c>
      <c r="G200" s="6"/>
      <c r="H200" s="22" t="n">
        <f aca="false">A200</f>
        <v>51806</v>
      </c>
      <c r="I200" s="23" t="n">
        <f aca="false">IF($J$1="bid",B200,C200)</f>
        <v>3.243</v>
      </c>
      <c r="J200" s="24" t="n">
        <f aca="false">D200</f>
        <v>51806</v>
      </c>
      <c r="K200" s="23" t="n">
        <f aca="false">IF($J$1="bid",E200,F200)</f>
        <v>21.616</v>
      </c>
      <c r="L200" s="11"/>
      <c r="M200" s="11"/>
      <c r="N200" s="11"/>
      <c r="O200" s="11"/>
      <c r="P200" s="11"/>
      <c r="Q200" s="11"/>
      <c r="R200" s="11"/>
      <c r="S200" s="11"/>
      <c r="T200" s="11"/>
      <c r="U200" s="11"/>
      <c r="V200" s="11"/>
      <c r="W200" s="11"/>
      <c r="X200" s="11"/>
      <c r="Y200" s="11"/>
      <c r="Z200" s="11"/>
      <c r="AA200" s="11"/>
      <c r="AB200" s="11"/>
      <c r="AC200" s="11"/>
      <c r="AD200" s="11"/>
      <c r="AE200" s="11"/>
      <c r="AF200" s="11"/>
      <c r="AG200" s="11"/>
      <c r="AH200" s="11"/>
      <c r="AI200" s="11"/>
      <c r="AJ200" s="11"/>
      <c r="AK200" s="11"/>
      <c r="AL200" s="11"/>
      <c r="AM200" s="11"/>
      <c r="AN200" s="11"/>
      <c r="AO200" s="11"/>
      <c r="AP200" s="11"/>
      <c r="AQ200" s="11"/>
      <c r="AR200" s="5"/>
      <c r="AS200" s="12"/>
      <c r="AT200" s="12"/>
      <c r="AU200" s="12"/>
      <c r="AV200" s="12"/>
      <c r="AW200" s="12"/>
      <c r="AX200" s="12"/>
      <c r="AY200" s="12"/>
      <c r="AZ200" s="12"/>
      <c r="BA200" s="12"/>
      <c r="BB200" s="12"/>
      <c r="BC200" s="12"/>
      <c r="BD200" s="12"/>
      <c r="BE200" s="12"/>
      <c r="BF200" s="12"/>
      <c r="BG200" s="12"/>
      <c r="BH200" s="12"/>
      <c r="BI200" s="12"/>
      <c r="BJ200" s="12"/>
      <c r="BK200" s="12"/>
      <c r="BL200" s="12"/>
      <c r="BM200" s="12"/>
      <c r="BN200" s="12"/>
      <c r="BO200" s="12"/>
      <c r="BP200" s="12"/>
      <c r="BQ200" s="12"/>
      <c r="BR200" s="12"/>
      <c r="BS200" s="12"/>
      <c r="BT200" s="12"/>
      <c r="BU200" s="12"/>
      <c r="BV200" s="12"/>
      <c r="BW200" s="12"/>
      <c r="BX200" s="12"/>
      <c r="BY200" s="12"/>
      <c r="BZ200" s="12"/>
      <c r="CA200" s="12"/>
      <c r="CB200" s="12"/>
      <c r="CC200" s="12"/>
      <c r="CD200" s="12"/>
      <c r="CE200" s="12"/>
      <c r="CF200" s="12"/>
      <c r="CG200" s="12"/>
      <c r="CH200" s="12"/>
      <c r="CI200" s="12"/>
      <c r="CJ200" s="12"/>
      <c r="CK200" s="12"/>
      <c r="CL200" s="12"/>
      <c r="CM200" s="12"/>
      <c r="CN200" s="12"/>
      <c r="CO200" s="12"/>
      <c r="CP200" s="12"/>
      <c r="CQ200" s="12"/>
      <c r="CR200" s="12"/>
      <c r="CS200" s="12"/>
      <c r="CT200" s="12"/>
      <c r="CU200" s="12"/>
      <c r="CV200" s="12"/>
      <c r="CW200" s="12"/>
      <c r="CX200" s="12"/>
      <c r="CY200" s="12"/>
      <c r="CZ200" s="12"/>
      <c r="DA200" s="12"/>
      <c r="DB200" s="12"/>
      <c r="DC200" s="12"/>
      <c r="DD200" s="12"/>
      <c r="DE200" s="12"/>
      <c r="DF200" s="12"/>
      <c r="DG200" s="12"/>
      <c r="DH200" s="12"/>
      <c r="DI200" s="12"/>
      <c r="DJ200" s="12"/>
      <c r="DK200" s="12"/>
      <c r="DL200" s="12"/>
      <c r="DM200" s="12"/>
      <c r="DN200" s="12"/>
      <c r="DO200" s="12"/>
      <c r="DP200" s="12"/>
      <c r="DQ200" s="12"/>
      <c r="DR200" s="12"/>
      <c r="DS200" s="12"/>
      <c r="DT200" s="12"/>
      <c r="DU200" s="12"/>
      <c r="DV200" s="12"/>
      <c r="DW200" s="12"/>
      <c r="DX200" s="12"/>
      <c r="DY200" s="12"/>
      <c r="DZ200" s="12"/>
      <c r="EA200" s="12"/>
      <c r="EB200" s="12"/>
      <c r="EC200" s="12"/>
      <c r="ED200" s="12"/>
      <c r="EE200" s="12"/>
      <c r="EF200" s="12"/>
      <c r="EG200" s="12"/>
      <c r="EH200" s="12"/>
      <c r="EI200" s="12"/>
      <c r="EJ200" s="12"/>
      <c r="EK200" s="12"/>
      <c r="EL200" s="12"/>
      <c r="EM200" s="12"/>
      <c r="EN200" s="12"/>
      <c r="EO200" s="12"/>
      <c r="EP200" s="12"/>
      <c r="EQ200" s="12"/>
      <c r="ER200" s="12"/>
      <c r="ES200" s="12"/>
      <c r="ET200" s="12"/>
      <c r="EU200" s="12"/>
      <c r="EV200" s="12"/>
      <c r="EW200" s="12"/>
      <c r="EX200" s="12"/>
      <c r="EY200" s="12"/>
      <c r="EZ200" s="12"/>
      <c r="FA200" s="12"/>
      <c r="FB200" s="12"/>
      <c r="FC200" s="12"/>
      <c r="FD200" s="12"/>
      <c r="FE200" s="12"/>
      <c r="FF200" s="12"/>
      <c r="FG200" s="12"/>
      <c r="FH200" s="12"/>
      <c r="FI200" s="12"/>
      <c r="FJ200" s="12"/>
      <c r="FK200" s="12"/>
      <c r="FL200" s="12"/>
      <c r="FM200" s="12"/>
      <c r="FN200" s="12"/>
      <c r="FO200" s="12"/>
      <c r="FP200" s="12"/>
      <c r="FQ200" s="12"/>
      <c r="FR200" s="12"/>
      <c r="FS200" s="12"/>
      <c r="FT200" s="12"/>
      <c r="FU200" s="12"/>
      <c r="FV200" s="12"/>
      <c r="FW200" s="12"/>
      <c r="FX200" s="12"/>
      <c r="FY200" s="12"/>
      <c r="FZ200" s="12"/>
      <c r="GA200" s="12"/>
      <c r="GB200" s="12"/>
      <c r="GC200" s="12"/>
      <c r="GD200" s="12"/>
      <c r="GE200" s="12"/>
      <c r="GF200" s="12"/>
      <c r="GG200" s="12"/>
      <c r="GH200" s="12"/>
      <c r="GI200" s="12"/>
      <c r="GJ200" s="12"/>
      <c r="GK200" s="12"/>
      <c r="GL200" s="12"/>
      <c r="GM200" s="12"/>
      <c r="GN200" s="12"/>
      <c r="GO200" s="12"/>
      <c r="GP200" s="12"/>
      <c r="GQ200" s="12"/>
      <c r="GR200" s="12"/>
      <c r="GS200" s="12"/>
      <c r="GT200" s="12"/>
      <c r="GU200" s="12"/>
      <c r="GV200" s="12"/>
      <c r="GW200" s="12"/>
      <c r="GX200" s="12"/>
      <c r="GY200" s="12"/>
      <c r="GZ200" s="12"/>
      <c r="HA200" s="12"/>
      <c r="HB200" s="12"/>
      <c r="HC200" s="12"/>
      <c r="HD200" s="12"/>
      <c r="HE200" s="12"/>
      <c r="HF200" s="12"/>
      <c r="HG200" s="12"/>
      <c r="HH200" s="12"/>
      <c r="HI200" s="12"/>
      <c r="HJ200" s="12"/>
      <c r="HK200" s="12"/>
      <c r="HL200" s="12"/>
      <c r="HM200" s="12"/>
      <c r="HN200" s="12"/>
      <c r="HO200" s="12"/>
      <c r="HP200" s="12"/>
      <c r="HQ200" s="12"/>
      <c r="HR200" s="12"/>
      <c r="HS200" s="12"/>
      <c r="HT200" s="12"/>
      <c r="HU200" s="12"/>
      <c r="HV200" s="12"/>
      <c r="HW200" s="12"/>
      <c r="HX200" s="12"/>
      <c r="HY200" s="12"/>
      <c r="HZ200" s="12"/>
      <c r="IA200" s="12"/>
      <c r="IB200" s="12"/>
      <c r="IC200" s="12"/>
      <c r="ID200" s="12"/>
      <c r="IE200" s="12"/>
      <c r="IF200" s="12"/>
      <c r="IG200" s="12"/>
      <c r="IH200" s="12"/>
      <c r="II200" s="12"/>
      <c r="IJ200" s="12"/>
      <c r="IK200" s="12"/>
      <c r="IL200" s="12"/>
      <c r="IM200" s="12"/>
      <c r="IN200" s="12"/>
      <c r="IO200" s="12"/>
      <c r="IP200" s="12"/>
      <c r="IQ200" s="12"/>
      <c r="IR200" s="12"/>
      <c r="IS200" s="12"/>
      <c r="IT200" s="12"/>
      <c r="IU200" s="12"/>
      <c r="IV200" s="12"/>
      <c r="IW200" s="12"/>
    </row>
    <row r="201" customFormat="false" ht="11.25" hidden="false" customHeight="false" outlineLevel="0" collapsed="false">
      <c r="A201" s="25" t="n">
        <f aca="false">DATE(YEAR(A200),MONTH(A200)+1,1)</f>
        <v>51836</v>
      </c>
      <c r="B201" s="21" t="n">
        <v>3.058</v>
      </c>
      <c r="C201" s="21" t="n">
        <v>3.158</v>
      </c>
      <c r="D201" s="25" t="n">
        <f aca="false">DATE(YEAR(D200),MONTH(D200)+1,1)</f>
        <v>51836</v>
      </c>
      <c r="E201" s="21" t="n">
        <v>20.26</v>
      </c>
      <c r="F201" s="21" t="n">
        <v>21.64</v>
      </c>
      <c r="G201" s="6"/>
      <c r="H201" s="22" t="n">
        <f aca="false">A201</f>
        <v>51836</v>
      </c>
      <c r="I201" s="23" t="n">
        <f aca="false">IF($J$1="bid",B201,C201)</f>
        <v>3.158</v>
      </c>
      <c r="J201" s="24" t="n">
        <f aca="false">D201</f>
        <v>51836</v>
      </c>
      <c r="K201" s="23" t="n">
        <f aca="false">IF($J$1="bid",E201,F201)</f>
        <v>21.64</v>
      </c>
      <c r="L201" s="11"/>
      <c r="M201" s="11"/>
      <c r="N201" s="11"/>
      <c r="O201" s="11"/>
      <c r="P201" s="11"/>
      <c r="Q201" s="11"/>
      <c r="R201" s="11"/>
      <c r="S201" s="11"/>
      <c r="T201" s="11"/>
      <c r="U201" s="11"/>
      <c r="V201" s="11"/>
      <c r="W201" s="11"/>
      <c r="X201" s="11"/>
      <c r="Y201" s="11"/>
      <c r="Z201" s="11"/>
      <c r="AA201" s="11"/>
      <c r="AB201" s="11"/>
      <c r="AC201" s="11"/>
      <c r="AD201" s="11"/>
      <c r="AE201" s="11"/>
      <c r="AF201" s="11"/>
      <c r="AG201" s="11"/>
      <c r="AH201" s="11"/>
      <c r="AI201" s="11"/>
      <c r="AJ201" s="11"/>
      <c r="AK201" s="11"/>
      <c r="AL201" s="11"/>
      <c r="AM201" s="11"/>
      <c r="AN201" s="11"/>
      <c r="AO201" s="11"/>
      <c r="AP201" s="11"/>
      <c r="AQ201" s="11"/>
      <c r="AR201" s="5"/>
      <c r="AS201" s="12"/>
      <c r="AT201" s="12"/>
      <c r="AU201" s="12"/>
      <c r="AV201" s="12"/>
      <c r="AW201" s="12"/>
      <c r="AX201" s="12"/>
      <c r="AY201" s="12"/>
      <c r="AZ201" s="12"/>
      <c r="BA201" s="12"/>
      <c r="BB201" s="12"/>
      <c r="BC201" s="12"/>
      <c r="BD201" s="12"/>
      <c r="BE201" s="12"/>
      <c r="BF201" s="12"/>
      <c r="BG201" s="12"/>
      <c r="BH201" s="12"/>
      <c r="BI201" s="12"/>
      <c r="BJ201" s="12"/>
      <c r="BK201" s="12"/>
      <c r="BL201" s="12"/>
      <c r="BM201" s="12"/>
      <c r="BN201" s="12"/>
      <c r="BO201" s="12"/>
      <c r="BP201" s="12"/>
      <c r="BQ201" s="12"/>
      <c r="BR201" s="12"/>
      <c r="BS201" s="12"/>
      <c r="BT201" s="12"/>
      <c r="BU201" s="12"/>
      <c r="BV201" s="12"/>
      <c r="BW201" s="12"/>
      <c r="BX201" s="12"/>
      <c r="BY201" s="12"/>
      <c r="BZ201" s="12"/>
      <c r="CA201" s="12"/>
      <c r="CB201" s="12"/>
      <c r="CC201" s="12"/>
      <c r="CD201" s="12"/>
      <c r="CE201" s="12"/>
      <c r="CF201" s="12"/>
      <c r="CG201" s="12"/>
      <c r="CH201" s="12"/>
      <c r="CI201" s="12"/>
      <c r="CJ201" s="12"/>
      <c r="CK201" s="12"/>
      <c r="CL201" s="12"/>
      <c r="CM201" s="12"/>
      <c r="CN201" s="12"/>
      <c r="CO201" s="12"/>
      <c r="CP201" s="12"/>
      <c r="CQ201" s="12"/>
      <c r="CR201" s="12"/>
      <c r="CS201" s="12"/>
      <c r="CT201" s="12"/>
      <c r="CU201" s="12"/>
      <c r="CV201" s="12"/>
      <c r="CW201" s="12"/>
      <c r="CX201" s="12"/>
      <c r="CY201" s="12"/>
      <c r="CZ201" s="12"/>
      <c r="DA201" s="12"/>
      <c r="DB201" s="12"/>
      <c r="DC201" s="12"/>
      <c r="DD201" s="12"/>
      <c r="DE201" s="12"/>
      <c r="DF201" s="12"/>
      <c r="DG201" s="12"/>
      <c r="DH201" s="12"/>
      <c r="DI201" s="12"/>
      <c r="DJ201" s="12"/>
      <c r="DK201" s="12"/>
      <c r="DL201" s="12"/>
      <c r="DM201" s="12"/>
      <c r="DN201" s="12"/>
      <c r="DO201" s="12"/>
      <c r="DP201" s="12"/>
      <c r="DQ201" s="12"/>
      <c r="DR201" s="12"/>
      <c r="DS201" s="12"/>
      <c r="DT201" s="12"/>
      <c r="DU201" s="12"/>
      <c r="DV201" s="12"/>
      <c r="DW201" s="12"/>
      <c r="DX201" s="12"/>
      <c r="DY201" s="12"/>
      <c r="DZ201" s="12"/>
      <c r="EA201" s="12"/>
      <c r="EB201" s="12"/>
      <c r="EC201" s="12"/>
      <c r="ED201" s="12"/>
      <c r="EE201" s="12"/>
      <c r="EF201" s="12"/>
      <c r="EG201" s="12"/>
      <c r="EH201" s="12"/>
      <c r="EI201" s="12"/>
      <c r="EJ201" s="12"/>
      <c r="EK201" s="12"/>
      <c r="EL201" s="12"/>
      <c r="EM201" s="12"/>
      <c r="EN201" s="12"/>
      <c r="EO201" s="12"/>
      <c r="EP201" s="12"/>
      <c r="EQ201" s="12"/>
      <c r="ER201" s="12"/>
      <c r="ES201" s="12"/>
      <c r="ET201" s="12"/>
      <c r="EU201" s="12"/>
      <c r="EV201" s="12"/>
      <c r="EW201" s="12"/>
      <c r="EX201" s="12"/>
      <c r="EY201" s="12"/>
      <c r="EZ201" s="12"/>
      <c r="FA201" s="12"/>
      <c r="FB201" s="12"/>
      <c r="FC201" s="12"/>
      <c r="FD201" s="12"/>
      <c r="FE201" s="12"/>
      <c r="FF201" s="12"/>
      <c r="FG201" s="12"/>
      <c r="FH201" s="12"/>
      <c r="FI201" s="12"/>
      <c r="FJ201" s="12"/>
      <c r="FK201" s="12"/>
      <c r="FL201" s="12"/>
      <c r="FM201" s="12"/>
      <c r="FN201" s="12"/>
      <c r="FO201" s="12"/>
      <c r="FP201" s="12"/>
      <c r="FQ201" s="12"/>
      <c r="FR201" s="12"/>
      <c r="FS201" s="12"/>
      <c r="FT201" s="12"/>
      <c r="FU201" s="12"/>
      <c r="FV201" s="12"/>
      <c r="FW201" s="12"/>
      <c r="FX201" s="12"/>
      <c r="FY201" s="12"/>
      <c r="FZ201" s="12"/>
      <c r="GA201" s="12"/>
      <c r="GB201" s="12"/>
      <c r="GC201" s="12"/>
      <c r="GD201" s="12"/>
      <c r="GE201" s="12"/>
      <c r="GF201" s="12"/>
      <c r="GG201" s="12"/>
      <c r="GH201" s="12"/>
      <c r="GI201" s="12"/>
      <c r="GJ201" s="12"/>
      <c r="GK201" s="12"/>
      <c r="GL201" s="12"/>
      <c r="GM201" s="12"/>
      <c r="GN201" s="12"/>
      <c r="GO201" s="12"/>
      <c r="GP201" s="12"/>
      <c r="GQ201" s="12"/>
      <c r="GR201" s="12"/>
      <c r="GS201" s="12"/>
      <c r="GT201" s="12"/>
      <c r="GU201" s="12"/>
      <c r="GV201" s="12"/>
      <c r="GW201" s="12"/>
      <c r="GX201" s="12"/>
      <c r="GY201" s="12"/>
      <c r="GZ201" s="12"/>
      <c r="HA201" s="12"/>
      <c r="HB201" s="12"/>
      <c r="HC201" s="12"/>
      <c r="HD201" s="12"/>
      <c r="HE201" s="12"/>
      <c r="HF201" s="12"/>
      <c r="HG201" s="12"/>
      <c r="HH201" s="12"/>
      <c r="HI201" s="12"/>
      <c r="HJ201" s="12"/>
      <c r="HK201" s="12"/>
      <c r="HL201" s="12"/>
      <c r="HM201" s="12"/>
      <c r="HN201" s="12"/>
      <c r="HO201" s="12"/>
      <c r="HP201" s="12"/>
      <c r="HQ201" s="12"/>
      <c r="HR201" s="12"/>
      <c r="HS201" s="12"/>
      <c r="HT201" s="12"/>
      <c r="HU201" s="12"/>
      <c r="HV201" s="12"/>
      <c r="HW201" s="12"/>
      <c r="HX201" s="12"/>
      <c r="HY201" s="12"/>
      <c r="HZ201" s="12"/>
      <c r="IA201" s="12"/>
      <c r="IB201" s="12"/>
      <c r="IC201" s="12"/>
      <c r="ID201" s="12"/>
      <c r="IE201" s="12"/>
      <c r="IF201" s="12"/>
      <c r="IG201" s="12"/>
      <c r="IH201" s="12"/>
      <c r="II201" s="12"/>
      <c r="IJ201" s="12"/>
      <c r="IK201" s="12"/>
      <c r="IL201" s="12"/>
      <c r="IM201" s="12"/>
      <c r="IN201" s="12"/>
      <c r="IO201" s="12"/>
      <c r="IP201" s="12"/>
      <c r="IQ201" s="12"/>
      <c r="IR201" s="12"/>
      <c r="IS201" s="12"/>
      <c r="IT201" s="12"/>
      <c r="IU201" s="12"/>
      <c r="IV201" s="12"/>
      <c r="IW201" s="12"/>
    </row>
    <row r="202" customFormat="false" ht="11.25" hidden="false" customHeight="false" outlineLevel="0" collapsed="false">
      <c r="A202" s="25" t="n">
        <f aca="false">DATE(YEAR(A201),MONTH(A201)+1,1)</f>
        <v>51867</v>
      </c>
      <c r="B202" s="21" t="n">
        <v>2.992</v>
      </c>
      <c r="C202" s="21" t="n">
        <v>3.092</v>
      </c>
      <c r="D202" s="25" t="n">
        <f aca="false">DATE(YEAR(D201),MONTH(D201)+1,1)</f>
        <v>51867</v>
      </c>
      <c r="E202" s="21" t="n">
        <v>20.277</v>
      </c>
      <c r="F202" s="21" t="n">
        <v>21.666</v>
      </c>
      <c r="G202" s="6"/>
      <c r="H202" s="22" t="n">
        <f aca="false">A202</f>
        <v>51867</v>
      </c>
      <c r="I202" s="23" t="n">
        <f aca="false">IF($J$1="bid",B202,C202)</f>
        <v>3.092</v>
      </c>
      <c r="J202" s="24" t="n">
        <f aca="false">D202</f>
        <v>51867</v>
      </c>
      <c r="K202" s="23" t="n">
        <f aca="false">IF($J$1="bid",E202,F202)</f>
        <v>21.666</v>
      </c>
      <c r="L202" s="11"/>
      <c r="M202" s="11"/>
      <c r="N202" s="11"/>
      <c r="O202" s="11"/>
      <c r="P202" s="11"/>
      <c r="Q202" s="11"/>
      <c r="R202" s="11"/>
      <c r="S202" s="11"/>
      <c r="T202" s="11"/>
      <c r="U202" s="11"/>
      <c r="V202" s="11"/>
      <c r="W202" s="11"/>
      <c r="X202" s="11"/>
      <c r="Y202" s="11"/>
      <c r="Z202" s="11"/>
      <c r="AA202" s="11"/>
      <c r="AB202" s="11"/>
      <c r="AC202" s="11"/>
      <c r="AD202" s="11"/>
      <c r="AE202" s="11"/>
      <c r="AF202" s="11"/>
      <c r="AG202" s="11"/>
      <c r="AH202" s="11"/>
      <c r="AI202" s="11"/>
      <c r="AJ202" s="11"/>
      <c r="AK202" s="11"/>
      <c r="AL202" s="11"/>
      <c r="AM202" s="11"/>
      <c r="AN202" s="11"/>
      <c r="AO202" s="11"/>
      <c r="AP202" s="11"/>
      <c r="AQ202" s="11"/>
      <c r="AR202" s="5"/>
      <c r="AS202" s="12"/>
      <c r="AT202" s="12"/>
      <c r="AU202" s="12"/>
      <c r="AV202" s="12"/>
      <c r="AW202" s="12"/>
      <c r="AX202" s="12"/>
      <c r="AY202" s="12"/>
      <c r="AZ202" s="12"/>
      <c r="BA202" s="12"/>
      <c r="BB202" s="12"/>
      <c r="BC202" s="12"/>
      <c r="BD202" s="12"/>
      <c r="BE202" s="12"/>
      <c r="BF202" s="12"/>
      <c r="BG202" s="12"/>
      <c r="BH202" s="12"/>
      <c r="BI202" s="12"/>
      <c r="BJ202" s="12"/>
      <c r="BK202" s="12"/>
      <c r="BL202" s="12"/>
      <c r="BM202" s="12"/>
      <c r="BN202" s="12"/>
      <c r="BO202" s="12"/>
      <c r="BP202" s="12"/>
      <c r="BQ202" s="12"/>
      <c r="BR202" s="12"/>
      <c r="BS202" s="12"/>
      <c r="BT202" s="12"/>
      <c r="BU202" s="12"/>
      <c r="BV202" s="12"/>
      <c r="BW202" s="12"/>
      <c r="BX202" s="12"/>
      <c r="BY202" s="12"/>
      <c r="BZ202" s="12"/>
      <c r="CA202" s="12"/>
      <c r="CB202" s="12"/>
      <c r="CC202" s="12"/>
      <c r="CD202" s="12"/>
      <c r="CE202" s="12"/>
      <c r="CF202" s="12"/>
      <c r="CG202" s="12"/>
      <c r="CH202" s="12"/>
      <c r="CI202" s="12"/>
      <c r="CJ202" s="12"/>
      <c r="CK202" s="12"/>
      <c r="CL202" s="12"/>
      <c r="CM202" s="12"/>
      <c r="CN202" s="12"/>
      <c r="CO202" s="12"/>
      <c r="CP202" s="12"/>
      <c r="CQ202" s="12"/>
      <c r="CR202" s="12"/>
      <c r="CS202" s="12"/>
      <c r="CT202" s="12"/>
      <c r="CU202" s="12"/>
      <c r="CV202" s="12"/>
      <c r="CW202" s="12"/>
      <c r="CX202" s="12"/>
      <c r="CY202" s="12"/>
      <c r="CZ202" s="12"/>
      <c r="DA202" s="12"/>
      <c r="DB202" s="12"/>
      <c r="DC202" s="12"/>
      <c r="DD202" s="12"/>
      <c r="DE202" s="12"/>
      <c r="DF202" s="12"/>
      <c r="DG202" s="12"/>
      <c r="DH202" s="12"/>
      <c r="DI202" s="12"/>
      <c r="DJ202" s="12"/>
      <c r="DK202" s="12"/>
      <c r="DL202" s="12"/>
      <c r="DM202" s="12"/>
      <c r="DN202" s="12"/>
      <c r="DO202" s="12"/>
      <c r="DP202" s="12"/>
      <c r="DQ202" s="12"/>
      <c r="DR202" s="12"/>
      <c r="DS202" s="12"/>
      <c r="DT202" s="12"/>
      <c r="DU202" s="12"/>
      <c r="DV202" s="12"/>
      <c r="DW202" s="12"/>
      <c r="DX202" s="12"/>
      <c r="DY202" s="12"/>
      <c r="DZ202" s="12"/>
      <c r="EA202" s="12"/>
      <c r="EB202" s="12"/>
      <c r="EC202" s="12"/>
      <c r="ED202" s="12"/>
      <c r="EE202" s="12"/>
      <c r="EF202" s="12"/>
      <c r="EG202" s="12"/>
      <c r="EH202" s="12"/>
      <c r="EI202" s="12"/>
      <c r="EJ202" s="12"/>
      <c r="EK202" s="12"/>
      <c r="EL202" s="12"/>
      <c r="EM202" s="12"/>
      <c r="EN202" s="12"/>
      <c r="EO202" s="12"/>
      <c r="EP202" s="12"/>
      <c r="EQ202" s="12"/>
      <c r="ER202" s="12"/>
      <c r="ES202" s="12"/>
      <c r="ET202" s="12"/>
      <c r="EU202" s="12"/>
      <c r="EV202" s="12"/>
      <c r="EW202" s="12"/>
      <c r="EX202" s="12"/>
      <c r="EY202" s="12"/>
      <c r="EZ202" s="12"/>
      <c r="FA202" s="12"/>
      <c r="FB202" s="12"/>
      <c r="FC202" s="12"/>
      <c r="FD202" s="12"/>
      <c r="FE202" s="12"/>
      <c r="FF202" s="12"/>
      <c r="FG202" s="12"/>
      <c r="FH202" s="12"/>
      <c r="FI202" s="12"/>
      <c r="FJ202" s="12"/>
      <c r="FK202" s="12"/>
      <c r="FL202" s="12"/>
      <c r="FM202" s="12"/>
      <c r="FN202" s="12"/>
      <c r="FO202" s="12"/>
      <c r="FP202" s="12"/>
      <c r="FQ202" s="12"/>
      <c r="FR202" s="12"/>
      <c r="FS202" s="12"/>
      <c r="FT202" s="12"/>
      <c r="FU202" s="12"/>
      <c r="FV202" s="12"/>
      <c r="FW202" s="12"/>
      <c r="FX202" s="12"/>
      <c r="FY202" s="12"/>
      <c r="FZ202" s="12"/>
      <c r="GA202" s="12"/>
      <c r="GB202" s="12"/>
      <c r="GC202" s="12"/>
      <c r="GD202" s="12"/>
      <c r="GE202" s="12"/>
      <c r="GF202" s="12"/>
      <c r="GG202" s="12"/>
      <c r="GH202" s="12"/>
      <c r="GI202" s="12"/>
      <c r="GJ202" s="12"/>
      <c r="GK202" s="12"/>
      <c r="GL202" s="12"/>
      <c r="GM202" s="12"/>
      <c r="GN202" s="12"/>
      <c r="GO202" s="12"/>
      <c r="GP202" s="12"/>
      <c r="GQ202" s="12"/>
      <c r="GR202" s="12"/>
      <c r="GS202" s="12"/>
      <c r="GT202" s="12"/>
      <c r="GU202" s="12"/>
      <c r="GV202" s="12"/>
      <c r="GW202" s="12"/>
      <c r="GX202" s="12"/>
      <c r="GY202" s="12"/>
      <c r="GZ202" s="12"/>
      <c r="HA202" s="12"/>
      <c r="HB202" s="12"/>
      <c r="HC202" s="12"/>
      <c r="HD202" s="12"/>
      <c r="HE202" s="12"/>
      <c r="HF202" s="12"/>
      <c r="HG202" s="12"/>
      <c r="HH202" s="12"/>
      <c r="HI202" s="12"/>
      <c r="HJ202" s="12"/>
      <c r="HK202" s="12"/>
      <c r="HL202" s="12"/>
      <c r="HM202" s="12"/>
      <c r="HN202" s="12"/>
      <c r="HO202" s="12"/>
      <c r="HP202" s="12"/>
      <c r="HQ202" s="12"/>
      <c r="HR202" s="12"/>
      <c r="HS202" s="12"/>
      <c r="HT202" s="12"/>
      <c r="HU202" s="12"/>
      <c r="HV202" s="12"/>
      <c r="HW202" s="12"/>
      <c r="HX202" s="12"/>
      <c r="HY202" s="12"/>
      <c r="HZ202" s="12"/>
      <c r="IA202" s="12"/>
      <c r="IB202" s="12"/>
      <c r="IC202" s="12"/>
      <c r="ID202" s="12"/>
      <c r="IE202" s="12"/>
      <c r="IF202" s="12"/>
      <c r="IG202" s="12"/>
      <c r="IH202" s="12"/>
      <c r="II202" s="12"/>
      <c r="IJ202" s="12"/>
      <c r="IK202" s="12"/>
      <c r="IL202" s="12"/>
      <c r="IM202" s="12"/>
      <c r="IN202" s="12"/>
      <c r="IO202" s="12"/>
      <c r="IP202" s="12"/>
      <c r="IQ202" s="12"/>
      <c r="IR202" s="12"/>
      <c r="IS202" s="12"/>
      <c r="IT202" s="12"/>
      <c r="IU202" s="12"/>
      <c r="IV202" s="12"/>
      <c r="IW202" s="12"/>
    </row>
    <row r="203" customFormat="false" ht="11.25" hidden="false" customHeight="false" outlineLevel="0" collapsed="false">
      <c r="A203" s="25" t="n">
        <f aca="false">DATE(YEAR(A202),MONTH(A202)+1,1)</f>
        <v>51898</v>
      </c>
      <c r="B203" s="21" t="n">
        <v>2.943</v>
      </c>
      <c r="C203" s="21" t="n">
        <v>3.043</v>
      </c>
      <c r="D203" s="25" t="n">
        <f aca="false">DATE(YEAR(D202),MONTH(D202)+1,1)</f>
        <v>51898</v>
      </c>
      <c r="E203" s="21" t="n">
        <v>20.292</v>
      </c>
      <c r="F203" s="21" t="n">
        <v>21.688</v>
      </c>
      <c r="G203" s="6"/>
      <c r="H203" s="22" t="n">
        <f aca="false">A203</f>
        <v>51898</v>
      </c>
      <c r="I203" s="23" t="n">
        <f aca="false">IF($J$1="bid",B203,C203)</f>
        <v>3.043</v>
      </c>
      <c r="J203" s="24" t="n">
        <f aca="false">D203</f>
        <v>51898</v>
      </c>
      <c r="K203" s="23" t="n">
        <f aca="false">IF($J$1="bid",E203,F203)</f>
        <v>21.688</v>
      </c>
      <c r="L203" s="11"/>
      <c r="M203" s="11"/>
      <c r="N203" s="11"/>
      <c r="O203" s="11"/>
      <c r="P203" s="11"/>
      <c r="Q203" s="11"/>
      <c r="R203" s="11"/>
      <c r="S203" s="11"/>
      <c r="T203" s="11"/>
      <c r="U203" s="11"/>
      <c r="V203" s="11"/>
      <c r="W203" s="11"/>
      <c r="X203" s="11"/>
      <c r="Y203" s="11"/>
      <c r="Z203" s="11"/>
      <c r="AA203" s="11"/>
      <c r="AB203" s="11"/>
      <c r="AC203" s="11"/>
      <c r="AD203" s="11"/>
      <c r="AE203" s="11"/>
      <c r="AF203" s="11"/>
      <c r="AG203" s="11"/>
      <c r="AH203" s="11"/>
      <c r="AI203" s="11"/>
      <c r="AJ203" s="11"/>
      <c r="AK203" s="11"/>
      <c r="AL203" s="11"/>
      <c r="AM203" s="11"/>
      <c r="AN203" s="11"/>
      <c r="AO203" s="11"/>
      <c r="AP203" s="11"/>
      <c r="AQ203" s="11"/>
      <c r="AR203" s="5"/>
      <c r="AS203" s="12"/>
      <c r="AT203" s="12"/>
      <c r="AU203" s="12"/>
      <c r="AV203" s="12"/>
      <c r="AW203" s="12"/>
      <c r="AX203" s="12"/>
      <c r="AY203" s="12"/>
      <c r="AZ203" s="12"/>
      <c r="BA203" s="12"/>
      <c r="BB203" s="12"/>
      <c r="BC203" s="12"/>
      <c r="BD203" s="12"/>
      <c r="BE203" s="12"/>
      <c r="BF203" s="12"/>
      <c r="BG203" s="12"/>
      <c r="BH203" s="12"/>
      <c r="BI203" s="12"/>
      <c r="BJ203" s="12"/>
      <c r="BK203" s="12"/>
      <c r="BL203" s="12"/>
      <c r="BM203" s="12"/>
      <c r="BN203" s="12"/>
      <c r="BO203" s="12"/>
      <c r="BP203" s="12"/>
      <c r="BQ203" s="12"/>
      <c r="BR203" s="12"/>
      <c r="BS203" s="12"/>
      <c r="BT203" s="12"/>
      <c r="BU203" s="12"/>
      <c r="BV203" s="12"/>
      <c r="BW203" s="12"/>
      <c r="BX203" s="12"/>
      <c r="BY203" s="12"/>
      <c r="BZ203" s="12"/>
      <c r="CA203" s="12"/>
      <c r="CB203" s="12"/>
      <c r="CC203" s="12"/>
      <c r="CD203" s="12"/>
      <c r="CE203" s="12"/>
      <c r="CF203" s="12"/>
      <c r="CG203" s="12"/>
      <c r="CH203" s="12"/>
      <c r="CI203" s="12"/>
      <c r="CJ203" s="12"/>
      <c r="CK203" s="12"/>
      <c r="CL203" s="12"/>
      <c r="CM203" s="12"/>
      <c r="CN203" s="12"/>
      <c r="CO203" s="12"/>
      <c r="CP203" s="12"/>
      <c r="CQ203" s="12"/>
      <c r="CR203" s="12"/>
      <c r="CS203" s="12"/>
      <c r="CT203" s="12"/>
      <c r="CU203" s="12"/>
      <c r="CV203" s="12"/>
      <c r="CW203" s="12"/>
      <c r="CX203" s="12"/>
      <c r="CY203" s="12"/>
      <c r="CZ203" s="12"/>
      <c r="DA203" s="12"/>
      <c r="DB203" s="12"/>
      <c r="DC203" s="12"/>
      <c r="DD203" s="12"/>
      <c r="DE203" s="12"/>
      <c r="DF203" s="12"/>
      <c r="DG203" s="12"/>
      <c r="DH203" s="12"/>
      <c r="DI203" s="12"/>
      <c r="DJ203" s="12"/>
      <c r="DK203" s="12"/>
      <c r="DL203" s="12"/>
      <c r="DM203" s="12"/>
      <c r="DN203" s="12"/>
      <c r="DO203" s="12"/>
      <c r="DP203" s="12"/>
      <c r="DQ203" s="12"/>
      <c r="DR203" s="12"/>
      <c r="DS203" s="12"/>
      <c r="DT203" s="12"/>
      <c r="DU203" s="12"/>
      <c r="DV203" s="12"/>
      <c r="DW203" s="12"/>
      <c r="DX203" s="12"/>
      <c r="DY203" s="12"/>
      <c r="DZ203" s="12"/>
      <c r="EA203" s="12"/>
      <c r="EB203" s="12"/>
      <c r="EC203" s="12"/>
      <c r="ED203" s="12"/>
      <c r="EE203" s="12"/>
      <c r="EF203" s="12"/>
      <c r="EG203" s="12"/>
      <c r="EH203" s="12"/>
      <c r="EI203" s="12"/>
      <c r="EJ203" s="12"/>
      <c r="EK203" s="12"/>
      <c r="EL203" s="12"/>
      <c r="EM203" s="12"/>
      <c r="EN203" s="12"/>
      <c r="EO203" s="12"/>
      <c r="EP203" s="12"/>
      <c r="EQ203" s="12"/>
      <c r="ER203" s="12"/>
      <c r="ES203" s="12"/>
      <c r="ET203" s="12"/>
      <c r="EU203" s="12"/>
      <c r="EV203" s="12"/>
      <c r="EW203" s="12"/>
      <c r="EX203" s="12"/>
      <c r="EY203" s="12"/>
      <c r="EZ203" s="12"/>
      <c r="FA203" s="12"/>
      <c r="FB203" s="12"/>
      <c r="FC203" s="12"/>
      <c r="FD203" s="12"/>
      <c r="FE203" s="12"/>
      <c r="FF203" s="12"/>
      <c r="FG203" s="12"/>
      <c r="FH203" s="12"/>
      <c r="FI203" s="12"/>
      <c r="FJ203" s="12"/>
      <c r="FK203" s="12"/>
      <c r="FL203" s="12"/>
      <c r="FM203" s="12"/>
      <c r="FN203" s="12"/>
      <c r="FO203" s="12"/>
      <c r="FP203" s="12"/>
      <c r="FQ203" s="12"/>
      <c r="FR203" s="12"/>
      <c r="FS203" s="12"/>
      <c r="FT203" s="12"/>
      <c r="FU203" s="12"/>
      <c r="FV203" s="12"/>
      <c r="FW203" s="12"/>
      <c r="FX203" s="12"/>
      <c r="FY203" s="12"/>
      <c r="FZ203" s="12"/>
      <c r="GA203" s="12"/>
      <c r="GB203" s="12"/>
      <c r="GC203" s="12"/>
      <c r="GD203" s="12"/>
      <c r="GE203" s="12"/>
      <c r="GF203" s="12"/>
      <c r="GG203" s="12"/>
      <c r="GH203" s="12"/>
      <c r="GI203" s="12"/>
      <c r="GJ203" s="12"/>
      <c r="GK203" s="12"/>
      <c r="GL203" s="12"/>
      <c r="GM203" s="12"/>
      <c r="GN203" s="12"/>
      <c r="GO203" s="12"/>
      <c r="GP203" s="12"/>
      <c r="GQ203" s="12"/>
      <c r="GR203" s="12"/>
      <c r="GS203" s="12"/>
      <c r="GT203" s="12"/>
      <c r="GU203" s="12"/>
      <c r="GV203" s="12"/>
      <c r="GW203" s="12"/>
      <c r="GX203" s="12"/>
      <c r="GY203" s="12"/>
      <c r="GZ203" s="12"/>
      <c r="HA203" s="12"/>
      <c r="HB203" s="12"/>
      <c r="HC203" s="12"/>
      <c r="HD203" s="12"/>
      <c r="HE203" s="12"/>
      <c r="HF203" s="12"/>
      <c r="HG203" s="12"/>
      <c r="HH203" s="12"/>
      <c r="HI203" s="12"/>
      <c r="HJ203" s="12"/>
      <c r="HK203" s="12"/>
      <c r="HL203" s="12"/>
      <c r="HM203" s="12"/>
      <c r="HN203" s="12"/>
      <c r="HO203" s="12"/>
      <c r="HP203" s="12"/>
      <c r="HQ203" s="12"/>
      <c r="HR203" s="12"/>
      <c r="HS203" s="12"/>
      <c r="HT203" s="12"/>
      <c r="HU203" s="12"/>
      <c r="HV203" s="12"/>
      <c r="HW203" s="12"/>
      <c r="HX203" s="12"/>
      <c r="HY203" s="12"/>
      <c r="HZ203" s="12"/>
      <c r="IA203" s="12"/>
      <c r="IB203" s="12"/>
      <c r="IC203" s="12"/>
      <c r="ID203" s="12"/>
      <c r="IE203" s="12"/>
      <c r="IF203" s="12"/>
      <c r="IG203" s="12"/>
      <c r="IH203" s="12"/>
      <c r="II203" s="12"/>
      <c r="IJ203" s="12"/>
      <c r="IK203" s="12"/>
      <c r="IL203" s="12"/>
      <c r="IM203" s="12"/>
      <c r="IN203" s="12"/>
      <c r="IO203" s="12"/>
      <c r="IP203" s="12"/>
      <c r="IQ203" s="12"/>
      <c r="IR203" s="12"/>
      <c r="IS203" s="12"/>
      <c r="IT203" s="12"/>
      <c r="IU203" s="12"/>
      <c r="IV203" s="12"/>
      <c r="IW203" s="12"/>
    </row>
    <row r="204" customFormat="false" ht="11.25" hidden="false" customHeight="false" outlineLevel="0" collapsed="false">
      <c r="A204" s="25" t="n">
        <f aca="false">DATE(YEAR(A203),MONTH(A203)+1,1)</f>
        <v>51926</v>
      </c>
      <c r="B204" s="21" t="n">
        <v>2.93</v>
      </c>
      <c r="C204" s="21" t="n">
        <v>3.03</v>
      </c>
      <c r="D204" s="25" t="n">
        <f aca="false">DATE(YEAR(D203),MONTH(D203)+1,1)</f>
        <v>51926</v>
      </c>
      <c r="E204" s="21" t="n">
        <v>20.309</v>
      </c>
      <c r="F204" s="21" t="n">
        <v>21.713</v>
      </c>
      <c r="G204" s="6"/>
      <c r="H204" s="22" t="n">
        <f aca="false">A204</f>
        <v>51926</v>
      </c>
      <c r="I204" s="23" t="n">
        <f aca="false">IF($J$1="bid",B204,C204)</f>
        <v>3.03</v>
      </c>
      <c r="J204" s="24" t="n">
        <f aca="false">D204</f>
        <v>51926</v>
      </c>
      <c r="K204" s="23" t="n">
        <f aca="false">IF($J$1="bid",E204,F204)</f>
        <v>21.713</v>
      </c>
      <c r="L204" s="11"/>
      <c r="M204" s="11"/>
      <c r="N204" s="11"/>
      <c r="O204" s="11"/>
      <c r="P204" s="11"/>
      <c r="Q204" s="11"/>
      <c r="R204" s="11"/>
      <c r="S204" s="11"/>
      <c r="T204" s="11"/>
      <c r="U204" s="11"/>
      <c r="V204" s="11"/>
      <c r="W204" s="11"/>
      <c r="X204" s="11"/>
      <c r="Y204" s="11"/>
      <c r="Z204" s="11"/>
      <c r="AA204" s="11"/>
      <c r="AB204" s="11"/>
      <c r="AC204" s="11"/>
      <c r="AD204" s="11"/>
      <c r="AE204" s="11"/>
      <c r="AF204" s="11"/>
      <c r="AG204" s="11"/>
      <c r="AH204" s="11"/>
      <c r="AI204" s="11"/>
      <c r="AJ204" s="11"/>
      <c r="AK204" s="11"/>
      <c r="AL204" s="11"/>
      <c r="AM204" s="11"/>
      <c r="AN204" s="11"/>
      <c r="AO204" s="11"/>
      <c r="AP204" s="11"/>
      <c r="AQ204" s="11"/>
      <c r="AR204" s="5"/>
      <c r="AS204" s="12"/>
      <c r="AT204" s="12"/>
      <c r="AU204" s="12"/>
      <c r="AV204" s="12"/>
      <c r="AW204" s="12"/>
      <c r="AX204" s="12"/>
      <c r="AY204" s="12"/>
      <c r="AZ204" s="12"/>
      <c r="BA204" s="12"/>
      <c r="BB204" s="12"/>
      <c r="BC204" s="12"/>
      <c r="BD204" s="12"/>
      <c r="BE204" s="12"/>
      <c r="BF204" s="12"/>
      <c r="BG204" s="12"/>
      <c r="BH204" s="12"/>
      <c r="BI204" s="12"/>
      <c r="BJ204" s="12"/>
      <c r="BK204" s="12"/>
      <c r="BL204" s="12"/>
      <c r="BM204" s="12"/>
      <c r="BN204" s="12"/>
      <c r="BO204" s="12"/>
      <c r="BP204" s="12"/>
      <c r="BQ204" s="12"/>
      <c r="BR204" s="12"/>
      <c r="BS204" s="12"/>
      <c r="BT204" s="12"/>
      <c r="BU204" s="12"/>
      <c r="BV204" s="12"/>
      <c r="BW204" s="12"/>
      <c r="BX204" s="12"/>
      <c r="BY204" s="12"/>
      <c r="BZ204" s="12"/>
      <c r="CA204" s="12"/>
      <c r="CB204" s="12"/>
      <c r="CC204" s="12"/>
      <c r="CD204" s="12"/>
      <c r="CE204" s="12"/>
      <c r="CF204" s="12"/>
      <c r="CG204" s="12"/>
      <c r="CH204" s="12"/>
      <c r="CI204" s="12"/>
      <c r="CJ204" s="12"/>
      <c r="CK204" s="12"/>
      <c r="CL204" s="12"/>
      <c r="CM204" s="12"/>
      <c r="CN204" s="12"/>
      <c r="CO204" s="12"/>
      <c r="CP204" s="12"/>
      <c r="CQ204" s="12"/>
      <c r="CR204" s="12"/>
      <c r="CS204" s="12"/>
      <c r="CT204" s="12"/>
      <c r="CU204" s="12"/>
      <c r="CV204" s="12"/>
      <c r="CW204" s="12"/>
      <c r="CX204" s="12"/>
      <c r="CY204" s="12"/>
      <c r="CZ204" s="12"/>
      <c r="DA204" s="12"/>
      <c r="DB204" s="12"/>
      <c r="DC204" s="12"/>
      <c r="DD204" s="12"/>
      <c r="DE204" s="12"/>
      <c r="DF204" s="12"/>
      <c r="DG204" s="12"/>
      <c r="DH204" s="12"/>
      <c r="DI204" s="12"/>
      <c r="DJ204" s="12"/>
      <c r="DK204" s="12"/>
      <c r="DL204" s="12"/>
      <c r="DM204" s="12"/>
      <c r="DN204" s="12"/>
      <c r="DO204" s="12"/>
      <c r="DP204" s="12"/>
      <c r="DQ204" s="12"/>
      <c r="DR204" s="12"/>
      <c r="DS204" s="12"/>
      <c r="DT204" s="12"/>
      <c r="DU204" s="12"/>
      <c r="DV204" s="12"/>
      <c r="DW204" s="12"/>
      <c r="DX204" s="12"/>
      <c r="DY204" s="12"/>
      <c r="DZ204" s="12"/>
      <c r="EA204" s="12"/>
      <c r="EB204" s="12"/>
      <c r="EC204" s="12"/>
      <c r="ED204" s="12"/>
      <c r="EE204" s="12"/>
      <c r="EF204" s="12"/>
      <c r="EG204" s="12"/>
      <c r="EH204" s="12"/>
      <c r="EI204" s="12"/>
      <c r="EJ204" s="12"/>
      <c r="EK204" s="12"/>
      <c r="EL204" s="12"/>
      <c r="EM204" s="12"/>
      <c r="EN204" s="12"/>
      <c r="EO204" s="12"/>
      <c r="EP204" s="12"/>
      <c r="EQ204" s="12"/>
      <c r="ER204" s="12"/>
      <c r="ES204" s="12"/>
      <c r="ET204" s="12"/>
      <c r="EU204" s="12"/>
      <c r="EV204" s="12"/>
      <c r="EW204" s="12"/>
      <c r="EX204" s="12"/>
      <c r="EY204" s="12"/>
      <c r="EZ204" s="12"/>
      <c r="FA204" s="12"/>
      <c r="FB204" s="12"/>
      <c r="FC204" s="12"/>
      <c r="FD204" s="12"/>
      <c r="FE204" s="12"/>
      <c r="FF204" s="12"/>
      <c r="FG204" s="12"/>
      <c r="FH204" s="12"/>
      <c r="FI204" s="12"/>
      <c r="FJ204" s="12"/>
      <c r="FK204" s="12"/>
      <c r="FL204" s="12"/>
      <c r="FM204" s="12"/>
      <c r="FN204" s="12"/>
      <c r="FO204" s="12"/>
      <c r="FP204" s="12"/>
      <c r="FQ204" s="12"/>
      <c r="FR204" s="12"/>
      <c r="FS204" s="12"/>
      <c r="FT204" s="12"/>
      <c r="FU204" s="12"/>
      <c r="FV204" s="12"/>
      <c r="FW204" s="12"/>
      <c r="FX204" s="12"/>
      <c r="FY204" s="12"/>
      <c r="FZ204" s="12"/>
      <c r="GA204" s="12"/>
      <c r="GB204" s="12"/>
      <c r="GC204" s="12"/>
      <c r="GD204" s="12"/>
      <c r="GE204" s="12"/>
      <c r="GF204" s="12"/>
      <c r="GG204" s="12"/>
      <c r="GH204" s="12"/>
      <c r="GI204" s="12"/>
      <c r="GJ204" s="12"/>
      <c r="GK204" s="12"/>
      <c r="GL204" s="12"/>
      <c r="GM204" s="12"/>
      <c r="GN204" s="12"/>
      <c r="GO204" s="12"/>
      <c r="GP204" s="12"/>
      <c r="GQ204" s="12"/>
      <c r="GR204" s="12"/>
      <c r="GS204" s="12"/>
      <c r="GT204" s="12"/>
      <c r="GU204" s="12"/>
      <c r="GV204" s="12"/>
      <c r="GW204" s="12"/>
      <c r="GX204" s="12"/>
      <c r="GY204" s="12"/>
      <c r="GZ204" s="12"/>
      <c r="HA204" s="12"/>
      <c r="HB204" s="12"/>
      <c r="HC204" s="12"/>
      <c r="HD204" s="12"/>
      <c r="HE204" s="12"/>
      <c r="HF204" s="12"/>
      <c r="HG204" s="12"/>
      <c r="HH204" s="12"/>
      <c r="HI204" s="12"/>
      <c r="HJ204" s="12"/>
      <c r="HK204" s="12"/>
      <c r="HL204" s="12"/>
      <c r="HM204" s="12"/>
      <c r="HN204" s="12"/>
      <c r="HO204" s="12"/>
      <c r="HP204" s="12"/>
      <c r="HQ204" s="12"/>
      <c r="HR204" s="12"/>
      <c r="HS204" s="12"/>
      <c r="HT204" s="12"/>
      <c r="HU204" s="12"/>
      <c r="HV204" s="12"/>
      <c r="HW204" s="12"/>
      <c r="HX204" s="12"/>
      <c r="HY204" s="12"/>
      <c r="HZ204" s="12"/>
      <c r="IA204" s="12"/>
      <c r="IB204" s="12"/>
      <c r="IC204" s="12"/>
      <c r="ID204" s="12"/>
      <c r="IE204" s="12"/>
      <c r="IF204" s="12"/>
      <c r="IG204" s="12"/>
      <c r="IH204" s="12"/>
      <c r="II204" s="12"/>
      <c r="IJ204" s="12"/>
      <c r="IK204" s="12"/>
      <c r="IL204" s="12"/>
      <c r="IM204" s="12"/>
      <c r="IN204" s="12"/>
      <c r="IO204" s="12"/>
      <c r="IP204" s="12"/>
      <c r="IQ204" s="12"/>
      <c r="IR204" s="12"/>
      <c r="IS204" s="12"/>
      <c r="IT204" s="12"/>
      <c r="IU204" s="12"/>
      <c r="IV204" s="12"/>
      <c r="IW204" s="12"/>
    </row>
    <row r="205" customFormat="false" ht="11.25" hidden="false" customHeight="false" outlineLevel="0" collapsed="false">
      <c r="A205" s="25" t="n">
        <f aca="false">DATE(YEAR(A204),MONTH(A204)+1,1)</f>
        <v>51957</v>
      </c>
      <c r="B205" s="21" t="n">
        <v>2.938</v>
      </c>
      <c r="C205" s="21" t="n">
        <v>3.038</v>
      </c>
      <c r="D205" s="25" t="n">
        <f aca="false">DATE(YEAR(D204),MONTH(D204)+1,1)</f>
        <v>51957</v>
      </c>
      <c r="E205" s="21" t="n">
        <v>20.327</v>
      </c>
      <c r="F205" s="21" t="n">
        <v>21.74</v>
      </c>
      <c r="G205" s="6"/>
      <c r="H205" s="22" t="n">
        <f aca="false">A205</f>
        <v>51957</v>
      </c>
      <c r="I205" s="23" t="n">
        <f aca="false">IF($J$1="bid",B205,C205)</f>
        <v>3.038</v>
      </c>
      <c r="J205" s="24" t="n">
        <f aca="false">D205</f>
        <v>51957</v>
      </c>
      <c r="K205" s="23" t="n">
        <f aca="false">IF($J$1="bid",E205,F205)</f>
        <v>21.74</v>
      </c>
      <c r="L205" s="11"/>
      <c r="M205" s="11"/>
      <c r="N205" s="11"/>
      <c r="O205" s="11"/>
      <c r="P205" s="11"/>
      <c r="Q205" s="11"/>
      <c r="R205" s="11"/>
      <c r="S205" s="11"/>
      <c r="T205" s="11"/>
      <c r="U205" s="11"/>
      <c r="V205" s="11"/>
      <c r="W205" s="11"/>
      <c r="X205" s="11"/>
      <c r="Y205" s="11"/>
      <c r="Z205" s="11"/>
      <c r="AA205" s="11"/>
      <c r="AB205" s="11"/>
      <c r="AC205" s="11"/>
      <c r="AD205" s="11"/>
      <c r="AE205" s="11"/>
      <c r="AF205" s="11"/>
      <c r="AG205" s="11"/>
      <c r="AH205" s="11"/>
      <c r="AI205" s="11"/>
      <c r="AJ205" s="11"/>
      <c r="AK205" s="11"/>
      <c r="AL205" s="11"/>
      <c r="AM205" s="11"/>
      <c r="AN205" s="11"/>
      <c r="AO205" s="11"/>
      <c r="AP205" s="11"/>
      <c r="AQ205" s="11"/>
      <c r="AR205" s="5"/>
      <c r="AS205" s="12"/>
      <c r="AT205" s="12"/>
      <c r="AU205" s="12"/>
      <c r="AV205" s="12"/>
      <c r="AW205" s="12"/>
      <c r="AX205" s="12"/>
      <c r="AY205" s="12"/>
      <c r="AZ205" s="12"/>
      <c r="BA205" s="12"/>
      <c r="BB205" s="12"/>
      <c r="BC205" s="12"/>
      <c r="BD205" s="12"/>
      <c r="BE205" s="12"/>
      <c r="BF205" s="12"/>
      <c r="BG205" s="12"/>
      <c r="BH205" s="12"/>
      <c r="BI205" s="12"/>
      <c r="BJ205" s="12"/>
      <c r="BK205" s="12"/>
      <c r="BL205" s="12"/>
      <c r="BM205" s="12"/>
      <c r="BN205" s="12"/>
      <c r="BO205" s="12"/>
      <c r="BP205" s="12"/>
      <c r="BQ205" s="12"/>
      <c r="BR205" s="12"/>
      <c r="BS205" s="12"/>
      <c r="BT205" s="12"/>
      <c r="BU205" s="12"/>
      <c r="BV205" s="12"/>
      <c r="BW205" s="12"/>
      <c r="BX205" s="12"/>
      <c r="BY205" s="12"/>
      <c r="BZ205" s="12"/>
      <c r="CA205" s="12"/>
      <c r="CB205" s="12"/>
      <c r="CC205" s="12"/>
      <c r="CD205" s="12"/>
      <c r="CE205" s="12"/>
      <c r="CF205" s="12"/>
      <c r="CG205" s="12"/>
      <c r="CH205" s="12"/>
      <c r="CI205" s="12"/>
      <c r="CJ205" s="12"/>
      <c r="CK205" s="12"/>
      <c r="CL205" s="12"/>
      <c r="CM205" s="12"/>
      <c r="CN205" s="12"/>
      <c r="CO205" s="12"/>
      <c r="CP205" s="12"/>
      <c r="CQ205" s="12"/>
      <c r="CR205" s="12"/>
      <c r="CS205" s="12"/>
      <c r="CT205" s="12"/>
      <c r="CU205" s="12"/>
      <c r="CV205" s="12"/>
      <c r="CW205" s="12"/>
      <c r="CX205" s="12"/>
      <c r="CY205" s="12"/>
      <c r="CZ205" s="12"/>
      <c r="DA205" s="12"/>
      <c r="DB205" s="12"/>
      <c r="DC205" s="12"/>
      <c r="DD205" s="12"/>
      <c r="DE205" s="12"/>
      <c r="DF205" s="12"/>
      <c r="DG205" s="12"/>
      <c r="DH205" s="12"/>
      <c r="DI205" s="12"/>
      <c r="DJ205" s="12"/>
      <c r="DK205" s="12"/>
      <c r="DL205" s="12"/>
      <c r="DM205" s="12"/>
      <c r="DN205" s="12"/>
      <c r="DO205" s="12"/>
      <c r="DP205" s="12"/>
      <c r="DQ205" s="12"/>
      <c r="DR205" s="12"/>
      <c r="DS205" s="12"/>
      <c r="DT205" s="12"/>
      <c r="DU205" s="12"/>
      <c r="DV205" s="12"/>
      <c r="DW205" s="12"/>
      <c r="DX205" s="12"/>
      <c r="DY205" s="12"/>
      <c r="DZ205" s="12"/>
      <c r="EA205" s="12"/>
      <c r="EB205" s="12"/>
      <c r="EC205" s="12"/>
      <c r="ED205" s="12"/>
      <c r="EE205" s="12"/>
      <c r="EF205" s="12"/>
      <c r="EG205" s="12"/>
      <c r="EH205" s="12"/>
      <c r="EI205" s="12"/>
      <c r="EJ205" s="12"/>
      <c r="EK205" s="12"/>
      <c r="EL205" s="12"/>
      <c r="EM205" s="12"/>
      <c r="EN205" s="12"/>
      <c r="EO205" s="12"/>
      <c r="EP205" s="12"/>
      <c r="EQ205" s="12"/>
      <c r="ER205" s="12"/>
      <c r="ES205" s="12"/>
      <c r="ET205" s="12"/>
      <c r="EU205" s="12"/>
      <c r="EV205" s="12"/>
      <c r="EW205" s="12"/>
      <c r="EX205" s="12"/>
      <c r="EY205" s="12"/>
      <c r="EZ205" s="12"/>
      <c r="FA205" s="12"/>
      <c r="FB205" s="12"/>
      <c r="FC205" s="12"/>
      <c r="FD205" s="12"/>
      <c r="FE205" s="12"/>
      <c r="FF205" s="12"/>
      <c r="FG205" s="12"/>
      <c r="FH205" s="12"/>
      <c r="FI205" s="12"/>
      <c r="FJ205" s="12"/>
      <c r="FK205" s="12"/>
      <c r="FL205" s="12"/>
      <c r="FM205" s="12"/>
      <c r="FN205" s="12"/>
      <c r="FO205" s="12"/>
      <c r="FP205" s="12"/>
      <c r="FQ205" s="12"/>
      <c r="FR205" s="12"/>
      <c r="FS205" s="12"/>
      <c r="FT205" s="12"/>
      <c r="FU205" s="12"/>
      <c r="FV205" s="12"/>
      <c r="FW205" s="12"/>
      <c r="FX205" s="12"/>
      <c r="FY205" s="12"/>
      <c r="FZ205" s="12"/>
      <c r="GA205" s="12"/>
      <c r="GB205" s="12"/>
      <c r="GC205" s="12"/>
      <c r="GD205" s="12"/>
      <c r="GE205" s="12"/>
      <c r="GF205" s="12"/>
      <c r="GG205" s="12"/>
      <c r="GH205" s="12"/>
      <c r="GI205" s="12"/>
      <c r="GJ205" s="12"/>
      <c r="GK205" s="12"/>
      <c r="GL205" s="12"/>
      <c r="GM205" s="12"/>
      <c r="GN205" s="12"/>
      <c r="GO205" s="12"/>
      <c r="GP205" s="12"/>
      <c r="GQ205" s="12"/>
      <c r="GR205" s="12"/>
      <c r="GS205" s="12"/>
      <c r="GT205" s="12"/>
      <c r="GU205" s="12"/>
      <c r="GV205" s="12"/>
      <c r="GW205" s="12"/>
      <c r="GX205" s="12"/>
      <c r="GY205" s="12"/>
      <c r="GZ205" s="12"/>
      <c r="HA205" s="12"/>
      <c r="HB205" s="12"/>
      <c r="HC205" s="12"/>
      <c r="HD205" s="12"/>
      <c r="HE205" s="12"/>
      <c r="HF205" s="12"/>
      <c r="HG205" s="12"/>
      <c r="HH205" s="12"/>
      <c r="HI205" s="12"/>
      <c r="HJ205" s="12"/>
      <c r="HK205" s="12"/>
      <c r="HL205" s="12"/>
      <c r="HM205" s="12"/>
      <c r="HN205" s="12"/>
      <c r="HO205" s="12"/>
      <c r="HP205" s="12"/>
      <c r="HQ205" s="12"/>
      <c r="HR205" s="12"/>
      <c r="HS205" s="12"/>
      <c r="HT205" s="12"/>
      <c r="HU205" s="12"/>
      <c r="HV205" s="12"/>
      <c r="HW205" s="12"/>
      <c r="HX205" s="12"/>
      <c r="HY205" s="12"/>
      <c r="HZ205" s="12"/>
      <c r="IA205" s="12"/>
      <c r="IB205" s="12"/>
      <c r="IC205" s="12"/>
      <c r="ID205" s="12"/>
      <c r="IE205" s="12"/>
      <c r="IF205" s="12"/>
      <c r="IG205" s="12"/>
      <c r="IH205" s="12"/>
      <c r="II205" s="12"/>
      <c r="IJ205" s="12"/>
      <c r="IK205" s="12"/>
      <c r="IL205" s="12"/>
      <c r="IM205" s="12"/>
      <c r="IN205" s="12"/>
      <c r="IO205" s="12"/>
      <c r="IP205" s="12"/>
      <c r="IQ205" s="12"/>
      <c r="IR205" s="12"/>
      <c r="IS205" s="12"/>
      <c r="IT205" s="12"/>
      <c r="IU205" s="12"/>
      <c r="IV205" s="12"/>
      <c r="IW205" s="12"/>
    </row>
    <row r="206" customFormat="false" ht="11.25" hidden="false" customHeight="false" outlineLevel="0" collapsed="false">
      <c r="A206" s="25" t="n">
        <f aca="false">DATE(YEAR(A205),MONTH(A205)+1,1)</f>
        <v>51987</v>
      </c>
      <c r="B206" s="21" t="n">
        <v>2.93</v>
      </c>
      <c r="C206" s="21" t="n">
        <v>3.03</v>
      </c>
      <c r="D206" s="25" t="n">
        <f aca="false">DATE(YEAR(D205),MONTH(D205)+1,1)</f>
        <v>51987</v>
      </c>
      <c r="E206" s="21" t="n">
        <v>20.342</v>
      </c>
      <c r="F206" s="21" t="n">
        <v>21.764</v>
      </c>
      <c r="G206" s="6"/>
      <c r="H206" s="22" t="n">
        <f aca="false">A206</f>
        <v>51987</v>
      </c>
      <c r="I206" s="23" t="n">
        <f aca="false">IF($J$1="bid",B206,C206)</f>
        <v>3.03</v>
      </c>
      <c r="J206" s="24" t="n">
        <f aca="false">D206</f>
        <v>51987</v>
      </c>
      <c r="K206" s="23" t="n">
        <f aca="false">IF($J$1="bid",E206,F206)</f>
        <v>21.764</v>
      </c>
      <c r="L206" s="11"/>
      <c r="M206" s="11"/>
      <c r="N206" s="11"/>
      <c r="O206" s="11"/>
      <c r="P206" s="11"/>
      <c r="Q206" s="11"/>
      <c r="R206" s="11"/>
      <c r="S206" s="11"/>
      <c r="T206" s="11"/>
      <c r="U206" s="11"/>
      <c r="V206" s="11"/>
      <c r="W206" s="11"/>
      <c r="X206" s="11"/>
      <c r="Y206" s="11"/>
      <c r="Z206" s="11"/>
      <c r="AA206" s="11"/>
      <c r="AB206" s="11"/>
      <c r="AC206" s="11"/>
      <c r="AD206" s="11"/>
      <c r="AE206" s="11"/>
      <c r="AF206" s="11"/>
      <c r="AG206" s="11"/>
      <c r="AH206" s="11"/>
      <c r="AI206" s="11"/>
      <c r="AJ206" s="11"/>
      <c r="AK206" s="11"/>
      <c r="AL206" s="11"/>
      <c r="AM206" s="11"/>
      <c r="AN206" s="11"/>
      <c r="AO206" s="11"/>
      <c r="AP206" s="11"/>
      <c r="AQ206" s="11"/>
      <c r="AR206" s="5"/>
      <c r="AS206" s="12"/>
      <c r="AT206" s="12"/>
      <c r="AU206" s="12"/>
      <c r="AV206" s="12"/>
      <c r="AW206" s="12"/>
      <c r="AX206" s="12"/>
      <c r="AY206" s="12"/>
      <c r="AZ206" s="12"/>
      <c r="BA206" s="12"/>
      <c r="BB206" s="12"/>
      <c r="BC206" s="12"/>
      <c r="BD206" s="12"/>
      <c r="BE206" s="12"/>
      <c r="BF206" s="12"/>
      <c r="BG206" s="12"/>
      <c r="BH206" s="12"/>
      <c r="BI206" s="12"/>
      <c r="BJ206" s="12"/>
      <c r="BK206" s="12"/>
      <c r="BL206" s="12"/>
      <c r="BM206" s="12"/>
      <c r="BN206" s="12"/>
      <c r="BO206" s="12"/>
      <c r="BP206" s="12"/>
      <c r="BQ206" s="12"/>
      <c r="BR206" s="12"/>
      <c r="BS206" s="12"/>
      <c r="BT206" s="12"/>
      <c r="BU206" s="12"/>
      <c r="BV206" s="12"/>
      <c r="BW206" s="12"/>
      <c r="BX206" s="12"/>
      <c r="BY206" s="12"/>
      <c r="BZ206" s="12"/>
      <c r="CA206" s="12"/>
      <c r="CB206" s="12"/>
      <c r="CC206" s="12"/>
      <c r="CD206" s="12"/>
      <c r="CE206" s="12"/>
      <c r="CF206" s="12"/>
      <c r="CG206" s="12"/>
      <c r="CH206" s="12"/>
      <c r="CI206" s="12"/>
      <c r="CJ206" s="12"/>
      <c r="CK206" s="12"/>
      <c r="CL206" s="12"/>
      <c r="CM206" s="12"/>
      <c r="CN206" s="12"/>
      <c r="CO206" s="12"/>
      <c r="CP206" s="12"/>
      <c r="CQ206" s="12"/>
      <c r="CR206" s="12"/>
      <c r="CS206" s="12"/>
      <c r="CT206" s="12"/>
      <c r="CU206" s="12"/>
      <c r="CV206" s="12"/>
      <c r="CW206" s="12"/>
      <c r="CX206" s="12"/>
      <c r="CY206" s="12"/>
      <c r="CZ206" s="12"/>
      <c r="DA206" s="12"/>
      <c r="DB206" s="12"/>
      <c r="DC206" s="12"/>
      <c r="DD206" s="12"/>
      <c r="DE206" s="12"/>
      <c r="DF206" s="12"/>
      <c r="DG206" s="12"/>
      <c r="DH206" s="12"/>
      <c r="DI206" s="12"/>
      <c r="DJ206" s="12"/>
      <c r="DK206" s="12"/>
      <c r="DL206" s="12"/>
      <c r="DM206" s="12"/>
      <c r="DN206" s="12"/>
      <c r="DO206" s="12"/>
      <c r="DP206" s="12"/>
      <c r="DQ206" s="12"/>
      <c r="DR206" s="12"/>
      <c r="DS206" s="12"/>
      <c r="DT206" s="12"/>
      <c r="DU206" s="12"/>
      <c r="DV206" s="12"/>
      <c r="DW206" s="12"/>
      <c r="DX206" s="12"/>
      <c r="DY206" s="12"/>
      <c r="DZ206" s="12"/>
      <c r="EA206" s="12"/>
      <c r="EB206" s="12"/>
      <c r="EC206" s="12"/>
      <c r="ED206" s="12"/>
      <c r="EE206" s="12"/>
      <c r="EF206" s="12"/>
      <c r="EG206" s="12"/>
      <c r="EH206" s="12"/>
      <c r="EI206" s="12"/>
      <c r="EJ206" s="12"/>
      <c r="EK206" s="12"/>
      <c r="EL206" s="12"/>
      <c r="EM206" s="12"/>
      <c r="EN206" s="12"/>
      <c r="EO206" s="12"/>
      <c r="EP206" s="12"/>
      <c r="EQ206" s="12"/>
      <c r="ER206" s="12"/>
      <c r="ES206" s="12"/>
      <c r="ET206" s="12"/>
      <c r="EU206" s="12"/>
      <c r="EV206" s="12"/>
      <c r="EW206" s="12"/>
      <c r="EX206" s="12"/>
      <c r="EY206" s="12"/>
      <c r="EZ206" s="12"/>
      <c r="FA206" s="12"/>
      <c r="FB206" s="12"/>
      <c r="FC206" s="12"/>
      <c r="FD206" s="12"/>
      <c r="FE206" s="12"/>
      <c r="FF206" s="12"/>
      <c r="FG206" s="12"/>
      <c r="FH206" s="12"/>
      <c r="FI206" s="12"/>
      <c r="FJ206" s="12"/>
      <c r="FK206" s="12"/>
      <c r="FL206" s="12"/>
      <c r="FM206" s="12"/>
      <c r="FN206" s="12"/>
      <c r="FO206" s="12"/>
      <c r="FP206" s="12"/>
      <c r="FQ206" s="12"/>
      <c r="FR206" s="12"/>
      <c r="FS206" s="12"/>
      <c r="FT206" s="12"/>
      <c r="FU206" s="12"/>
      <c r="FV206" s="12"/>
      <c r="FW206" s="12"/>
      <c r="FX206" s="12"/>
      <c r="FY206" s="12"/>
      <c r="FZ206" s="12"/>
      <c r="GA206" s="12"/>
      <c r="GB206" s="12"/>
      <c r="GC206" s="12"/>
      <c r="GD206" s="12"/>
      <c r="GE206" s="12"/>
      <c r="GF206" s="12"/>
      <c r="GG206" s="12"/>
      <c r="GH206" s="12"/>
      <c r="GI206" s="12"/>
      <c r="GJ206" s="12"/>
      <c r="GK206" s="12"/>
      <c r="GL206" s="12"/>
      <c r="GM206" s="12"/>
      <c r="GN206" s="12"/>
      <c r="GO206" s="12"/>
      <c r="GP206" s="12"/>
      <c r="GQ206" s="12"/>
      <c r="GR206" s="12"/>
      <c r="GS206" s="12"/>
      <c r="GT206" s="12"/>
      <c r="GU206" s="12"/>
      <c r="GV206" s="12"/>
      <c r="GW206" s="12"/>
      <c r="GX206" s="12"/>
      <c r="GY206" s="12"/>
      <c r="GZ206" s="12"/>
      <c r="HA206" s="12"/>
      <c r="HB206" s="12"/>
      <c r="HC206" s="12"/>
      <c r="HD206" s="12"/>
      <c r="HE206" s="12"/>
      <c r="HF206" s="12"/>
      <c r="HG206" s="12"/>
      <c r="HH206" s="12"/>
      <c r="HI206" s="12"/>
      <c r="HJ206" s="12"/>
      <c r="HK206" s="12"/>
      <c r="HL206" s="12"/>
      <c r="HM206" s="12"/>
      <c r="HN206" s="12"/>
      <c r="HO206" s="12"/>
      <c r="HP206" s="12"/>
      <c r="HQ206" s="12"/>
      <c r="HR206" s="12"/>
      <c r="HS206" s="12"/>
      <c r="HT206" s="12"/>
      <c r="HU206" s="12"/>
      <c r="HV206" s="12"/>
      <c r="HW206" s="12"/>
      <c r="HX206" s="12"/>
      <c r="HY206" s="12"/>
      <c r="HZ206" s="12"/>
      <c r="IA206" s="12"/>
      <c r="IB206" s="12"/>
      <c r="IC206" s="12"/>
      <c r="ID206" s="12"/>
      <c r="IE206" s="12"/>
      <c r="IF206" s="12"/>
      <c r="IG206" s="12"/>
      <c r="IH206" s="12"/>
      <c r="II206" s="12"/>
      <c r="IJ206" s="12"/>
      <c r="IK206" s="12"/>
      <c r="IL206" s="12"/>
      <c r="IM206" s="12"/>
      <c r="IN206" s="12"/>
      <c r="IO206" s="12"/>
      <c r="IP206" s="12"/>
      <c r="IQ206" s="12"/>
      <c r="IR206" s="12"/>
      <c r="IS206" s="12"/>
      <c r="IT206" s="12"/>
      <c r="IU206" s="12"/>
      <c r="IV206" s="12"/>
      <c r="IW206" s="12"/>
    </row>
    <row r="207" customFormat="false" ht="11.25" hidden="false" customHeight="false" outlineLevel="0" collapsed="false">
      <c r="A207" s="25" t="n">
        <f aca="false">DATE(YEAR(A206),MONTH(A206)+1,1)</f>
        <v>52018</v>
      </c>
      <c r="B207" s="21" t="n">
        <v>2.93</v>
      </c>
      <c r="C207" s="21" t="n">
        <v>3.03</v>
      </c>
      <c r="D207" s="25" t="n">
        <f aca="false">DATE(YEAR(D206),MONTH(D206)+1,1)</f>
        <v>52018</v>
      </c>
      <c r="E207" s="21" t="n">
        <v>20.359</v>
      </c>
      <c r="F207" s="21" t="n">
        <v>21.789</v>
      </c>
      <c r="G207" s="6"/>
      <c r="H207" s="22" t="n">
        <f aca="false">A207</f>
        <v>52018</v>
      </c>
      <c r="I207" s="23" t="n">
        <f aca="false">IF($J$1="bid",B207,C207)</f>
        <v>3.03</v>
      </c>
      <c r="J207" s="24" t="n">
        <f aca="false">D207</f>
        <v>52018</v>
      </c>
      <c r="K207" s="23" t="n">
        <f aca="false">IF($J$1="bid",E207,F207)</f>
        <v>21.789</v>
      </c>
      <c r="L207" s="11"/>
      <c r="M207" s="11"/>
      <c r="N207" s="11"/>
      <c r="O207" s="11"/>
      <c r="P207" s="11"/>
      <c r="Q207" s="11"/>
      <c r="R207" s="11"/>
      <c r="S207" s="11"/>
      <c r="T207" s="11"/>
      <c r="U207" s="11"/>
      <c r="V207" s="11"/>
      <c r="W207" s="11"/>
      <c r="X207" s="11"/>
      <c r="Y207" s="11"/>
      <c r="Z207" s="11"/>
      <c r="AA207" s="11"/>
      <c r="AB207" s="11"/>
      <c r="AC207" s="11"/>
      <c r="AD207" s="11"/>
      <c r="AE207" s="11"/>
      <c r="AF207" s="11"/>
      <c r="AG207" s="11"/>
      <c r="AH207" s="11"/>
      <c r="AI207" s="11"/>
      <c r="AJ207" s="11"/>
      <c r="AK207" s="11"/>
      <c r="AL207" s="11"/>
      <c r="AM207" s="11"/>
      <c r="AN207" s="11"/>
      <c r="AO207" s="11"/>
      <c r="AP207" s="11"/>
      <c r="AQ207" s="11"/>
      <c r="AR207" s="5"/>
      <c r="AS207" s="12"/>
      <c r="AT207" s="12"/>
      <c r="AU207" s="12"/>
      <c r="AV207" s="12"/>
      <c r="AW207" s="12"/>
      <c r="AX207" s="12"/>
      <c r="AY207" s="12"/>
      <c r="AZ207" s="12"/>
      <c r="BA207" s="12"/>
      <c r="BB207" s="12"/>
      <c r="BC207" s="12"/>
      <c r="BD207" s="12"/>
      <c r="BE207" s="12"/>
      <c r="BF207" s="12"/>
      <c r="BG207" s="12"/>
      <c r="BH207" s="12"/>
      <c r="BI207" s="12"/>
      <c r="BJ207" s="12"/>
      <c r="BK207" s="12"/>
      <c r="BL207" s="12"/>
      <c r="BM207" s="12"/>
      <c r="BN207" s="12"/>
      <c r="BO207" s="12"/>
      <c r="BP207" s="12"/>
      <c r="BQ207" s="12"/>
      <c r="BR207" s="12"/>
      <c r="BS207" s="12"/>
      <c r="BT207" s="12"/>
      <c r="BU207" s="12"/>
      <c r="BV207" s="12"/>
      <c r="BW207" s="12"/>
      <c r="BX207" s="12"/>
      <c r="BY207" s="12"/>
      <c r="BZ207" s="12"/>
      <c r="CA207" s="12"/>
      <c r="CB207" s="12"/>
      <c r="CC207" s="12"/>
      <c r="CD207" s="12"/>
      <c r="CE207" s="12"/>
      <c r="CF207" s="12"/>
      <c r="CG207" s="12"/>
      <c r="CH207" s="12"/>
      <c r="CI207" s="12"/>
      <c r="CJ207" s="12"/>
      <c r="CK207" s="12"/>
      <c r="CL207" s="12"/>
      <c r="CM207" s="12"/>
      <c r="CN207" s="12"/>
      <c r="CO207" s="12"/>
      <c r="CP207" s="12"/>
      <c r="CQ207" s="12"/>
      <c r="CR207" s="12"/>
      <c r="CS207" s="12"/>
      <c r="CT207" s="12"/>
      <c r="CU207" s="12"/>
      <c r="CV207" s="12"/>
      <c r="CW207" s="12"/>
      <c r="CX207" s="12"/>
      <c r="CY207" s="12"/>
      <c r="CZ207" s="12"/>
      <c r="DA207" s="12"/>
      <c r="DB207" s="12"/>
      <c r="DC207" s="12"/>
      <c r="DD207" s="12"/>
      <c r="DE207" s="12"/>
      <c r="DF207" s="12"/>
      <c r="DG207" s="12"/>
      <c r="DH207" s="12"/>
      <c r="DI207" s="12"/>
      <c r="DJ207" s="12"/>
      <c r="DK207" s="12"/>
      <c r="DL207" s="12"/>
      <c r="DM207" s="12"/>
      <c r="DN207" s="12"/>
      <c r="DO207" s="12"/>
      <c r="DP207" s="12"/>
      <c r="DQ207" s="12"/>
      <c r="DR207" s="12"/>
      <c r="DS207" s="12"/>
      <c r="DT207" s="12"/>
      <c r="DU207" s="12"/>
      <c r="DV207" s="12"/>
      <c r="DW207" s="12"/>
      <c r="DX207" s="12"/>
      <c r="DY207" s="12"/>
      <c r="DZ207" s="12"/>
      <c r="EA207" s="12"/>
      <c r="EB207" s="12"/>
      <c r="EC207" s="12"/>
      <c r="ED207" s="12"/>
      <c r="EE207" s="12"/>
      <c r="EF207" s="12"/>
      <c r="EG207" s="12"/>
      <c r="EH207" s="12"/>
      <c r="EI207" s="12"/>
      <c r="EJ207" s="12"/>
      <c r="EK207" s="12"/>
      <c r="EL207" s="12"/>
      <c r="EM207" s="12"/>
      <c r="EN207" s="12"/>
      <c r="EO207" s="12"/>
      <c r="EP207" s="12"/>
      <c r="EQ207" s="12"/>
      <c r="ER207" s="12"/>
      <c r="ES207" s="12"/>
      <c r="ET207" s="12"/>
      <c r="EU207" s="12"/>
      <c r="EV207" s="12"/>
      <c r="EW207" s="12"/>
      <c r="EX207" s="12"/>
      <c r="EY207" s="12"/>
      <c r="EZ207" s="12"/>
      <c r="FA207" s="12"/>
      <c r="FB207" s="12"/>
      <c r="FC207" s="12"/>
      <c r="FD207" s="12"/>
      <c r="FE207" s="12"/>
      <c r="FF207" s="12"/>
      <c r="FG207" s="12"/>
      <c r="FH207" s="12"/>
      <c r="FI207" s="12"/>
      <c r="FJ207" s="12"/>
      <c r="FK207" s="12"/>
      <c r="FL207" s="12"/>
      <c r="FM207" s="12"/>
      <c r="FN207" s="12"/>
      <c r="FO207" s="12"/>
      <c r="FP207" s="12"/>
      <c r="FQ207" s="12"/>
      <c r="FR207" s="12"/>
      <c r="FS207" s="12"/>
      <c r="FT207" s="12"/>
      <c r="FU207" s="12"/>
      <c r="FV207" s="12"/>
      <c r="FW207" s="12"/>
      <c r="FX207" s="12"/>
      <c r="FY207" s="12"/>
      <c r="FZ207" s="12"/>
      <c r="GA207" s="12"/>
      <c r="GB207" s="12"/>
      <c r="GC207" s="12"/>
      <c r="GD207" s="12"/>
      <c r="GE207" s="12"/>
      <c r="GF207" s="12"/>
      <c r="GG207" s="12"/>
      <c r="GH207" s="12"/>
      <c r="GI207" s="12"/>
      <c r="GJ207" s="12"/>
      <c r="GK207" s="12"/>
      <c r="GL207" s="12"/>
      <c r="GM207" s="12"/>
      <c r="GN207" s="12"/>
      <c r="GO207" s="12"/>
      <c r="GP207" s="12"/>
      <c r="GQ207" s="12"/>
      <c r="GR207" s="12"/>
      <c r="GS207" s="12"/>
      <c r="GT207" s="12"/>
      <c r="GU207" s="12"/>
      <c r="GV207" s="12"/>
      <c r="GW207" s="12"/>
      <c r="GX207" s="12"/>
      <c r="GY207" s="12"/>
      <c r="GZ207" s="12"/>
      <c r="HA207" s="12"/>
      <c r="HB207" s="12"/>
      <c r="HC207" s="12"/>
      <c r="HD207" s="12"/>
      <c r="HE207" s="12"/>
      <c r="HF207" s="12"/>
      <c r="HG207" s="12"/>
      <c r="HH207" s="12"/>
      <c r="HI207" s="12"/>
      <c r="HJ207" s="12"/>
      <c r="HK207" s="12"/>
      <c r="HL207" s="12"/>
      <c r="HM207" s="12"/>
      <c r="HN207" s="12"/>
      <c r="HO207" s="12"/>
      <c r="HP207" s="12"/>
      <c r="HQ207" s="12"/>
      <c r="HR207" s="12"/>
      <c r="HS207" s="12"/>
      <c r="HT207" s="12"/>
      <c r="HU207" s="12"/>
      <c r="HV207" s="12"/>
      <c r="HW207" s="12"/>
      <c r="HX207" s="12"/>
      <c r="HY207" s="12"/>
      <c r="HZ207" s="12"/>
      <c r="IA207" s="12"/>
      <c r="IB207" s="12"/>
      <c r="IC207" s="12"/>
      <c r="ID207" s="12"/>
      <c r="IE207" s="12"/>
      <c r="IF207" s="12"/>
      <c r="IG207" s="12"/>
      <c r="IH207" s="12"/>
      <c r="II207" s="12"/>
      <c r="IJ207" s="12"/>
      <c r="IK207" s="12"/>
      <c r="IL207" s="12"/>
      <c r="IM207" s="12"/>
      <c r="IN207" s="12"/>
      <c r="IO207" s="12"/>
      <c r="IP207" s="12"/>
      <c r="IQ207" s="12"/>
      <c r="IR207" s="12"/>
      <c r="IS207" s="12"/>
      <c r="IT207" s="12"/>
      <c r="IU207" s="12"/>
      <c r="IV207" s="12"/>
      <c r="IW207" s="12"/>
    </row>
    <row r="208" customFormat="false" ht="11.25" hidden="false" customHeight="false" outlineLevel="0" collapsed="false">
      <c r="A208" s="25" t="n">
        <f aca="false">DATE(YEAR(A207),MONTH(A207)+1,1)</f>
        <v>52048</v>
      </c>
      <c r="B208" s="21" t="n">
        <v>2.93</v>
      </c>
      <c r="C208" s="21" t="n">
        <v>3.03</v>
      </c>
      <c r="D208" s="25" t="n">
        <f aca="false">DATE(YEAR(D207),MONTH(D207)+1,1)</f>
        <v>52048</v>
      </c>
      <c r="E208" s="21" t="n">
        <v>20.377</v>
      </c>
      <c r="F208" s="21" t="n">
        <v>21.815</v>
      </c>
      <c r="G208" s="6"/>
      <c r="H208" s="22" t="n">
        <f aca="false">A208</f>
        <v>52048</v>
      </c>
      <c r="I208" s="23" t="n">
        <f aca="false">IF($J$1="bid",B208,C208)</f>
        <v>3.03</v>
      </c>
      <c r="J208" s="24" t="n">
        <f aca="false">D208</f>
        <v>52048</v>
      </c>
      <c r="K208" s="23" t="n">
        <f aca="false">IF($J$1="bid",E208,F208)</f>
        <v>21.815</v>
      </c>
      <c r="L208" s="11"/>
      <c r="M208" s="11"/>
      <c r="N208" s="11"/>
      <c r="O208" s="11"/>
      <c r="P208" s="11"/>
      <c r="Q208" s="11"/>
      <c r="R208" s="11"/>
      <c r="S208" s="11"/>
      <c r="T208" s="11"/>
      <c r="U208" s="11"/>
      <c r="V208" s="11"/>
      <c r="W208" s="11"/>
      <c r="X208" s="11"/>
      <c r="Y208" s="11"/>
      <c r="Z208" s="11"/>
      <c r="AA208" s="11"/>
      <c r="AB208" s="11"/>
      <c r="AC208" s="11"/>
      <c r="AD208" s="11"/>
      <c r="AE208" s="11"/>
      <c r="AF208" s="11"/>
      <c r="AG208" s="11"/>
      <c r="AH208" s="11"/>
      <c r="AI208" s="11"/>
      <c r="AJ208" s="11"/>
      <c r="AK208" s="11"/>
      <c r="AL208" s="11"/>
      <c r="AM208" s="11"/>
      <c r="AN208" s="11"/>
      <c r="AO208" s="11"/>
      <c r="AP208" s="11"/>
      <c r="AQ208" s="11"/>
      <c r="AR208" s="5"/>
      <c r="AS208" s="12"/>
      <c r="AT208" s="12"/>
      <c r="AU208" s="12"/>
      <c r="AV208" s="12"/>
      <c r="AW208" s="12"/>
      <c r="AX208" s="12"/>
      <c r="AY208" s="12"/>
      <c r="AZ208" s="12"/>
      <c r="BA208" s="12"/>
      <c r="BB208" s="12"/>
      <c r="BC208" s="12"/>
      <c r="BD208" s="12"/>
      <c r="BE208" s="12"/>
      <c r="BF208" s="12"/>
      <c r="BG208" s="12"/>
      <c r="BH208" s="12"/>
      <c r="BI208" s="12"/>
      <c r="BJ208" s="12"/>
      <c r="BK208" s="12"/>
      <c r="BL208" s="12"/>
      <c r="BM208" s="12"/>
      <c r="BN208" s="12"/>
      <c r="BO208" s="12"/>
      <c r="BP208" s="12"/>
      <c r="BQ208" s="12"/>
      <c r="BR208" s="12"/>
      <c r="BS208" s="12"/>
      <c r="BT208" s="12"/>
      <c r="BU208" s="12"/>
      <c r="BV208" s="12"/>
      <c r="BW208" s="12"/>
      <c r="BX208" s="12"/>
      <c r="BY208" s="12"/>
      <c r="BZ208" s="12"/>
      <c r="CA208" s="12"/>
      <c r="CB208" s="12"/>
      <c r="CC208" s="12"/>
      <c r="CD208" s="12"/>
      <c r="CE208" s="12"/>
      <c r="CF208" s="12"/>
      <c r="CG208" s="12"/>
      <c r="CH208" s="12"/>
      <c r="CI208" s="12"/>
      <c r="CJ208" s="12"/>
      <c r="CK208" s="12"/>
      <c r="CL208" s="12"/>
      <c r="CM208" s="12"/>
      <c r="CN208" s="12"/>
      <c r="CO208" s="12"/>
      <c r="CP208" s="12"/>
      <c r="CQ208" s="12"/>
      <c r="CR208" s="12"/>
      <c r="CS208" s="12"/>
      <c r="CT208" s="12"/>
      <c r="CU208" s="12"/>
      <c r="CV208" s="12"/>
      <c r="CW208" s="12"/>
      <c r="CX208" s="12"/>
      <c r="CY208" s="12"/>
      <c r="CZ208" s="12"/>
      <c r="DA208" s="12"/>
      <c r="DB208" s="12"/>
      <c r="DC208" s="12"/>
      <c r="DD208" s="12"/>
      <c r="DE208" s="12"/>
      <c r="DF208" s="12"/>
      <c r="DG208" s="12"/>
      <c r="DH208" s="12"/>
      <c r="DI208" s="12"/>
      <c r="DJ208" s="12"/>
      <c r="DK208" s="12"/>
      <c r="DL208" s="12"/>
      <c r="DM208" s="12"/>
      <c r="DN208" s="12"/>
      <c r="DO208" s="12"/>
      <c r="DP208" s="12"/>
      <c r="DQ208" s="12"/>
      <c r="DR208" s="12"/>
      <c r="DS208" s="12"/>
      <c r="DT208" s="12"/>
      <c r="DU208" s="12"/>
      <c r="DV208" s="12"/>
      <c r="DW208" s="12"/>
      <c r="DX208" s="12"/>
      <c r="DY208" s="12"/>
      <c r="DZ208" s="12"/>
      <c r="EA208" s="12"/>
      <c r="EB208" s="12"/>
      <c r="EC208" s="12"/>
      <c r="ED208" s="12"/>
      <c r="EE208" s="12"/>
      <c r="EF208" s="12"/>
      <c r="EG208" s="12"/>
      <c r="EH208" s="12"/>
      <c r="EI208" s="12"/>
      <c r="EJ208" s="12"/>
      <c r="EK208" s="12"/>
      <c r="EL208" s="12"/>
      <c r="EM208" s="12"/>
      <c r="EN208" s="12"/>
      <c r="EO208" s="12"/>
      <c r="EP208" s="12"/>
      <c r="EQ208" s="12"/>
      <c r="ER208" s="12"/>
      <c r="ES208" s="12"/>
      <c r="ET208" s="12"/>
      <c r="EU208" s="12"/>
      <c r="EV208" s="12"/>
      <c r="EW208" s="12"/>
      <c r="EX208" s="12"/>
      <c r="EY208" s="12"/>
      <c r="EZ208" s="12"/>
      <c r="FA208" s="12"/>
      <c r="FB208" s="12"/>
      <c r="FC208" s="12"/>
      <c r="FD208" s="12"/>
      <c r="FE208" s="12"/>
      <c r="FF208" s="12"/>
      <c r="FG208" s="12"/>
      <c r="FH208" s="12"/>
      <c r="FI208" s="12"/>
      <c r="FJ208" s="12"/>
      <c r="FK208" s="12"/>
      <c r="FL208" s="12"/>
      <c r="FM208" s="12"/>
      <c r="FN208" s="12"/>
      <c r="FO208" s="12"/>
      <c r="FP208" s="12"/>
      <c r="FQ208" s="12"/>
      <c r="FR208" s="12"/>
      <c r="FS208" s="12"/>
      <c r="FT208" s="12"/>
      <c r="FU208" s="12"/>
      <c r="FV208" s="12"/>
      <c r="FW208" s="12"/>
      <c r="FX208" s="12"/>
      <c r="FY208" s="12"/>
      <c r="FZ208" s="12"/>
      <c r="GA208" s="12"/>
      <c r="GB208" s="12"/>
      <c r="GC208" s="12"/>
      <c r="GD208" s="12"/>
      <c r="GE208" s="12"/>
      <c r="GF208" s="12"/>
      <c r="GG208" s="12"/>
      <c r="GH208" s="12"/>
      <c r="GI208" s="12"/>
      <c r="GJ208" s="12"/>
      <c r="GK208" s="12"/>
      <c r="GL208" s="12"/>
      <c r="GM208" s="12"/>
      <c r="GN208" s="12"/>
      <c r="GO208" s="12"/>
      <c r="GP208" s="12"/>
      <c r="GQ208" s="12"/>
      <c r="GR208" s="12"/>
      <c r="GS208" s="12"/>
      <c r="GT208" s="12"/>
      <c r="GU208" s="12"/>
      <c r="GV208" s="12"/>
      <c r="GW208" s="12"/>
      <c r="GX208" s="12"/>
      <c r="GY208" s="12"/>
      <c r="GZ208" s="12"/>
      <c r="HA208" s="12"/>
      <c r="HB208" s="12"/>
      <c r="HC208" s="12"/>
      <c r="HD208" s="12"/>
      <c r="HE208" s="12"/>
      <c r="HF208" s="12"/>
      <c r="HG208" s="12"/>
      <c r="HH208" s="12"/>
      <c r="HI208" s="12"/>
      <c r="HJ208" s="12"/>
      <c r="HK208" s="12"/>
      <c r="HL208" s="12"/>
      <c r="HM208" s="12"/>
      <c r="HN208" s="12"/>
      <c r="HO208" s="12"/>
      <c r="HP208" s="12"/>
      <c r="HQ208" s="12"/>
      <c r="HR208" s="12"/>
      <c r="HS208" s="12"/>
      <c r="HT208" s="12"/>
      <c r="HU208" s="12"/>
      <c r="HV208" s="12"/>
      <c r="HW208" s="12"/>
      <c r="HX208" s="12"/>
      <c r="HY208" s="12"/>
      <c r="HZ208" s="12"/>
      <c r="IA208" s="12"/>
      <c r="IB208" s="12"/>
      <c r="IC208" s="12"/>
      <c r="ID208" s="12"/>
      <c r="IE208" s="12"/>
      <c r="IF208" s="12"/>
      <c r="IG208" s="12"/>
      <c r="IH208" s="12"/>
      <c r="II208" s="12"/>
      <c r="IJ208" s="12"/>
      <c r="IK208" s="12"/>
      <c r="IL208" s="12"/>
      <c r="IM208" s="12"/>
      <c r="IN208" s="12"/>
      <c r="IO208" s="12"/>
      <c r="IP208" s="12"/>
      <c r="IQ208" s="12"/>
      <c r="IR208" s="12"/>
      <c r="IS208" s="12"/>
      <c r="IT208" s="12"/>
      <c r="IU208" s="12"/>
      <c r="IV208" s="12"/>
      <c r="IW208" s="12"/>
    </row>
    <row r="209" customFormat="false" ht="11.25" hidden="false" customHeight="false" outlineLevel="0" collapsed="false">
      <c r="A209" s="25" t="n">
        <f aca="false">DATE(YEAR(A208),MONTH(A208)+1,1)</f>
        <v>52079</v>
      </c>
      <c r="B209" s="21" t="n">
        <v>2.93</v>
      </c>
      <c r="C209" s="21" t="n">
        <v>3.03</v>
      </c>
      <c r="D209" s="25" t="n">
        <f aca="false">DATE(YEAR(D208),MONTH(D208)+1,1)</f>
        <v>52079</v>
      </c>
      <c r="E209" s="21" t="n">
        <v>20.393</v>
      </c>
      <c r="F209" s="21" t="n">
        <v>21.84</v>
      </c>
      <c r="G209" s="6"/>
      <c r="H209" s="22" t="n">
        <f aca="false">A209</f>
        <v>52079</v>
      </c>
      <c r="I209" s="23" t="n">
        <f aca="false">IF($J$1="bid",B209,C209)</f>
        <v>3.03</v>
      </c>
      <c r="J209" s="24" t="n">
        <f aca="false">D209</f>
        <v>52079</v>
      </c>
      <c r="K209" s="23" t="n">
        <f aca="false">IF($J$1="bid",E209,F209)</f>
        <v>21.84</v>
      </c>
      <c r="L209" s="11"/>
      <c r="M209" s="11"/>
      <c r="N209" s="11"/>
      <c r="O209" s="11"/>
      <c r="P209" s="11"/>
      <c r="Q209" s="11"/>
      <c r="R209" s="11"/>
      <c r="S209" s="11"/>
      <c r="T209" s="11"/>
      <c r="U209" s="11"/>
      <c r="V209" s="11"/>
      <c r="W209" s="11"/>
      <c r="X209" s="11"/>
      <c r="Y209" s="11"/>
      <c r="Z209" s="11"/>
      <c r="AA209" s="11"/>
      <c r="AB209" s="11"/>
      <c r="AC209" s="11"/>
      <c r="AD209" s="11"/>
      <c r="AE209" s="11"/>
      <c r="AF209" s="11"/>
      <c r="AG209" s="11"/>
      <c r="AH209" s="11"/>
      <c r="AI209" s="11"/>
      <c r="AJ209" s="11"/>
      <c r="AK209" s="11"/>
      <c r="AL209" s="11"/>
      <c r="AM209" s="11"/>
      <c r="AN209" s="11"/>
      <c r="AO209" s="11"/>
      <c r="AP209" s="11"/>
      <c r="AQ209" s="11"/>
      <c r="AR209" s="5"/>
      <c r="AS209" s="12"/>
      <c r="AT209" s="12"/>
      <c r="AU209" s="12"/>
      <c r="AV209" s="12"/>
      <c r="AW209" s="12"/>
      <c r="AX209" s="12"/>
      <c r="AY209" s="12"/>
      <c r="AZ209" s="12"/>
      <c r="BA209" s="12"/>
      <c r="BB209" s="12"/>
      <c r="BC209" s="12"/>
      <c r="BD209" s="12"/>
      <c r="BE209" s="12"/>
      <c r="BF209" s="12"/>
      <c r="BG209" s="12"/>
      <c r="BH209" s="12"/>
      <c r="BI209" s="12"/>
      <c r="BJ209" s="12"/>
      <c r="BK209" s="12"/>
      <c r="BL209" s="12"/>
      <c r="BM209" s="12"/>
      <c r="BN209" s="12"/>
      <c r="BO209" s="12"/>
      <c r="BP209" s="12"/>
      <c r="BQ209" s="12"/>
      <c r="BR209" s="12"/>
      <c r="BS209" s="12"/>
      <c r="BT209" s="12"/>
      <c r="BU209" s="12"/>
      <c r="BV209" s="12"/>
      <c r="BW209" s="12"/>
      <c r="BX209" s="12"/>
      <c r="BY209" s="12"/>
      <c r="BZ209" s="12"/>
      <c r="CA209" s="12"/>
      <c r="CB209" s="12"/>
      <c r="CC209" s="12"/>
      <c r="CD209" s="12"/>
      <c r="CE209" s="12"/>
      <c r="CF209" s="12"/>
      <c r="CG209" s="12"/>
      <c r="CH209" s="12"/>
      <c r="CI209" s="12"/>
      <c r="CJ209" s="12"/>
      <c r="CK209" s="12"/>
      <c r="CL209" s="12"/>
      <c r="CM209" s="12"/>
      <c r="CN209" s="12"/>
      <c r="CO209" s="12"/>
      <c r="CP209" s="12"/>
      <c r="CQ209" s="12"/>
      <c r="CR209" s="12"/>
      <c r="CS209" s="12"/>
      <c r="CT209" s="12"/>
      <c r="CU209" s="12"/>
      <c r="CV209" s="12"/>
      <c r="CW209" s="12"/>
      <c r="CX209" s="12"/>
      <c r="CY209" s="12"/>
      <c r="CZ209" s="12"/>
      <c r="DA209" s="12"/>
      <c r="DB209" s="12"/>
      <c r="DC209" s="12"/>
      <c r="DD209" s="12"/>
      <c r="DE209" s="12"/>
      <c r="DF209" s="12"/>
      <c r="DG209" s="12"/>
      <c r="DH209" s="12"/>
      <c r="DI209" s="12"/>
      <c r="DJ209" s="12"/>
      <c r="DK209" s="12"/>
      <c r="DL209" s="12"/>
      <c r="DM209" s="12"/>
      <c r="DN209" s="12"/>
      <c r="DO209" s="12"/>
      <c r="DP209" s="12"/>
      <c r="DQ209" s="12"/>
      <c r="DR209" s="12"/>
      <c r="DS209" s="12"/>
      <c r="DT209" s="12"/>
      <c r="DU209" s="12"/>
      <c r="DV209" s="12"/>
      <c r="DW209" s="12"/>
      <c r="DX209" s="12"/>
      <c r="DY209" s="12"/>
      <c r="DZ209" s="12"/>
      <c r="EA209" s="12"/>
      <c r="EB209" s="12"/>
      <c r="EC209" s="12"/>
      <c r="ED209" s="12"/>
      <c r="EE209" s="12"/>
      <c r="EF209" s="12"/>
      <c r="EG209" s="12"/>
      <c r="EH209" s="12"/>
      <c r="EI209" s="12"/>
      <c r="EJ209" s="12"/>
      <c r="EK209" s="12"/>
      <c r="EL209" s="12"/>
      <c r="EM209" s="12"/>
      <c r="EN209" s="12"/>
      <c r="EO209" s="12"/>
      <c r="EP209" s="12"/>
      <c r="EQ209" s="12"/>
      <c r="ER209" s="12"/>
      <c r="ES209" s="12"/>
      <c r="ET209" s="12"/>
      <c r="EU209" s="12"/>
      <c r="EV209" s="12"/>
      <c r="EW209" s="12"/>
      <c r="EX209" s="12"/>
      <c r="EY209" s="12"/>
      <c r="EZ209" s="12"/>
      <c r="FA209" s="12"/>
      <c r="FB209" s="12"/>
      <c r="FC209" s="12"/>
      <c r="FD209" s="12"/>
      <c r="FE209" s="12"/>
      <c r="FF209" s="12"/>
      <c r="FG209" s="12"/>
      <c r="FH209" s="12"/>
      <c r="FI209" s="12"/>
      <c r="FJ209" s="12"/>
      <c r="FK209" s="12"/>
      <c r="FL209" s="12"/>
      <c r="FM209" s="12"/>
      <c r="FN209" s="12"/>
      <c r="FO209" s="12"/>
      <c r="FP209" s="12"/>
      <c r="FQ209" s="12"/>
      <c r="FR209" s="12"/>
      <c r="FS209" s="12"/>
      <c r="FT209" s="12"/>
      <c r="FU209" s="12"/>
      <c r="FV209" s="12"/>
      <c r="FW209" s="12"/>
      <c r="FX209" s="12"/>
      <c r="FY209" s="12"/>
      <c r="FZ209" s="12"/>
      <c r="GA209" s="12"/>
      <c r="GB209" s="12"/>
      <c r="GC209" s="12"/>
      <c r="GD209" s="12"/>
      <c r="GE209" s="12"/>
      <c r="GF209" s="12"/>
      <c r="GG209" s="12"/>
      <c r="GH209" s="12"/>
      <c r="GI209" s="12"/>
      <c r="GJ209" s="12"/>
      <c r="GK209" s="12"/>
      <c r="GL209" s="12"/>
      <c r="GM209" s="12"/>
      <c r="GN209" s="12"/>
      <c r="GO209" s="12"/>
      <c r="GP209" s="12"/>
      <c r="GQ209" s="12"/>
      <c r="GR209" s="12"/>
      <c r="GS209" s="12"/>
      <c r="GT209" s="12"/>
      <c r="GU209" s="12"/>
      <c r="GV209" s="12"/>
      <c r="GW209" s="12"/>
      <c r="GX209" s="12"/>
      <c r="GY209" s="12"/>
      <c r="GZ209" s="12"/>
      <c r="HA209" s="12"/>
      <c r="HB209" s="12"/>
      <c r="HC209" s="12"/>
      <c r="HD209" s="12"/>
      <c r="HE209" s="12"/>
      <c r="HF209" s="12"/>
      <c r="HG209" s="12"/>
      <c r="HH209" s="12"/>
      <c r="HI209" s="12"/>
      <c r="HJ209" s="12"/>
      <c r="HK209" s="12"/>
      <c r="HL209" s="12"/>
      <c r="HM209" s="12"/>
      <c r="HN209" s="12"/>
      <c r="HO209" s="12"/>
      <c r="HP209" s="12"/>
      <c r="HQ209" s="12"/>
      <c r="HR209" s="12"/>
      <c r="HS209" s="12"/>
      <c r="HT209" s="12"/>
      <c r="HU209" s="12"/>
      <c r="HV209" s="12"/>
      <c r="HW209" s="12"/>
      <c r="HX209" s="12"/>
      <c r="HY209" s="12"/>
      <c r="HZ209" s="12"/>
      <c r="IA209" s="12"/>
      <c r="IB209" s="12"/>
      <c r="IC209" s="12"/>
      <c r="ID209" s="12"/>
      <c r="IE209" s="12"/>
      <c r="IF209" s="12"/>
      <c r="IG209" s="12"/>
      <c r="IH209" s="12"/>
      <c r="II209" s="12"/>
      <c r="IJ209" s="12"/>
      <c r="IK209" s="12"/>
      <c r="IL209" s="12"/>
      <c r="IM209" s="12"/>
      <c r="IN209" s="12"/>
      <c r="IO209" s="12"/>
      <c r="IP209" s="12"/>
      <c r="IQ209" s="12"/>
      <c r="IR209" s="12"/>
      <c r="IS209" s="12"/>
      <c r="IT209" s="12"/>
      <c r="IU209" s="12"/>
      <c r="IV209" s="12"/>
      <c r="IW209" s="12"/>
    </row>
    <row r="210" customFormat="false" ht="11.25" hidden="false" customHeight="false" outlineLevel="0" collapsed="false">
      <c r="A210" s="25" t="n">
        <f aca="false">DATE(YEAR(A209),MONTH(A209)+1,1)</f>
        <v>52110</v>
      </c>
      <c r="B210" s="21" t="n">
        <v>3.004</v>
      </c>
      <c r="C210" s="21" t="n">
        <v>3.104</v>
      </c>
      <c r="D210" s="25" t="n">
        <f aca="false">DATE(YEAR(D209),MONTH(D209)+1,1)</f>
        <v>52110</v>
      </c>
      <c r="E210" s="21" t="n">
        <v>20.41</v>
      </c>
      <c r="F210" s="21" t="n">
        <v>21.865</v>
      </c>
      <c r="G210" s="6"/>
      <c r="H210" s="22" t="n">
        <f aca="false">A210</f>
        <v>52110</v>
      </c>
      <c r="I210" s="23" t="n">
        <f aca="false">IF($J$1="bid",B210,C210)</f>
        <v>3.104</v>
      </c>
      <c r="J210" s="24" t="n">
        <f aca="false">D210</f>
        <v>52110</v>
      </c>
      <c r="K210" s="23" t="n">
        <f aca="false">IF($J$1="bid",E210,F210)</f>
        <v>21.865</v>
      </c>
      <c r="L210" s="11"/>
      <c r="M210" s="11"/>
      <c r="N210" s="11"/>
      <c r="O210" s="11"/>
      <c r="P210" s="11"/>
      <c r="Q210" s="11"/>
      <c r="R210" s="11"/>
      <c r="S210" s="11"/>
      <c r="T210" s="11"/>
      <c r="U210" s="11"/>
      <c r="V210" s="11"/>
      <c r="W210" s="11"/>
      <c r="X210" s="11"/>
      <c r="Y210" s="11"/>
      <c r="Z210" s="11"/>
      <c r="AA210" s="11"/>
      <c r="AB210" s="11"/>
      <c r="AC210" s="11"/>
      <c r="AD210" s="11"/>
      <c r="AE210" s="11"/>
      <c r="AF210" s="11"/>
      <c r="AG210" s="11"/>
      <c r="AH210" s="11"/>
      <c r="AI210" s="11"/>
      <c r="AJ210" s="11"/>
      <c r="AK210" s="11"/>
      <c r="AL210" s="11"/>
      <c r="AM210" s="11"/>
      <c r="AN210" s="11"/>
      <c r="AO210" s="11"/>
      <c r="AP210" s="11"/>
      <c r="AQ210" s="11"/>
      <c r="AR210" s="5"/>
      <c r="AS210" s="12"/>
      <c r="AT210" s="12"/>
      <c r="AU210" s="12"/>
      <c r="AV210" s="12"/>
      <c r="AW210" s="12"/>
      <c r="AX210" s="12"/>
      <c r="AY210" s="12"/>
      <c r="AZ210" s="12"/>
      <c r="BA210" s="12"/>
      <c r="BB210" s="12"/>
      <c r="BC210" s="12"/>
      <c r="BD210" s="12"/>
      <c r="BE210" s="12"/>
      <c r="BF210" s="12"/>
      <c r="BG210" s="12"/>
      <c r="BH210" s="12"/>
      <c r="BI210" s="12"/>
      <c r="BJ210" s="12"/>
      <c r="BK210" s="12"/>
      <c r="BL210" s="12"/>
      <c r="BM210" s="12"/>
      <c r="BN210" s="12"/>
      <c r="BO210" s="12"/>
      <c r="BP210" s="12"/>
      <c r="BQ210" s="12"/>
      <c r="BR210" s="12"/>
      <c r="BS210" s="12"/>
      <c r="BT210" s="12"/>
      <c r="BU210" s="12"/>
      <c r="BV210" s="12"/>
      <c r="BW210" s="12"/>
      <c r="BX210" s="12"/>
      <c r="BY210" s="12"/>
      <c r="BZ210" s="12"/>
      <c r="CA210" s="12"/>
      <c r="CB210" s="12"/>
      <c r="CC210" s="12"/>
      <c r="CD210" s="12"/>
      <c r="CE210" s="12"/>
      <c r="CF210" s="12"/>
      <c r="CG210" s="12"/>
      <c r="CH210" s="12"/>
      <c r="CI210" s="12"/>
      <c r="CJ210" s="12"/>
      <c r="CK210" s="12"/>
      <c r="CL210" s="12"/>
      <c r="CM210" s="12"/>
      <c r="CN210" s="12"/>
      <c r="CO210" s="12"/>
      <c r="CP210" s="12"/>
      <c r="CQ210" s="12"/>
      <c r="CR210" s="12"/>
      <c r="CS210" s="12"/>
      <c r="CT210" s="12"/>
      <c r="CU210" s="12"/>
      <c r="CV210" s="12"/>
      <c r="CW210" s="12"/>
      <c r="CX210" s="12"/>
      <c r="CY210" s="12"/>
      <c r="CZ210" s="12"/>
      <c r="DA210" s="12"/>
      <c r="DB210" s="12"/>
      <c r="DC210" s="12"/>
      <c r="DD210" s="12"/>
      <c r="DE210" s="12"/>
      <c r="DF210" s="12"/>
      <c r="DG210" s="12"/>
      <c r="DH210" s="12"/>
      <c r="DI210" s="12"/>
      <c r="DJ210" s="12"/>
      <c r="DK210" s="12"/>
      <c r="DL210" s="12"/>
      <c r="DM210" s="12"/>
      <c r="DN210" s="12"/>
      <c r="DO210" s="12"/>
      <c r="DP210" s="12"/>
      <c r="DQ210" s="12"/>
      <c r="DR210" s="12"/>
      <c r="DS210" s="12"/>
      <c r="DT210" s="12"/>
      <c r="DU210" s="12"/>
      <c r="DV210" s="12"/>
      <c r="DW210" s="12"/>
      <c r="DX210" s="12"/>
      <c r="DY210" s="12"/>
      <c r="DZ210" s="12"/>
      <c r="EA210" s="12"/>
      <c r="EB210" s="12"/>
      <c r="EC210" s="12"/>
      <c r="ED210" s="12"/>
      <c r="EE210" s="12"/>
      <c r="EF210" s="12"/>
      <c r="EG210" s="12"/>
      <c r="EH210" s="12"/>
      <c r="EI210" s="12"/>
      <c r="EJ210" s="12"/>
      <c r="EK210" s="12"/>
      <c r="EL210" s="12"/>
      <c r="EM210" s="12"/>
      <c r="EN210" s="12"/>
      <c r="EO210" s="12"/>
      <c r="EP210" s="12"/>
      <c r="EQ210" s="12"/>
      <c r="ER210" s="12"/>
      <c r="ES210" s="12"/>
      <c r="ET210" s="12"/>
      <c r="EU210" s="12"/>
      <c r="EV210" s="12"/>
      <c r="EW210" s="12"/>
      <c r="EX210" s="12"/>
      <c r="EY210" s="12"/>
      <c r="EZ210" s="12"/>
      <c r="FA210" s="12"/>
      <c r="FB210" s="12"/>
      <c r="FC210" s="12"/>
      <c r="FD210" s="12"/>
      <c r="FE210" s="12"/>
      <c r="FF210" s="12"/>
      <c r="FG210" s="12"/>
      <c r="FH210" s="12"/>
      <c r="FI210" s="12"/>
      <c r="FJ210" s="12"/>
      <c r="FK210" s="12"/>
      <c r="FL210" s="12"/>
      <c r="FM210" s="12"/>
      <c r="FN210" s="12"/>
      <c r="FO210" s="12"/>
      <c r="FP210" s="12"/>
      <c r="FQ210" s="12"/>
      <c r="FR210" s="12"/>
      <c r="FS210" s="12"/>
      <c r="FT210" s="12"/>
      <c r="FU210" s="12"/>
      <c r="FV210" s="12"/>
      <c r="FW210" s="12"/>
      <c r="FX210" s="12"/>
      <c r="FY210" s="12"/>
      <c r="FZ210" s="12"/>
      <c r="GA210" s="12"/>
      <c r="GB210" s="12"/>
      <c r="GC210" s="12"/>
      <c r="GD210" s="12"/>
      <c r="GE210" s="12"/>
      <c r="GF210" s="12"/>
      <c r="GG210" s="12"/>
      <c r="GH210" s="12"/>
      <c r="GI210" s="12"/>
      <c r="GJ210" s="12"/>
      <c r="GK210" s="12"/>
      <c r="GL210" s="12"/>
      <c r="GM210" s="12"/>
      <c r="GN210" s="12"/>
      <c r="GO210" s="12"/>
      <c r="GP210" s="12"/>
      <c r="GQ210" s="12"/>
      <c r="GR210" s="12"/>
      <c r="GS210" s="12"/>
      <c r="GT210" s="12"/>
      <c r="GU210" s="12"/>
      <c r="GV210" s="12"/>
      <c r="GW210" s="12"/>
      <c r="GX210" s="12"/>
      <c r="GY210" s="12"/>
      <c r="GZ210" s="12"/>
      <c r="HA210" s="12"/>
      <c r="HB210" s="12"/>
      <c r="HC210" s="12"/>
      <c r="HD210" s="12"/>
      <c r="HE210" s="12"/>
      <c r="HF210" s="12"/>
      <c r="HG210" s="12"/>
      <c r="HH210" s="12"/>
      <c r="HI210" s="12"/>
      <c r="HJ210" s="12"/>
      <c r="HK210" s="12"/>
      <c r="HL210" s="12"/>
      <c r="HM210" s="12"/>
      <c r="HN210" s="12"/>
      <c r="HO210" s="12"/>
      <c r="HP210" s="12"/>
      <c r="HQ210" s="12"/>
      <c r="HR210" s="12"/>
      <c r="HS210" s="12"/>
      <c r="HT210" s="12"/>
      <c r="HU210" s="12"/>
      <c r="HV210" s="12"/>
      <c r="HW210" s="12"/>
      <c r="HX210" s="12"/>
      <c r="HY210" s="12"/>
      <c r="HZ210" s="12"/>
      <c r="IA210" s="12"/>
      <c r="IB210" s="12"/>
      <c r="IC210" s="12"/>
      <c r="ID210" s="12"/>
      <c r="IE210" s="12"/>
      <c r="IF210" s="12"/>
      <c r="IG210" s="12"/>
      <c r="IH210" s="12"/>
      <c r="II210" s="12"/>
      <c r="IJ210" s="12"/>
      <c r="IK210" s="12"/>
      <c r="IL210" s="12"/>
      <c r="IM210" s="12"/>
      <c r="IN210" s="12"/>
      <c r="IO210" s="12"/>
      <c r="IP210" s="12"/>
      <c r="IQ210" s="12"/>
      <c r="IR210" s="12"/>
      <c r="IS210" s="12"/>
      <c r="IT210" s="12"/>
      <c r="IU210" s="12"/>
      <c r="IV210" s="12"/>
      <c r="IW210" s="12"/>
    </row>
    <row r="211" customFormat="false" ht="11.25" hidden="false" customHeight="false" outlineLevel="0" collapsed="false">
      <c r="A211" s="25" t="n">
        <f aca="false">DATE(YEAR(A210),MONTH(A210)+1,1)</f>
        <v>52140</v>
      </c>
      <c r="B211" s="21" t="n">
        <v>3.122</v>
      </c>
      <c r="C211" s="21" t="n">
        <v>3.222</v>
      </c>
      <c r="D211" s="25" t="n">
        <f aca="false">DATE(YEAR(D210),MONTH(D210)+1,1)</f>
        <v>52140</v>
      </c>
      <c r="E211" s="21" t="n">
        <v>20.427</v>
      </c>
      <c r="F211" s="21" t="n">
        <v>21.891</v>
      </c>
      <c r="G211" s="6"/>
      <c r="H211" s="22" t="n">
        <f aca="false">A211</f>
        <v>52140</v>
      </c>
      <c r="I211" s="23" t="n">
        <f aca="false">IF($J$1="bid",B211,C211)</f>
        <v>3.222</v>
      </c>
      <c r="J211" s="24" t="n">
        <f aca="false">D211</f>
        <v>52140</v>
      </c>
      <c r="K211" s="23" t="n">
        <f aca="false">IF($J$1="bid",E211,F211)</f>
        <v>21.891</v>
      </c>
      <c r="L211" s="11"/>
      <c r="M211" s="11"/>
      <c r="N211" s="11"/>
      <c r="O211" s="11"/>
      <c r="P211" s="11"/>
      <c r="Q211" s="11"/>
      <c r="R211" s="11"/>
      <c r="S211" s="11"/>
      <c r="T211" s="11"/>
      <c r="U211" s="11"/>
      <c r="V211" s="11"/>
      <c r="W211" s="11"/>
      <c r="X211" s="11"/>
      <c r="Y211" s="11"/>
      <c r="Z211" s="11"/>
      <c r="AA211" s="11"/>
      <c r="AB211" s="11"/>
      <c r="AC211" s="11"/>
      <c r="AD211" s="11"/>
      <c r="AE211" s="11"/>
      <c r="AF211" s="11"/>
      <c r="AG211" s="11"/>
      <c r="AH211" s="11"/>
      <c r="AI211" s="11"/>
      <c r="AJ211" s="11"/>
      <c r="AK211" s="11"/>
      <c r="AL211" s="11"/>
      <c r="AM211" s="11"/>
      <c r="AN211" s="11"/>
      <c r="AO211" s="11"/>
      <c r="AP211" s="11"/>
      <c r="AQ211" s="11"/>
      <c r="AR211" s="5"/>
      <c r="AS211" s="12"/>
      <c r="AT211" s="12"/>
      <c r="AU211" s="12"/>
      <c r="AV211" s="12"/>
      <c r="AW211" s="12"/>
      <c r="AX211" s="12"/>
      <c r="AY211" s="12"/>
      <c r="AZ211" s="12"/>
      <c r="BA211" s="12"/>
      <c r="BB211" s="12"/>
      <c r="BC211" s="12"/>
      <c r="BD211" s="12"/>
      <c r="BE211" s="12"/>
      <c r="BF211" s="12"/>
      <c r="BG211" s="12"/>
      <c r="BH211" s="12"/>
      <c r="BI211" s="12"/>
      <c r="BJ211" s="12"/>
      <c r="BK211" s="12"/>
      <c r="BL211" s="12"/>
      <c r="BM211" s="12"/>
      <c r="BN211" s="12"/>
      <c r="BO211" s="12"/>
      <c r="BP211" s="12"/>
      <c r="BQ211" s="12"/>
      <c r="BR211" s="12"/>
      <c r="BS211" s="12"/>
      <c r="BT211" s="12"/>
      <c r="BU211" s="12"/>
      <c r="BV211" s="12"/>
      <c r="BW211" s="12"/>
      <c r="BX211" s="12"/>
      <c r="BY211" s="12"/>
      <c r="BZ211" s="12"/>
      <c r="CA211" s="12"/>
      <c r="CB211" s="12"/>
      <c r="CC211" s="12"/>
      <c r="CD211" s="12"/>
      <c r="CE211" s="12"/>
      <c r="CF211" s="12"/>
      <c r="CG211" s="12"/>
      <c r="CH211" s="12"/>
      <c r="CI211" s="12"/>
      <c r="CJ211" s="12"/>
      <c r="CK211" s="12"/>
      <c r="CL211" s="12"/>
      <c r="CM211" s="12"/>
      <c r="CN211" s="12"/>
      <c r="CO211" s="12"/>
      <c r="CP211" s="12"/>
      <c r="CQ211" s="12"/>
      <c r="CR211" s="12"/>
      <c r="CS211" s="12"/>
      <c r="CT211" s="12"/>
      <c r="CU211" s="12"/>
      <c r="CV211" s="12"/>
      <c r="CW211" s="12"/>
      <c r="CX211" s="12"/>
      <c r="CY211" s="12"/>
      <c r="CZ211" s="12"/>
      <c r="DA211" s="12"/>
      <c r="DB211" s="12"/>
      <c r="DC211" s="12"/>
      <c r="DD211" s="12"/>
      <c r="DE211" s="12"/>
      <c r="DF211" s="12"/>
      <c r="DG211" s="12"/>
      <c r="DH211" s="12"/>
      <c r="DI211" s="12"/>
      <c r="DJ211" s="12"/>
      <c r="DK211" s="12"/>
      <c r="DL211" s="12"/>
      <c r="DM211" s="12"/>
      <c r="DN211" s="12"/>
      <c r="DO211" s="12"/>
      <c r="DP211" s="12"/>
      <c r="DQ211" s="12"/>
      <c r="DR211" s="12"/>
      <c r="DS211" s="12"/>
      <c r="DT211" s="12"/>
      <c r="DU211" s="12"/>
      <c r="DV211" s="12"/>
      <c r="DW211" s="12"/>
      <c r="DX211" s="12"/>
      <c r="DY211" s="12"/>
      <c r="DZ211" s="12"/>
      <c r="EA211" s="12"/>
      <c r="EB211" s="12"/>
      <c r="EC211" s="12"/>
      <c r="ED211" s="12"/>
      <c r="EE211" s="12"/>
      <c r="EF211" s="12"/>
      <c r="EG211" s="12"/>
      <c r="EH211" s="12"/>
      <c r="EI211" s="12"/>
      <c r="EJ211" s="12"/>
      <c r="EK211" s="12"/>
      <c r="EL211" s="12"/>
      <c r="EM211" s="12"/>
      <c r="EN211" s="12"/>
      <c r="EO211" s="12"/>
      <c r="EP211" s="12"/>
      <c r="EQ211" s="12"/>
      <c r="ER211" s="12"/>
      <c r="ES211" s="12"/>
      <c r="ET211" s="12"/>
      <c r="EU211" s="12"/>
      <c r="EV211" s="12"/>
      <c r="EW211" s="12"/>
      <c r="EX211" s="12"/>
      <c r="EY211" s="12"/>
      <c r="EZ211" s="12"/>
      <c r="FA211" s="12"/>
      <c r="FB211" s="12"/>
      <c r="FC211" s="12"/>
      <c r="FD211" s="12"/>
      <c r="FE211" s="12"/>
      <c r="FF211" s="12"/>
      <c r="FG211" s="12"/>
      <c r="FH211" s="12"/>
      <c r="FI211" s="12"/>
      <c r="FJ211" s="12"/>
      <c r="FK211" s="12"/>
      <c r="FL211" s="12"/>
      <c r="FM211" s="12"/>
      <c r="FN211" s="12"/>
      <c r="FO211" s="12"/>
      <c r="FP211" s="12"/>
      <c r="FQ211" s="12"/>
      <c r="FR211" s="12"/>
      <c r="FS211" s="12"/>
      <c r="FT211" s="12"/>
      <c r="FU211" s="12"/>
      <c r="FV211" s="12"/>
      <c r="FW211" s="12"/>
      <c r="FX211" s="12"/>
      <c r="FY211" s="12"/>
      <c r="FZ211" s="12"/>
      <c r="GA211" s="12"/>
      <c r="GB211" s="12"/>
      <c r="GC211" s="12"/>
      <c r="GD211" s="12"/>
      <c r="GE211" s="12"/>
      <c r="GF211" s="12"/>
      <c r="GG211" s="12"/>
      <c r="GH211" s="12"/>
      <c r="GI211" s="12"/>
      <c r="GJ211" s="12"/>
      <c r="GK211" s="12"/>
      <c r="GL211" s="12"/>
      <c r="GM211" s="12"/>
      <c r="GN211" s="12"/>
      <c r="GO211" s="12"/>
      <c r="GP211" s="12"/>
      <c r="GQ211" s="12"/>
      <c r="GR211" s="12"/>
      <c r="GS211" s="12"/>
      <c r="GT211" s="12"/>
      <c r="GU211" s="12"/>
      <c r="GV211" s="12"/>
      <c r="GW211" s="12"/>
      <c r="GX211" s="12"/>
      <c r="GY211" s="12"/>
      <c r="GZ211" s="12"/>
      <c r="HA211" s="12"/>
      <c r="HB211" s="12"/>
      <c r="HC211" s="12"/>
      <c r="HD211" s="12"/>
      <c r="HE211" s="12"/>
      <c r="HF211" s="12"/>
      <c r="HG211" s="12"/>
      <c r="HH211" s="12"/>
      <c r="HI211" s="12"/>
      <c r="HJ211" s="12"/>
      <c r="HK211" s="12"/>
      <c r="HL211" s="12"/>
      <c r="HM211" s="12"/>
      <c r="HN211" s="12"/>
      <c r="HO211" s="12"/>
      <c r="HP211" s="12"/>
      <c r="HQ211" s="12"/>
      <c r="HR211" s="12"/>
      <c r="HS211" s="12"/>
      <c r="HT211" s="12"/>
      <c r="HU211" s="12"/>
      <c r="HV211" s="12"/>
      <c r="HW211" s="12"/>
      <c r="HX211" s="12"/>
      <c r="HY211" s="12"/>
      <c r="HZ211" s="12"/>
      <c r="IA211" s="12"/>
      <c r="IB211" s="12"/>
      <c r="IC211" s="12"/>
      <c r="ID211" s="12"/>
      <c r="IE211" s="12"/>
      <c r="IF211" s="12"/>
      <c r="IG211" s="12"/>
      <c r="IH211" s="12"/>
      <c r="II211" s="12"/>
      <c r="IJ211" s="12"/>
      <c r="IK211" s="12"/>
      <c r="IL211" s="12"/>
      <c r="IM211" s="12"/>
      <c r="IN211" s="12"/>
      <c r="IO211" s="12"/>
      <c r="IP211" s="12"/>
      <c r="IQ211" s="12"/>
      <c r="IR211" s="12"/>
      <c r="IS211" s="12"/>
      <c r="IT211" s="12"/>
      <c r="IU211" s="12"/>
      <c r="IV211" s="12"/>
      <c r="IW211" s="12"/>
    </row>
    <row r="212" customFormat="false" ht="11.25" hidden="false" customHeight="false" outlineLevel="0" collapsed="false">
      <c r="A212" s="25" t="n">
        <f aca="false">DATE(YEAR(A211),MONTH(A211)+1,1)</f>
        <v>52171</v>
      </c>
      <c r="B212" s="21" t="n">
        <v>3.313</v>
      </c>
      <c r="C212" s="21" t="n">
        <v>3.413</v>
      </c>
      <c r="D212" s="25" t="n">
        <f aca="false">DATE(YEAR(D211),MONTH(D211)+1,1)</f>
        <v>52171</v>
      </c>
      <c r="E212" s="21" t="n">
        <v>20.443</v>
      </c>
      <c r="F212" s="21" t="n">
        <v>21.914</v>
      </c>
      <c r="G212" s="6"/>
      <c r="H212" s="22" t="n">
        <f aca="false">A212</f>
        <v>52171</v>
      </c>
      <c r="I212" s="23" t="n">
        <f aca="false">IF($J$1="bid",B212,C212)</f>
        <v>3.413</v>
      </c>
      <c r="J212" s="24" t="n">
        <f aca="false">D212</f>
        <v>52171</v>
      </c>
      <c r="K212" s="23" t="n">
        <f aca="false">IF($J$1="bid",E212,F212)</f>
        <v>21.914</v>
      </c>
      <c r="L212" s="11"/>
      <c r="M212" s="11"/>
      <c r="N212" s="11"/>
      <c r="O212" s="11"/>
      <c r="P212" s="11"/>
      <c r="Q212" s="11"/>
      <c r="R212" s="11"/>
      <c r="S212" s="11"/>
      <c r="T212" s="11"/>
      <c r="U212" s="11"/>
      <c r="V212" s="11"/>
      <c r="W212" s="11"/>
      <c r="X212" s="11"/>
      <c r="Y212" s="11"/>
      <c r="Z212" s="11"/>
      <c r="AA212" s="11"/>
      <c r="AB212" s="11"/>
      <c r="AC212" s="11"/>
      <c r="AD212" s="11"/>
      <c r="AE212" s="11"/>
      <c r="AF212" s="11"/>
      <c r="AG212" s="11"/>
      <c r="AH212" s="11"/>
      <c r="AI212" s="11"/>
      <c r="AJ212" s="11"/>
      <c r="AK212" s="11"/>
      <c r="AL212" s="11"/>
      <c r="AM212" s="11"/>
      <c r="AN212" s="11"/>
      <c r="AO212" s="11"/>
      <c r="AP212" s="11"/>
      <c r="AQ212" s="11"/>
      <c r="AR212" s="5"/>
      <c r="AS212" s="12"/>
      <c r="AT212" s="12"/>
      <c r="AU212" s="12"/>
      <c r="AV212" s="12"/>
      <c r="AW212" s="12"/>
      <c r="AX212" s="12"/>
      <c r="AY212" s="12"/>
      <c r="AZ212" s="12"/>
      <c r="BA212" s="12"/>
      <c r="BB212" s="12"/>
      <c r="BC212" s="12"/>
      <c r="BD212" s="12"/>
      <c r="BE212" s="12"/>
      <c r="BF212" s="12"/>
      <c r="BG212" s="12"/>
      <c r="BH212" s="12"/>
      <c r="BI212" s="12"/>
      <c r="BJ212" s="12"/>
      <c r="BK212" s="12"/>
      <c r="BL212" s="12"/>
      <c r="BM212" s="12"/>
      <c r="BN212" s="12"/>
      <c r="BO212" s="12"/>
      <c r="BP212" s="12"/>
      <c r="BQ212" s="12"/>
      <c r="BR212" s="12"/>
      <c r="BS212" s="12"/>
      <c r="BT212" s="12"/>
      <c r="BU212" s="12"/>
      <c r="BV212" s="12"/>
      <c r="BW212" s="12"/>
      <c r="BX212" s="12"/>
      <c r="BY212" s="12"/>
      <c r="BZ212" s="12"/>
      <c r="CA212" s="12"/>
      <c r="CB212" s="12"/>
      <c r="CC212" s="12"/>
      <c r="CD212" s="12"/>
      <c r="CE212" s="12"/>
      <c r="CF212" s="12"/>
      <c r="CG212" s="12"/>
      <c r="CH212" s="12"/>
      <c r="CI212" s="12"/>
      <c r="CJ212" s="12"/>
      <c r="CK212" s="12"/>
      <c r="CL212" s="12"/>
      <c r="CM212" s="12"/>
      <c r="CN212" s="12"/>
      <c r="CO212" s="12"/>
      <c r="CP212" s="12"/>
      <c r="CQ212" s="12"/>
      <c r="CR212" s="12"/>
      <c r="CS212" s="12"/>
      <c r="CT212" s="12"/>
      <c r="CU212" s="12"/>
      <c r="CV212" s="12"/>
      <c r="CW212" s="12"/>
      <c r="CX212" s="12"/>
      <c r="CY212" s="12"/>
      <c r="CZ212" s="12"/>
      <c r="DA212" s="12"/>
      <c r="DB212" s="12"/>
      <c r="DC212" s="12"/>
      <c r="DD212" s="12"/>
      <c r="DE212" s="12"/>
      <c r="DF212" s="12"/>
      <c r="DG212" s="12"/>
      <c r="DH212" s="12"/>
      <c r="DI212" s="12"/>
      <c r="DJ212" s="12"/>
      <c r="DK212" s="12"/>
      <c r="DL212" s="12"/>
      <c r="DM212" s="12"/>
      <c r="DN212" s="12"/>
      <c r="DO212" s="12"/>
      <c r="DP212" s="12"/>
      <c r="DQ212" s="12"/>
      <c r="DR212" s="12"/>
      <c r="DS212" s="12"/>
      <c r="DT212" s="12"/>
      <c r="DU212" s="12"/>
      <c r="DV212" s="12"/>
      <c r="DW212" s="12"/>
      <c r="DX212" s="12"/>
      <c r="DY212" s="12"/>
      <c r="DZ212" s="12"/>
      <c r="EA212" s="12"/>
      <c r="EB212" s="12"/>
      <c r="EC212" s="12"/>
      <c r="ED212" s="12"/>
      <c r="EE212" s="12"/>
      <c r="EF212" s="12"/>
      <c r="EG212" s="12"/>
      <c r="EH212" s="12"/>
      <c r="EI212" s="12"/>
      <c r="EJ212" s="12"/>
      <c r="EK212" s="12"/>
      <c r="EL212" s="12"/>
      <c r="EM212" s="12"/>
      <c r="EN212" s="12"/>
      <c r="EO212" s="12"/>
      <c r="EP212" s="12"/>
      <c r="EQ212" s="12"/>
      <c r="ER212" s="12"/>
      <c r="ES212" s="12"/>
      <c r="ET212" s="12"/>
      <c r="EU212" s="12"/>
      <c r="EV212" s="12"/>
      <c r="EW212" s="12"/>
      <c r="EX212" s="12"/>
      <c r="EY212" s="12"/>
      <c r="EZ212" s="12"/>
      <c r="FA212" s="12"/>
      <c r="FB212" s="12"/>
      <c r="FC212" s="12"/>
      <c r="FD212" s="12"/>
      <c r="FE212" s="12"/>
      <c r="FF212" s="12"/>
      <c r="FG212" s="12"/>
      <c r="FH212" s="12"/>
      <c r="FI212" s="12"/>
      <c r="FJ212" s="12"/>
      <c r="FK212" s="12"/>
      <c r="FL212" s="12"/>
      <c r="FM212" s="12"/>
      <c r="FN212" s="12"/>
      <c r="FO212" s="12"/>
      <c r="FP212" s="12"/>
      <c r="FQ212" s="12"/>
      <c r="FR212" s="12"/>
      <c r="FS212" s="12"/>
      <c r="FT212" s="12"/>
      <c r="FU212" s="12"/>
      <c r="FV212" s="12"/>
      <c r="FW212" s="12"/>
      <c r="FX212" s="12"/>
      <c r="FY212" s="12"/>
      <c r="FZ212" s="12"/>
      <c r="GA212" s="12"/>
      <c r="GB212" s="12"/>
      <c r="GC212" s="12"/>
      <c r="GD212" s="12"/>
      <c r="GE212" s="12"/>
      <c r="GF212" s="12"/>
      <c r="GG212" s="12"/>
      <c r="GH212" s="12"/>
      <c r="GI212" s="12"/>
      <c r="GJ212" s="12"/>
      <c r="GK212" s="12"/>
      <c r="GL212" s="12"/>
      <c r="GM212" s="12"/>
      <c r="GN212" s="12"/>
      <c r="GO212" s="12"/>
      <c r="GP212" s="12"/>
      <c r="GQ212" s="12"/>
      <c r="GR212" s="12"/>
      <c r="GS212" s="12"/>
      <c r="GT212" s="12"/>
      <c r="GU212" s="12"/>
      <c r="GV212" s="12"/>
      <c r="GW212" s="12"/>
      <c r="GX212" s="12"/>
      <c r="GY212" s="12"/>
      <c r="GZ212" s="12"/>
      <c r="HA212" s="12"/>
      <c r="HB212" s="12"/>
      <c r="HC212" s="12"/>
      <c r="HD212" s="12"/>
      <c r="HE212" s="12"/>
      <c r="HF212" s="12"/>
      <c r="HG212" s="12"/>
      <c r="HH212" s="12"/>
      <c r="HI212" s="12"/>
      <c r="HJ212" s="12"/>
      <c r="HK212" s="12"/>
      <c r="HL212" s="12"/>
      <c r="HM212" s="12"/>
      <c r="HN212" s="12"/>
      <c r="HO212" s="12"/>
      <c r="HP212" s="12"/>
      <c r="HQ212" s="12"/>
      <c r="HR212" s="12"/>
      <c r="HS212" s="12"/>
      <c r="HT212" s="12"/>
      <c r="HU212" s="12"/>
      <c r="HV212" s="12"/>
      <c r="HW212" s="12"/>
      <c r="HX212" s="12"/>
      <c r="HY212" s="12"/>
      <c r="HZ212" s="12"/>
      <c r="IA212" s="12"/>
      <c r="IB212" s="12"/>
      <c r="IC212" s="12"/>
      <c r="ID212" s="12"/>
      <c r="IE212" s="12"/>
      <c r="IF212" s="12"/>
      <c r="IG212" s="12"/>
      <c r="IH212" s="12"/>
      <c r="II212" s="12"/>
      <c r="IJ212" s="12"/>
      <c r="IK212" s="12"/>
      <c r="IL212" s="12"/>
      <c r="IM212" s="12"/>
      <c r="IN212" s="12"/>
      <c r="IO212" s="12"/>
      <c r="IP212" s="12"/>
      <c r="IQ212" s="12"/>
      <c r="IR212" s="12"/>
      <c r="IS212" s="12"/>
      <c r="IT212" s="12"/>
      <c r="IU212" s="12"/>
      <c r="IV212" s="12"/>
      <c r="IW212" s="12"/>
    </row>
    <row r="213" customFormat="false" ht="11.25" hidden="false" customHeight="false" outlineLevel="0" collapsed="false">
      <c r="A213" s="25" t="n">
        <f aca="false">DATE(YEAR(A212),MONTH(A212)+1,1)</f>
        <v>52201</v>
      </c>
      <c r="B213" s="21" t="n">
        <v>3.228</v>
      </c>
      <c r="C213" s="21" t="n">
        <v>3.328</v>
      </c>
      <c r="D213" s="25" t="n">
        <f aca="false">DATE(YEAR(D212),MONTH(D212)+1,1)</f>
        <v>52201</v>
      </c>
      <c r="E213" s="21" t="n">
        <v>20.461</v>
      </c>
      <c r="F213" s="21" t="n">
        <v>21.941</v>
      </c>
      <c r="G213" s="6"/>
      <c r="H213" s="22" t="n">
        <f aca="false">A213</f>
        <v>52201</v>
      </c>
      <c r="I213" s="23" t="n">
        <f aca="false">IF($J$1="bid",B213,C213)</f>
        <v>3.328</v>
      </c>
      <c r="J213" s="24" t="n">
        <f aca="false">D213</f>
        <v>52201</v>
      </c>
      <c r="K213" s="23" t="n">
        <f aca="false">IF($J$1="bid",E213,F213)</f>
        <v>21.941</v>
      </c>
      <c r="L213" s="11"/>
      <c r="M213" s="11"/>
      <c r="N213" s="11"/>
      <c r="O213" s="11"/>
      <c r="P213" s="11"/>
      <c r="Q213" s="11"/>
      <c r="R213" s="11"/>
      <c r="S213" s="11"/>
      <c r="T213" s="11"/>
      <c r="U213" s="11"/>
      <c r="V213" s="11"/>
      <c r="W213" s="11"/>
      <c r="X213" s="11"/>
      <c r="Y213" s="11"/>
      <c r="Z213" s="11"/>
      <c r="AA213" s="11"/>
      <c r="AB213" s="11"/>
      <c r="AC213" s="11"/>
      <c r="AD213" s="11"/>
      <c r="AE213" s="11"/>
      <c r="AF213" s="11"/>
      <c r="AG213" s="11"/>
      <c r="AH213" s="11"/>
      <c r="AI213" s="11"/>
      <c r="AJ213" s="11"/>
      <c r="AK213" s="11"/>
      <c r="AL213" s="11"/>
      <c r="AM213" s="11"/>
      <c r="AN213" s="11"/>
      <c r="AO213" s="11"/>
      <c r="AP213" s="11"/>
      <c r="AQ213" s="11"/>
      <c r="AR213" s="5"/>
      <c r="AS213" s="12"/>
      <c r="AT213" s="12"/>
      <c r="AU213" s="12"/>
      <c r="AV213" s="12"/>
      <c r="AW213" s="12"/>
      <c r="AX213" s="12"/>
      <c r="AY213" s="12"/>
      <c r="AZ213" s="12"/>
      <c r="BA213" s="12"/>
      <c r="BB213" s="12"/>
      <c r="BC213" s="12"/>
      <c r="BD213" s="12"/>
      <c r="BE213" s="12"/>
      <c r="BF213" s="12"/>
      <c r="BG213" s="12"/>
      <c r="BH213" s="12"/>
      <c r="BI213" s="12"/>
      <c r="BJ213" s="12"/>
      <c r="BK213" s="12"/>
      <c r="BL213" s="12"/>
      <c r="BM213" s="12"/>
      <c r="BN213" s="12"/>
      <c r="BO213" s="12"/>
      <c r="BP213" s="12"/>
      <c r="BQ213" s="12"/>
      <c r="BR213" s="12"/>
      <c r="BS213" s="12"/>
      <c r="BT213" s="12"/>
      <c r="BU213" s="12"/>
      <c r="BV213" s="12"/>
      <c r="BW213" s="12"/>
      <c r="BX213" s="12"/>
      <c r="BY213" s="12"/>
      <c r="BZ213" s="12"/>
      <c r="CA213" s="12"/>
      <c r="CB213" s="12"/>
      <c r="CC213" s="12"/>
      <c r="CD213" s="12"/>
      <c r="CE213" s="12"/>
      <c r="CF213" s="12"/>
      <c r="CG213" s="12"/>
      <c r="CH213" s="12"/>
      <c r="CI213" s="12"/>
      <c r="CJ213" s="12"/>
      <c r="CK213" s="12"/>
      <c r="CL213" s="12"/>
      <c r="CM213" s="12"/>
      <c r="CN213" s="12"/>
      <c r="CO213" s="12"/>
      <c r="CP213" s="12"/>
      <c r="CQ213" s="12"/>
      <c r="CR213" s="12"/>
      <c r="CS213" s="12"/>
      <c r="CT213" s="12"/>
      <c r="CU213" s="12"/>
      <c r="CV213" s="12"/>
      <c r="CW213" s="12"/>
      <c r="CX213" s="12"/>
      <c r="CY213" s="12"/>
      <c r="CZ213" s="12"/>
      <c r="DA213" s="12"/>
      <c r="DB213" s="12"/>
      <c r="DC213" s="12"/>
      <c r="DD213" s="12"/>
      <c r="DE213" s="12"/>
      <c r="DF213" s="12"/>
      <c r="DG213" s="12"/>
      <c r="DH213" s="12"/>
      <c r="DI213" s="12"/>
      <c r="DJ213" s="12"/>
      <c r="DK213" s="12"/>
      <c r="DL213" s="12"/>
      <c r="DM213" s="12"/>
      <c r="DN213" s="12"/>
      <c r="DO213" s="12"/>
      <c r="DP213" s="12"/>
      <c r="DQ213" s="12"/>
      <c r="DR213" s="12"/>
      <c r="DS213" s="12"/>
      <c r="DT213" s="12"/>
      <c r="DU213" s="12"/>
      <c r="DV213" s="12"/>
      <c r="DW213" s="12"/>
      <c r="DX213" s="12"/>
      <c r="DY213" s="12"/>
      <c r="DZ213" s="12"/>
      <c r="EA213" s="12"/>
      <c r="EB213" s="12"/>
      <c r="EC213" s="12"/>
      <c r="ED213" s="12"/>
      <c r="EE213" s="12"/>
      <c r="EF213" s="12"/>
      <c r="EG213" s="12"/>
      <c r="EH213" s="12"/>
      <c r="EI213" s="12"/>
      <c r="EJ213" s="12"/>
      <c r="EK213" s="12"/>
      <c r="EL213" s="12"/>
      <c r="EM213" s="12"/>
      <c r="EN213" s="12"/>
      <c r="EO213" s="12"/>
      <c r="EP213" s="12"/>
      <c r="EQ213" s="12"/>
      <c r="ER213" s="12"/>
      <c r="ES213" s="12"/>
      <c r="ET213" s="12"/>
      <c r="EU213" s="12"/>
      <c r="EV213" s="12"/>
      <c r="EW213" s="12"/>
      <c r="EX213" s="12"/>
      <c r="EY213" s="12"/>
      <c r="EZ213" s="12"/>
      <c r="FA213" s="12"/>
      <c r="FB213" s="12"/>
      <c r="FC213" s="12"/>
      <c r="FD213" s="12"/>
      <c r="FE213" s="12"/>
      <c r="FF213" s="12"/>
      <c r="FG213" s="12"/>
      <c r="FH213" s="12"/>
      <c r="FI213" s="12"/>
      <c r="FJ213" s="12"/>
      <c r="FK213" s="12"/>
      <c r="FL213" s="12"/>
      <c r="FM213" s="12"/>
      <c r="FN213" s="12"/>
      <c r="FO213" s="12"/>
      <c r="FP213" s="12"/>
      <c r="FQ213" s="12"/>
      <c r="FR213" s="12"/>
      <c r="FS213" s="12"/>
      <c r="FT213" s="12"/>
      <c r="FU213" s="12"/>
      <c r="FV213" s="12"/>
      <c r="FW213" s="12"/>
      <c r="FX213" s="12"/>
      <c r="FY213" s="12"/>
      <c r="FZ213" s="12"/>
      <c r="GA213" s="12"/>
      <c r="GB213" s="12"/>
      <c r="GC213" s="12"/>
      <c r="GD213" s="12"/>
      <c r="GE213" s="12"/>
      <c r="GF213" s="12"/>
      <c r="GG213" s="12"/>
      <c r="GH213" s="12"/>
      <c r="GI213" s="12"/>
      <c r="GJ213" s="12"/>
      <c r="GK213" s="12"/>
      <c r="GL213" s="12"/>
      <c r="GM213" s="12"/>
      <c r="GN213" s="12"/>
      <c r="GO213" s="12"/>
      <c r="GP213" s="12"/>
      <c r="GQ213" s="12"/>
      <c r="GR213" s="12"/>
      <c r="GS213" s="12"/>
      <c r="GT213" s="12"/>
      <c r="GU213" s="12"/>
      <c r="GV213" s="12"/>
      <c r="GW213" s="12"/>
      <c r="GX213" s="12"/>
      <c r="GY213" s="12"/>
      <c r="GZ213" s="12"/>
      <c r="HA213" s="12"/>
      <c r="HB213" s="12"/>
      <c r="HC213" s="12"/>
      <c r="HD213" s="12"/>
      <c r="HE213" s="12"/>
      <c r="HF213" s="12"/>
      <c r="HG213" s="12"/>
      <c r="HH213" s="12"/>
      <c r="HI213" s="12"/>
      <c r="HJ213" s="12"/>
      <c r="HK213" s="12"/>
      <c r="HL213" s="12"/>
      <c r="HM213" s="12"/>
      <c r="HN213" s="12"/>
      <c r="HO213" s="12"/>
      <c r="HP213" s="12"/>
      <c r="HQ213" s="12"/>
      <c r="HR213" s="12"/>
      <c r="HS213" s="12"/>
      <c r="HT213" s="12"/>
      <c r="HU213" s="12"/>
      <c r="HV213" s="12"/>
      <c r="HW213" s="12"/>
      <c r="HX213" s="12"/>
      <c r="HY213" s="12"/>
      <c r="HZ213" s="12"/>
      <c r="IA213" s="12"/>
      <c r="IB213" s="12"/>
      <c r="IC213" s="12"/>
      <c r="ID213" s="12"/>
      <c r="IE213" s="12"/>
      <c r="IF213" s="12"/>
      <c r="IG213" s="12"/>
      <c r="IH213" s="12"/>
      <c r="II213" s="12"/>
      <c r="IJ213" s="12"/>
      <c r="IK213" s="12"/>
      <c r="IL213" s="12"/>
      <c r="IM213" s="12"/>
      <c r="IN213" s="12"/>
      <c r="IO213" s="12"/>
      <c r="IP213" s="12"/>
      <c r="IQ213" s="12"/>
      <c r="IR213" s="12"/>
      <c r="IS213" s="12"/>
      <c r="IT213" s="12"/>
      <c r="IU213" s="12"/>
      <c r="IV213" s="12"/>
      <c r="IW213" s="12"/>
    </row>
    <row r="214" customFormat="false" ht="11.25" hidden="false" customHeight="false" outlineLevel="0" collapsed="false">
      <c r="A214" s="25" t="n">
        <f aca="false">DATE(YEAR(A213),MONTH(A213)+1,1)</f>
        <v>52232</v>
      </c>
      <c r="B214" s="21" t="n">
        <v>3.162</v>
      </c>
      <c r="C214" s="21" t="n">
        <v>3.262</v>
      </c>
      <c r="D214" s="25" t="n">
        <f aca="false">DATE(YEAR(D213),MONTH(D213)+1,1)</f>
        <v>52232</v>
      </c>
      <c r="E214" s="21" t="n">
        <v>20.477</v>
      </c>
      <c r="F214" s="21" t="n">
        <v>21.965</v>
      </c>
      <c r="G214" s="6"/>
      <c r="H214" s="22" t="n">
        <f aca="false">A214</f>
        <v>52232</v>
      </c>
      <c r="I214" s="23" t="n">
        <f aca="false">IF($J$1="bid",B214,C214)</f>
        <v>3.262</v>
      </c>
      <c r="J214" s="24" t="n">
        <f aca="false">D214</f>
        <v>52232</v>
      </c>
      <c r="K214" s="23" t="n">
        <f aca="false">IF($J$1="bid",E214,F214)</f>
        <v>21.965</v>
      </c>
      <c r="L214" s="11"/>
      <c r="M214" s="11"/>
      <c r="N214" s="11"/>
      <c r="O214" s="11"/>
      <c r="P214" s="11"/>
      <c r="Q214" s="11"/>
      <c r="R214" s="11"/>
      <c r="S214" s="11"/>
      <c r="T214" s="11"/>
      <c r="U214" s="11"/>
      <c r="V214" s="11"/>
      <c r="W214" s="11"/>
      <c r="X214" s="11"/>
      <c r="Y214" s="11"/>
      <c r="Z214" s="11"/>
      <c r="AA214" s="11"/>
      <c r="AB214" s="11"/>
      <c r="AC214" s="11"/>
      <c r="AD214" s="11"/>
      <c r="AE214" s="11"/>
      <c r="AF214" s="11"/>
      <c r="AG214" s="11"/>
      <c r="AH214" s="11"/>
      <c r="AI214" s="11"/>
      <c r="AJ214" s="11"/>
      <c r="AK214" s="11"/>
      <c r="AL214" s="11"/>
      <c r="AM214" s="11"/>
      <c r="AN214" s="11"/>
      <c r="AO214" s="11"/>
      <c r="AP214" s="11"/>
      <c r="AQ214" s="11"/>
      <c r="AR214" s="5"/>
      <c r="AS214" s="12"/>
      <c r="AT214" s="12"/>
      <c r="AU214" s="12"/>
      <c r="AV214" s="12"/>
      <c r="AW214" s="12"/>
      <c r="AX214" s="12"/>
      <c r="AY214" s="12"/>
      <c r="AZ214" s="12"/>
      <c r="BA214" s="12"/>
      <c r="BB214" s="12"/>
      <c r="BC214" s="12"/>
      <c r="BD214" s="12"/>
      <c r="BE214" s="12"/>
      <c r="BF214" s="12"/>
      <c r="BG214" s="12"/>
      <c r="BH214" s="12"/>
      <c r="BI214" s="12"/>
      <c r="BJ214" s="12"/>
      <c r="BK214" s="12"/>
      <c r="BL214" s="12"/>
      <c r="BM214" s="12"/>
      <c r="BN214" s="12"/>
      <c r="BO214" s="12"/>
      <c r="BP214" s="12"/>
      <c r="BQ214" s="12"/>
      <c r="BR214" s="12"/>
      <c r="BS214" s="12"/>
      <c r="BT214" s="12"/>
      <c r="BU214" s="12"/>
      <c r="BV214" s="12"/>
      <c r="BW214" s="12"/>
      <c r="BX214" s="12"/>
      <c r="BY214" s="12"/>
      <c r="BZ214" s="12"/>
      <c r="CA214" s="12"/>
      <c r="CB214" s="12"/>
      <c r="CC214" s="12"/>
      <c r="CD214" s="12"/>
      <c r="CE214" s="12"/>
      <c r="CF214" s="12"/>
      <c r="CG214" s="12"/>
      <c r="CH214" s="12"/>
      <c r="CI214" s="12"/>
      <c r="CJ214" s="12"/>
      <c r="CK214" s="12"/>
      <c r="CL214" s="12"/>
      <c r="CM214" s="12"/>
      <c r="CN214" s="12"/>
      <c r="CO214" s="12"/>
      <c r="CP214" s="12"/>
      <c r="CQ214" s="12"/>
      <c r="CR214" s="12"/>
      <c r="CS214" s="12"/>
      <c r="CT214" s="12"/>
      <c r="CU214" s="12"/>
      <c r="CV214" s="12"/>
      <c r="CW214" s="12"/>
      <c r="CX214" s="12"/>
      <c r="CY214" s="12"/>
      <c r="CZ214" s="12"/>
      <c r="DA214" s="12"/>
      <c r="DB214" s="12"/>
      <c r="DC214" s="12"/>
      <c r="DD214" s="12"/>
      <c r="DE214" s="12"/>
      <c r="DF214" s="12"/>
      <c r="DG214" s="12"/>
      <c r="DH214" s="12"/>
      <c r="DI214" s="12"/>
      <c r="DJ214" s="12"/>
      <c r="DK214" s="12"/>
      <c r="DL214" s="12"/>
      <c r="DM214" s="12"/>
      <c r="DN214" s="12"/>
      <c r="DO214" s="12"/>
      <c r="DP214" s="12"/>
      <c r="DQ214" s="12"/>
      <c r="DR214" s="12"/>
      <c r="DS214" s="12"/>
      <c r="DT214" s="12"/>
      <c r="DU214" s="12"/>
      <c r="DV214" s="12"/>
      <c r="DW214" s="12"/>
      <c r="DX214" s="12"/>
      <c r="DY214" s="12"/>
      <c r="DZ214" s="12"/>
      <c r="EA214" s="12"/>
      <c r="EB214" s="12"/>
      <c r="EC214" s="12"/>
      <c r="ED214" s="12"/>
      <c r="EE214" s="12"/>
      <c r="EF214" s="12"/>
      <c r="EG214" s="12"/>
      <c r="EH214" s="12"/>
      <c r="EI214" s="12"/>
      <c r="EJ214" s="12"/>
      <c r="EK214" s="12"/>
      <c r="EL214" s="12"/>
      <c r="EM214" s="12"/>
      <c r="EN214" s="12"/>
      <c r="EO214" s="12"/>
      <c r="EP214" s="12"/>
      <c r="EQ214" s="12"/>
      <c r="ER214" s="12"/>
      <c r="ES214" s="12"/>
      <c r="ET214" s="12"/>
      <c r="EU214" s="12"/>
      <c r="EV214" s="12"/>
      <c r="EW214" s="12"/>
      <c r="EX214" s="12"/>
      <c r="EY214" s="12"/>
      <c r="EZ214" s="12"/>
      <c r="FA214" s="12"/>
      <c r="FB214" s="12"/>
      <c r="FC214" s="12"/>
      <c r="FD214" s="12"/>
      <c r="FE214" s="12"/>
      <c r="FF214" s="12"/>
      <c r="FG214" s="12"/>
      <c r="FH214" s="12"/>
      <c r="FI214" s="12"/>
      <c r="FJ214" s="12"/>
      <c r="FK214" s="12"/>
      <c r="FL214" s="12"/>
      <c r="FM214" s="12"/>
      <c r="FN214" s="12"/>
      <c r="FO214" s="12"/>
      <c r="FP214" s="12"/>
      <c r="FQ214" s="12"/>
      <c r="FR214" s="12"/>
      <c r="FS214" s="12"/>
      <c r="FT214" s="12"/>
      <c r="FU214" s="12"/>
      <c r="FV214" s="12"/>
      <c r="FW214" s="12"/>
      <c r="FX214" s="12"/>
      <c r="FY214" s="12"/>
      <c r="FZ214" s="12"/>
      <c r="GA214" s="12"/>
      <c r="GB214" s="12"/>
      <c r="GC214" s="12"/>
      <c r="GD214" s="12"/>
      <c r="GE214" s="12"/>
      <c r="GF214" s="12"/>
      <c r="GG214" s="12"/>
      <c r="GH214" s="12"/>
      <c r="GI214" s="12"/>
      <c r="GJ214" s="12"/>
      <c r="GK214" s="12"/>
      <c r="GL214" s="12"/>
      <c r="GM214" s="12"/>
      <c r="GN214" s="12"/>
      <c r="GO214" s="12"/>
      <c r="GP214" s="12"/>
      <c r="GQ214" s="12"/>
      <c r="GR214" s="12"/>
      <c r="GS214" s="12"/>
      <c r="GT214" s="12"/>
      <c r="GU214" s="12"/>
      <c r="GV214" s="12"/>
      <c r="GW214" s="12"/>
      <c r="GX214" s="12"/>
      <c r="GY214" s="12"/>
      <c r="GZ214" s="12"/>
      <c r="HA214" s="12"/>
      <c r="HB214" s="12"/>
      <c r="HC214" s="12"/>
      <c r="HD214" s="12"/>
      <c r="HE214" s="12"/>
      <c r="HF214" s="12"/>
      <c r="HG214" s="12"/>
      <c r="HH214" s="12"/>
      <c r="HI214" s="12"/>
      <c r="HJ214" s="12"/>
      <c r="HK214" s="12"/>
      <c r="HL214" s="12"/>
      <c r="HM214" s="12"/>
      <c r="HN214" s="12"/>
      <c r="HO214" s="12"/>
      <c r="HP214" s="12"/>
      <c r="HQ214" s="12"/>
      <c r="HR214" s="12"/>
      <c r="HS214" s="12"/>
      <c r="HT214" s="12"/>
      <c r="HU214" s="12"/>
      <c r="HV214" s="12"/>
      <c r="HW214" s="12"/>
      <c r="HX214" s="12"/>
      <c r="HY214" s="12"/>
      <c r="HZ214" s="12"/>
      <c r="IA214" s="12"/>
      <c r="IB214" s="12"/>
      <c r="IC214" s="12"/>
      <c r="ID214" s="12"/>
      <c r="IE214" s="12"/>
      <c r="IF214" s="12"/>
      <c r="IG214" s="12"/>
      <c r="IH214" s="12"/>
      <c r="II214" s="12"/>
      <c r="IJ214" s="12"/>
      <c r="IK214" s="12"/>
      <c r="IL214" s="12"/>
      <c r="IM214" s="12"/>
      <c r="IN214" s="12"/>
      <c r="IO214" s="12"/>
      <c r="IP214" s="12"/>
      <c r="IQ214" s="12"/>
      <c r="IR214" s="12"/>
      <c r="IS214" s="12"/>
      <c r="IT214" s="12"/>
      <c r="IU214" s="12"/>
      <c r="IV214" s="12"/>
      <c r="IW214" s="12"/>
    </row>
    <row r="215" customFormat="false" ht="11.25" hidden="false" customHeight="false" outlineLevel="0" collapsed="false">
      <c r="A215" s="25" t="n">
        <f aca="false">DATE(YEAR(A214),MONTH(A214)+1,1)</f>
        <v>52263</v>
      </c>
      <c r="B215" s="21" t="n">
        <v>3.113</v>
      </c>
      <c r="C215" s="21" t="n">
        <v>3.213</v>
      </c>
      <c r="D215" s="25" t="n">
        <f aca="false">DATE(YEAR(D214),MONTH(D214)+1,1)</f>
        <v>52263</v>
      </c>
      <c r="E215" s="21" t="n">
        <v>20.492</v>
      </c>
      <c r="F215" s="21" t="n">
        <v>21.988</v>
      </c>
      <c r="G215" s="6"/>
      <c r="H215" s="22" t="n">
        <f aca="false">A215</f>
        <v>52263</v>
      </c>
      <c r="I215" s="23" t="n">
        <f aca="false">IF($J$1="bid",B215,C215)</f>
        <v>3.213</v>
      </c>
      <c r="J215" s="24" t="n">
        <f aca="false">D215</f>
        <v>52263</v>
      </c>
      <c r="K215" s="23" t="n">
        <f aca="false">IF($J$1="bid",E215,F215)</f>
        <v>21.988</v>
      </c>
      <c r="L215" s="11"/>
      <c r="M215" s="11"/>
      <c r="N215" s="11"/>
      <c r="O215" s="11"/>
      <c r="P215" s="11"/>
      <c r="Q215" s="11"/>
      <c r="R215" s="11"/>
      <c r="S215" s="11"/>
      <c r="T215" s="11"/>
      <c r="U215" s="11"/>
      <c r="V215" s="11"/>
      <c r="W215" s="11"/>
      <c r="X215" s="11"/>
      <c r="Y215" s="11"/>
      <c r="Z215" s="11"/>
      <c r="AA215" s="11"/>
      <c r="AB215" s="11"/>
      <c r="AC215" s="11"/>
      <c r="AD215" s="11"/>
      <c r="AE215" s="11"/>
      <c r="AF215" s="11"/>
      <c r="AG215" s="11"/>
      <c r="AH215" s="11"/>
      <c r="AI215" s="11"/>
      <c r="AJ215" s="11"/>
      <c r="AK215" s="11"/>
      <c r="AL215" s="11"/>
      <c r="AM215" s="11"/>
      <c r="AN215" s="11"/>
      <c r="AO215" s="11"/>
      <c r="AP215" s="11"/>
      <c r="AQ215" s="11"/>
      <c r="AR215" s="5"/>
      <c r="AS215" s="12"/>
      <c r="AT215" s="12"/>
      <c r="AU215" s="12"/>
      <c r="AV215" s="12"/>
      <c r="AW215" s="12"/>
      <c r="AX215" s="12"/>
      <c r="AY215" s="12"/>
      <c r="AZ215" s="12"/>
      <c r="BA215" s="12"/>
      <c r="BB215" s="12"/>
      <c r="BC215" s="12"/>
      <c r="BD215" s="12"/>
      <c r="BE215" s="12"/>
      <c r="BF215" s="12"/>
      <c r="BG215" s="12"/>
      <c r="BH215" s="12"/>
      <c r="BI215" s="12"/>
      <c r="BJ215" s="12"/>
      <c r="BK215" s="12"/>
      <c r="BL215" s="12"/>
      <c r="BM215" s="12"/>
      <c r="BN215" s="12"/>
      <c r="BO215" s="12"/>
      <c r="BP215" s="12"/>
      <c r="BQ215" s="12"/>
      <c r="BR215" s="12"/>
      <c r="BS215" s="12"/>
      <c r="BT215" s="12"/>
      <c r="BU215" s="12"/>
      <c r="BV215" s="12"/>
      <c r="BW215" s="12"/>
      <c r="BX215" s="12"/>
      <c r="BY215" s="12"/>
      <c r="BZ215" s="12"/>
      <c r="CA215" s="12"/>
      <c r="CB215" s="12"/>
      <c r="CC215" s="12"/>
      <c r="CD215" s="12"/>
      <c r="CE215" s="12"/>
      <c r="CF215" s="12"/>
      <c r="CG215" s="12"/>
      <c r="CH215" s="12"/>
      <c r="CI215" s="12"/>
      <c r="CJ215" s="12"/>
      <c r="CK215" s="12"/>
      <c r="CL215" s="12"/>
      <c r="CM215" s="12"/>
      <c r="CN215" s="12"/>
      <c r="CO215" s="12"/>
      <c r="CP215" s="12"/>
      <c r="CQ215" s="12"/>
      <c r="CR215" s="12"/>
      <c r="CS215" s="12"/>
      <c r="CT215" s="12"/>
      <c r="CU215" s="12"/>
      <c r="CV215" s="12"/>
      <c r="CW215" s="12"/>
      <c r="CX215" s="12"/>
      <c r="CY215" s="12"/>
      <c r="CZ215" s="12"/>
      <c r="DA215" s="12"/>
      <c r="DB215" s="12"/>
      <c r="DC215" s="12"/>
      <c r="DD215" s="12"/>
      <c r="DE215" s="12"/>
      <c r="DF215" s="12"/>
      <c r="DG215" s="12"/>
      <c r="DH215" s="12"/>
      <c r="DI215" s="12"/>
      <c r="DJ215" s="12"/>
      <c r="DK215" s="12"/>
      <c r="DL215" s="12"/>
      <c r="DM215" s="12"/>
      <c r="DN215" s="12"/>
      <c r="DO215" s="12"/>
      <c r="DP215" s="12"/>
      <c r="DQ215" s="12"/>
      <c r="DR215" s="12"/>
      <c r="DS215" s="12"/>
      <c r="DT215" s="12"/>
      <c r="DU215" s="12"/>
      <c r="DV215" s="12"/>
      <c r="DW215" s="12"/>
      <c r="DX215" s="12"/>
      <c r="DY215" s="12"/>
      <c r="DZ215" s="12"/>
      <c r="EA215" s="12"/>
      <c r="EB215" s="12"/>
      <c r="EC215" s="12"/>
      <c r="ED215" s="12"/>
      <c r="EE215" s="12"/>
      <c r="EF215" s="12"/>
      <c r="EG215" s="12"/>
      <c r="EH215" s="12"/>
      <c r="EI215" s="12"/>
      <c r="EJ215" s="12"/>
      <c r="EK215" s="12"/>
      <c r="EL215" s="12"/>
      <c r="EM215" s="12"/>
      <c r="EN215" s="12"/>
      <c r="EO215" s="12"/>
      <c r="EP215" s="12"/>
      <c r="EQ215" s="12"/>
      <c r="ER215" s="12"/>
      <c r="ES215" s="12"/>
      <c r="ET215" s="12"/>
      <c r="EU215" s="12"/>
      <c r="EV215" s="12"/>
      <c r="EW215" s="12"/>
      <c r="EX215" s="12"/>
      <c r="EY215" s="12"/>
      <c r="EZ215" s="12"/>
      <c r="FA215" s="12"/>
      <c r="FB215" s="12"/>
      <c r="FC215" s="12"/>
      <c r="FD215" s="12"/>
      <c r="FE215" s="12"/>
      <c r="FF215" s="12"/>
      <c r="FG215" s="12"/>
      <c r="FH215" s="12"/>
      <c r="FI215" s="12"/>
      <c r="FJ215" s="12"/>
      <c r="FK215" s="12"/>
      <c r="FL215" s="12"/>
      <c r="FM215" s="12"/>
      <c r="FN215" s="12"/>
      <c r="FO215" s="12"/>
      <c r="FP215" s="12"/>
      <c r="FQ215" s="12"/>
      <c r="FR215" s="12"/>
      <c r="FS215" s="12"/>
      <c r="FT215" s="12"/>
      <c r="FU215" s="12"/>
      <c r="FV215" s="12"/>
      <c r="FW215" s="12"/>
      <c r="FX215" s="12"/>
      <c r="FY215" s="12"/>
      <c r="FZ215" s="12"/>
      <c r="GA215" s="12"/>
      <c r="GB215" s="12"/>
      <c r="GC215" s="12"/>
      <c r="GD215" s="12"/>
      <c r="GE215" s="12"/>
      <c r="GF215" s="12"/>
      <c r="GG215" s="12"/>
      <c r="GH215" s="12"/>
      <c r="GI215" s="12"/>
      <c r="GJ215" s="12"/>
      <c r="GK215" s="12"/>
      <c r="GL215" s="12"/>
      <c r="GM215" s="12"/>
      <c r="GN215" s="12"/>
      <c r="GO215" s="12"/>
      <c r="GP215" s="12"/>
      <c r="GQ215" s="12"/>
      <c r="GR215" s="12"/>
      <c r="GS215" s="12"/>
      <c r="GT215" s="12"/>
      <c r="GU215" s="12"/>
      <c r="GV215" s="12"/>
      <c r="GW215" s="12"/>
      <c r="GX215" s="12"/>
      <c r="GY215" s="12"/>
      <c r="GZ215" s="12"/>
      <c r="HA215" s="12"/>
      <c r="HB215" s="12"/>
      <c r="HC215" s="12"/>
      <c r="HD215" s="12"/>
      <c r="HE215" s="12"/>
      <c r="HF215" s="12"/>
      <c r="HG215" s="12"/>
      <c r="HH215" s="12"/>
      <c r="HI215" s="12"/>
      <c r="HJ215" s="12"/>
      <c r="HK215" s="12"/>
      <c r="HL215" s="12"/>
      <c r="HM215" s="12"/>
      <c r="HN215" s="12"/>
      <c r="HO215" s="12"/>
      <c r="HP215" s="12"/>
      <c r="HQ215" s="12"/>
      <c r="HR215" s="12"/>
      <c r="HS215" s="12"/>
      <c r="HT215" s="12"/>
      <c r="HU215" s="12"/>
      <c r="HV215" s="12"/>
      <c r="HW215" s="12"/>
      <c r="HX215" s="12"/>
      <c r="HY215" s="12"/>
      <c r="HZ215" s="12"/>
      <c r="IA215" s="12"/>
      <c r="IB215" s="12"/>
      <c r="IC215" s="12"/>
      <c r="ID215" s="12"/>
      <c r="IE215" s="12"/>
      <c r="IF215" s="12"/>
      <c r="IG215" s="12"/>
      <c r="IH215" s="12"/>
      <c r="II215" s="12"/>
      <c r="IJ215" s="12"/>
      <c r="IK215" s="12"/>
      <c r="IL215" s="12"/>
      <c r="IM215" s="12"/>
      <c r="IN215" s="12"/>
      <c r="IO215" s="12"/>
      <c r="IP215" s="12"/>
      <c r="IQ215" s="12"/>
      <c r="IR215" s="12"/>
      <c r="IS215" s="12"/>
      <c r="IT215" s="12"/>
      <c r="IU215" s="12"/>
      <c r="IV215" s="12"/>
      <c r="IW215" s="12"/>
    </row>
    <row r="216" customFormat="false" ht="11.25" hidden="false" customHeight="false" outlineLevel="0" collapsed="false">
      <c r="A216" s="25" t="n">
        <f aca="false">DATE(YEAR(A215),MONTH(A215)+1,1)</f>
        <v>52291</v>
      </c>
      <c r="B216" s="21" t="n">
        <v>3.1</v>
      </c>
      <c r="C216" s="21" t="n">
        <v>3.2</v>
      </c>
      <c r="D216" s="25" t="n">
        <f aca="false">DATE(YEAR(D215),MONTH(D215)+1,1)</f>
        <v>52291</v>
      </c>
      <c r="E216" s="21" t="n">
        <v>20.509</v>
      </c>
      <c r="F216" s="21" t="n">
        <v>22.014</v>
      </c>
      <c r="G216" s="6"/>
      <c r="H216" s="22" t="n">
        <f aca="false">A216</f>
        <v>52291</v>
      </c>
      <c r="I216" s="23" t="n">
        <f aca="false">IF($J$1="bid",B216,C216)</f>
        <v>3.2</v>
      </c>
      <c r="J216" s="24" t="n">
        <f aca="false">D216</f>
        <v>52291</v>
      </c>
      <c r="K216" s="23" t="n">
        <f aca="false">IF($J$1="bid",E216,F216)</f>
        <v>22.014</v>
      </c>
      <c r="L216" s="11"/>
      <c r="M216" s="11"/>
      <c r="N216" s="11"/>
      <c r="O216" s="11"/>
      <c r="P216" s="11"/>
      <c r="Q216" s="11"/>
      <c r="R216" s="11"/>
      <c r="S216" s="11"/>
      <c r="T216" s="11"/>
      <c r="U216" s="11"/>
      <c r="V216" s="11"/>
      <c r="W216" s="11"/>
      <c r="X216" s="11"/>
      <c r="Y216" s="11"/>
      <c r="Z216" s="11"/>
      <c r="AA216" s="11"/>
      <c r="AB216" s="11"/>
      <c r="AC216" s="11"/>
      <c r="AD216" s="11"/>
      <c r="AE216" s="11"/>
      <c r="AF216" s="11"/>
      <c r="AG216" s="11"/>
      <c r="AH216" s="11"/>
      <c r="AI216" s="11"/>
      <c r="AJ216" s="11"/>
      <c r="AK216" s="11"/>
      <c r="AL216" s="11"/>
      <c r="AM216" s="11"/>
      <c r="AN216" s="11"/>
      <c r="AO216" s="11"/>
      <c r="AP216" s="11"/>
      <c r="AQ216" s="11"/>
      <c r="AR216" s="5"/>
      <c r="AS216" s="12"/>
      <c r="AT216" s="12"/>
      <c r="AU216" s="12"/>
      <c r="AV216" s="12"/>
      <c r="AW216" s="12"/>
      <c r="AX216" s="12"/>
      <c r="AY216" s="12"/>
      <c r="AZ216" s="12"/>
      <c r="BA216" s="12"/>
      <c r="BB216" s="12"/>
      <c r="BC216" s="12"/>
      <c r="BD216" s="12"/>
      <c r="BE216" s="12"/>
      <c r="BF216" s="12"/>
      <c r="BG216" s="12"/>
      <c r="BH216" s="12"/>
      <c r="BI216" s="12"/>
      <c r="BJ216" s="12"/>
      <c r="BK216" s="12"/>
      <c r="BL216" s="12"/>
      <c r="BM216" s="12"/>
      <c r="BN216" s="12"/>
      <c r="BO216" s="12"/>
      <c r="BP216" s="12"/>
      <c r="BQ216" s="12"/>
      <c r="BR216" s="12"/>
      <c r="BS216" s="12"/>
      <c r="BT216" s="12"/>
      <c r="BU216" s="12"/>
      <c r="BV216" s="12"/>
      <c r="BW216" s="12"/>
      <c r="BX216" s="12"/>
      <c r="BY216" s="12"/>
      <c r="BZ216" s="12"/>
      <c r="CA216" s="12"/>
      <c r="CB216" s="12"/>
      <c r="CC216" s="12"/>
      <c r="CD216" s="12"/>
      <c r="CE216" s="12"/>
      <c r="CF216" s="12"/>
      <c r="CG216" s="12"/>
      <c r="CH216" s="12"/>
      <c r="CI216" s="12"/>
      <c r="CJ216" s="12"/>
      <c r="CK216" s="12"/>
      <c r="CL216" s="12"/>
      <c r="CM216" s="12"/>
      <c r="CN216" s="12"/>
      <c r="CO216" s="12"/>
      <c r="CP216" s="12"/>
      <c r="CQ216" s="12"/>
      <c r="CR216" s="12"/>
      <c r="CS216" s="12"/>
      <c r="CT216" s="12"/>
      <c r="CU216" s="12"/>
      <c r="CV216" s="12"/>
      <c r="CW216" s="12"/>
      <c r="CX216" s="12"/>
      <c r="CY216" s="12"/>
      <c r="CZ216" s="12"/>
      <c r="DA216" s="12"/>
      <c r="DB216" s="12"/>
      <c r="DC216" s="12"/>
      <c r="DD216" s="12"/>
      <c r="DE216" s="12"/>
      <c r="DF216" s="12"/>
      <c r="DG216" s="12"/>
      <c r="DH216" s="12"/>
      <c r="DI216" s="12"/>
      <c r="DJ216" s="12"/>
      <c r="DK216" s="12"/>
      <c r="DL216" s="12"/>
      <c r="DM216" s="12"/>
      <c r="DN216" s="12"/>
      <c r="DO216" s="12"/>
      <c r="DP216" s="12"/>
      <c r="DQ216" s="12"/>
      <c r="DR216" s="12"/>
      <c r="DS216" s="12"/>
      <c r="DT216" s="12"/>
      <c r="DU216" s="12"/>
      <c r="DV216" s="12"/>
      <c r="DW216" s="12"/>
      <c r="DX216" s="12"/>
      <c r="DY216" s="12"/>
      <c r="DZ216" s="12"/>
      <c r="EA216" s="12"/>
      <c r="EB216" s="12"/>
      <c r="EC216" s="12"/>
      <c r="ED216" s="12"/>
      <c r="EE216" s="12"/>
      <c r="EF216" s="12"/>
      <c r="EG216" s="12"/>
      <c r="EH216" s="12"/>
      <c r="EI216" s="12"/>
      <c r="EJ216" s="12"/>
      <c r="EK216" s="12"/>
      <c r="EL216" s="12"/>
      <c r="EM216" s="12"/>
      <c r="EN216" s="12"/>
      <c r="EO216" s="12"/>
      <c r="EP216" s="12"/>
      <c r="EQ216" s="12"/>
      <c r="ER216" s="12"/>
      <c r="ES216" s="12"/>
      <c r="ET216" s="12"/>
      <c r="EU216" s="12"/>
      <c r="EV216" s="12"/>
      <c r="EW216" s="12"/>
      <c r="EX216" s="12"/>
      <c r="EY216" s="12"/>
      <c r="EZ216" s="12"/>
      <c r="FA216" s="12"/>
      <c r="FB216" s="12"/>
      <c r="FC216" s="12"/>
      <c r="FD216" s="12"/>
      <c r="FE216" s="12"/>
      <c r="FF216" s="12"/>
      <c r="FG216" s="12"/>
      <c r="FH216" s="12"/>
      <c r="FI216" s="12"/>
      <c r="FJ216" s="12"/>
      <c r="FK216" s="12"/>
      <c r="FL216" s="12"/>
      <c r="FM216" s="12"/>
      <c r="FN216" s="12"/>
      <c r="FO216" s="12"/>
      <c r="FP216" s="12"/>
      <c r="FQ216" s="12"/>
      <c r="FR216" s="12"/>
      <c r="FS216" s="12"/>
      <c r="FT216" s="12"/>
      <c r="FU216" s="12"/>
      <c r="FV216" s="12"/>
      <c r="FW216" s="12"/>
      <c r="FX216" s="12"/>
      <c r="FY216" s="12"/>
      <c r="FZ216" s="12"/>
      <c r="GA216" s="12"/>
      <c r="GB216" s="12"/>
      <c r="GC216" s="12"/>
      <c r="GD216" s="12"/>
      <c r="GE216" s="12"/>
      <c r="GF216" s="12"/>
      <c r="GG216" s="12"/>
      <c r="GH216" s="12"/>
      <c r="GI216" s="12"/>
      <c r="GJ216" s="12"/>
      <c r="GK216" s="12"/>
      <c r="GL216" s="12"/>
      <c r="GM216" s="12"/>
      <c r="GN216" s="12"/>
      <c r="GO216" s="12"/>
      <c r="GP216" s="12"/>
      <c r="GQ216" s="12"/>
      <c r="GR216" s="12"/>
      <c r="GS216" s="12"/>
      <c r="GT216" s="12"/>
      <c r="GU216" s="12"/>
      <c r="GV216" s="12"/>
      <c r="GW216" s="12"/>
      <c r="GX216" s="12"/>
      <c r="GY216" s="12"/>
      <c r="GZ216" s="12"/>
      <c r="HA216" s="12"/>
      <c r="HB216" s="12"/>
      <c r="HC216" s="12"/>
      <c r="HD216" s="12"/>
      <c r="HE216" s="12"/>
      <c r="HF216" s="12"/>
      <c r="HG216" s="12"/>
      <c r="HH216" s="12"/>
      <c r="HI216" s="12"/>
      <c r="HJ216" s="12"/>
      <c r="HK216" s="12"/>
      <c r="HL216" s="12"/>
      <c r="HM216" s="12"/>
      <c r="HN216" s="12"/>
      <c r="HO216" s="12"/>
      <c r="HP216" s="12"/>
      <c r="HQ216" s="12"/>
      <c r="HR216" s="12"/>
      <c r="HS216" s="12"/>
      <c r="HT216" s="12"/>
      <c r="HU216" s="12"/>
      <c r="HV216" s="12"/>
      <c r="HW216" s="12"/>
      <c r="HX216" s="12"/>
      <c r="HY216" s="12"/>
      <c r="HZ216" s="12"/>
      <c r="IA216" s="12"/>
      <c r="IB216" s="12"/>
      <c r="IC216" s="12"/>
      <c r="ID216" s="12"/>
      <c r="IE216" s="12"/>
      <c r="IF216" s="12"/>
      <c r="IG216" s="12"/>
      <c r="IH216" s="12"/>
      <c r="II216" s="12"/>
      <c r="IJ216" s="12"/>
      <c r="IK216" s="12"/>
      <c r="IL216" s="12"/>
      <c r="IM216" s="12"/>
      <c r="IN216" s="12"/>
      <c r="IO216" s="12"/>
      <c r="IP216" s="12"/>
      <c r="IQ216" s="12"/>
      <c r="IR216" s="12"/>
      <c r="IS216" s="12"/>
      <c r="IT216" s="12"/>
      <c r="IU216" s="12"/>
      <c r="IV216" s="12"/>
      <c r="IW216" s="12"/>
    </row>
    <row r="217" customFormat="false" ht="11.25" hidden="false" customHeight="false" outlineLevel="0" collapsed="false">
      <c r="A217" s="25" t="n">
        <f aca="false">DATE(YEAR(A216),MONTH(A216)+1,1)</f>
        <v>52322</v>
      </c>
      <c r="B217" s="21" t="n">
        <v>3.108</v>
      </c>
      <c r="C217" s="21" t="n">
        <v>3.208</v>
      </c>
      <c r="D217" s="25" t="n">
        <f aca="false">DATE(YEAR(D216),MONTH(D216)+1,1)</f>
        <v>52322</v>
      </c>
      <c r="E217" s="21" t="n">
        <v>20.526</v>
      </c>
      <c r="F217" s="21" t="n">
        <v>22.039</v>
      </c>
      <c r="G217" s="6"/>
      <c r="H217" s="22" t="n">
        <f aca="false">A217</f>
        <v>52322</v>
      </c>
      <c r="I217" s="23" t="n">
        <f aca="false">IF($J$1="bid",B217,C217)</f>
        <v>3.208</v>
      </c>
      <c r="J217" s="24" t="n">
        <f aca="false">D217</f>
        <v>52322</v>
      </c>
      <c r="K217" s="23" t="n">
        <f aca="false">IF($J$1="bid",E217,F217)</f>
        <v>22.039</v>
      </c>
      <c r="L217" s="11"/>
      <c r="M217" s="11"/>
      <c r="N217" s="11"/>
      <c r="O217" s="11"/>
      <c r="P217" s="11"/>
      <c r="Q217" s="11"/>
      <c r="R217" s="11"/>
      <c r="S217" s="11"/>
      <c r="T217" s="11"/>
      <c r="U217" s="11"/>
      <c r="V217" s="11"/>
      <c r="W217" s="11"/>
      <c r="X217" s="11"/>
      <c r="Y217" s="11"/>
      <c r="Z217" s="11"/>
      <c r="AA217" s="11"/>
      <c r="AB217" s="11"/>
      <c r="AC217" s="11"/>
      <c r="AD217" s="11"/>
      <c r="AE217" s="11"/>
      <c r="AF217" s="11"/>
      <c r="AG217" s="11"/>
      <c r="AH217" s="11"/>
      <c r="AI217" s="11"/>
      <c r="AJ217" s="11"/>
      <c r="AK217" s="11"/>
      <c r="AL217" s="11"/>
      <c r="AM217" s="11"/>
      <c r="AN217" s="11"/>
      <c r="AO217" s="11"/>
      <c r="AP217" s="11"/>
      <c r="AQ217" s="11"/>
      <c r="AR217" s="5"/>
      <c r="AS217" s="12"/>
      <c r="AT217" s="12"/>
      <c r="AU217" s="12"/>
      <c r="AV217" s="12"/>
      <c r="AW217" s="12"/>
      <c r="AX217" s="12"/>
      <c r="AY217" s="12"/>
      <c r="AZ217" s="12"/>
      <c r="BA217" s="12"/>
      <c r="BB217" s="12"/>
      <c r="BC217" s="12"/>
      <c r="BD217" s="12"/>
      <c r="BE217" s="12"/>
      <c r="BF217" s="12"/>
      <c r="BG217" s="12"/>
      <c r="BH217" s="12"/>
      <c r="BI217" s="12"/>
      <c r="BJ217" s="12"/>
      <c r="BK217" s="12"/>
      <c r="BL217" s="12"/>
      <c r="BM217" s="12"/>
      <c r="BN217" s="12"/>
      <c r="BO217" s="12"/>
      <c r="BP217" s="12"/>
      <c r="BQ217" s="12"/>
      <c r="BR217" s="12"/>
      <c r="BS217" s="12"/>
      <c r="BT217" s="12"/>
      <c r="BU217" s="12"/>
      <c r="BV217" s="12"/>
      <c r="BW217" s="12"/>
      <c r="BX217" s="12"/>
      <c r="BY217" s="12"/>
      <c r="BZ217" s="12"/>
      <c r="CA217" s="12"/>
      <c r="CB217" s="12"/>
      <c r="CC217" s="12"/>
      <c r="CD217" s="12"/>
      <c r="CE217" s="12"/>
      <c r="CF217" s="12"/>
      <c r="CG217" s="12"/>
      <c r="CH217" s="12"/>
      <c r="CI217" s="12"/>
      <c r="CJ217" s="12"/>
      <c r="CK217" s="12"/>
      <c r="CL217" s="12"/>
      <c r="CM217" s="12"/>
      <c r="CN217" s="12"/>
      <c r="CO217" s="12"/>
      <c r="CP217" s="12"/>
      <c r="CQ217" s="12"/>
      <c r="CR217" s="12"/>
      <c r="CS217" s="12"/>
      <c r="CT217" s="12"/>
      <c r="CU217" s="12"/>
      <c r="CV217" s="12"/>
      <c r="CW217" s="12"/>
      <c r="CX217" s="12"/>
      <c r="CY217" s="12"/>
      <c r="CZ217" s="12"/>
      <c r="DA217" s="12"/>
      <c r="DB217" s="12"/>
      <c r="DC217" s="12"/>
      <c r="DD217" s="12"/>
      <c r="DE217" s="12"/>
      <c r="DF217" s="12"/>
      <c r="DG217" s="12"/>
      <c r="DH217" s="12"/>
      <c r="DI217" s="12"/>
      <c r="DJ217" s="12"/>
      <c r="DK217" s="12"/>
      <c r="DL217" s="12"/>
      <c r="DM217" s="12"/>
      <c r="DN217" s="12"/>
      <c r="DO217" s="12"/>
      <c r="DP217" s="12"/>
      <c r="DQ217" s="12"/>
      <c r="DR217" s="12"/>
      <c r="DS217" s="12"/>
      <c r="DT217" s="12"/>
      <c r="DU217" s="12"/>
      <c r="DV217" s="12"/>
      <c r="DW217" s="12"/>
      <c r="DX217" s="12"/>
      <c r="DY217" s="12"/>
      <c r="DZ217" s="12"/>
      <c r="EA217" s="12"/>
      <c r="EB217" s="12"/>
      <c r="EC217" s="12"/>
      <c r="ED217" s="12"/>
      <c r="EE217" s="12"/>
      <c r="EF217" s="12"/>
      <c r="EG217" s="12"/>
      <c r="EH217" s="12"/>
      <c r="EI217" s="12"/>
      <c r="EJ217" s="12"/>
      <c r="EK217" s="12"/>
      <c r="EL217" s="12"/>
      <c r="EM217" s="12"/>
      <c r="EN217" s="12"/>
      <c r="EO217" s="12"/>
      <c r="EP217" s="12"/>
      <c r="EQ217" s="12"/>
      <c r="ER217" s="12"/>
      <c r="ES217" s="12"/>
      <c r="ET217" s="12"/>
      <c r="EU217" s="12"/>
      <c r="EV217" s="12"/>
      <c r="EW217" s="12"/>
      <c r="EX217" s="12"/>
      <c r="EY217" s="12"/>
      <c r="EZ217" s="12"/>
      <c r="FA217" s="12"/>
      <c r="FB217" s="12"/>
      <c r="FC217" s="12"/>
      <c r="FD217" s="12"/>
      <c r="FE217" s="12"/>
      <c r="FF217" s="12"/>
      <c r="FG217" s="12"/>
      <c r="FH217" s="12"/>
      <c r="FI217" s="12"/>
      <c r="FJ217" s="12"/>
      <c r="FK217" s="12"/>
      <c r="FL217" s="12"/>
      <c r="FM217" s="12"/>
      <c r="FN217" s="12"/>
      <c r="FO217" s="12"/>
      <c r="FP217" s="12"/>
      <c r="FQ217" s="12"/>
      <c r="FR217" s="12"/>
      <c r="FS217" s="12"/>
      <c r="FT217" s="12"/>
      <c r="FU217" s="12"/>
      <c r="FV217" s="12"/>
      <c r="FW217" s="12"/>
      <c r="FX217" s="12"/>
      <c r="FY217" s="12"/>
      <c r="FZ217" s="12"/>
      <c r="GA217" s="12"/>
      <c r="GB217" s="12"/>
      <c r="GC217" s="12"/>
      <c r="GD217" s="12"/>
      <c r="GE217" s="12"/>
      <c r="GF217" s="12"/>
      <c r="GG217" s="12"/>
      <c r="GH217" s="12"/>
      <c r="GI217" s="12"/>
      <c r="GJ217" s="12"/>
      <c r="GK217" s="12"/>
      <c r="GL217" s="12"/>
      <c r="GM217" s="12"/>
      <c r="GN217" s="12"/>
      <c r="GO217" s="12"/>
      <c r="GP217" s="12"/>
      <c r="GQ217" s="12"/>
      <c r="GR217" s="12"/>
      <c r="GS217" s="12"/>
      <c r="GT217" s="12"/>
      <c r="GU217" s="12"/>
      <c r="GV217" s="12"/>
      <c r="GW217" s="12"/>
      <c r="GX217" s="12"/>
      <c r="GY217" s="12"/>
      <c r="GZ217" s="12"/>
      <c r="HA217" s="12"/>
      <c r="HB217" s="12"/>
      <c r="HC217" s="12"/>
      <c r="HD217" s="12"/>
      <c r="HE217" s="12"/>
      <c r="HF217" s="12"/>
      <c r="HG217" s="12"/>
      <c r="HH217" s="12"/>
      <c r="HI217" s="12"/>
      <c r="HJ217" s="12"/>
      <c r="HK217" s="12"/>
      <c r="HL217" s="12"/>
      <c r="HM217" s="12"/>
      <c r="HN217" s="12"/>
      <c r="HO217" s="12"/>
      <c r="HP217" s="12"/>
      <c r="HQ217" s="12"/>
      <c r="HR217" s="12"/>
      <c r="HS217" s="12"/>
      <c r="HT217" s="12"/>
      <c r="HU217" s="12"/>
      <c r="HV217" s="12"/>
      <c r="HW217" s="12"/>
      <c r="HX217" s="12"/>
      <c r="HY217" s="12"/>
      <c r="HZ217" s="12"/>
      <c r="IA217" s="12"/>
      <c r="IB217" s="12"/>
      <c r="IC217" s="12"/>
      <c r="ID217" s="12"/>
      <c r="IE217" s="12"/>
      <c r="IF217" s="12"/>
      <c r="IG217" s="12"/>
      <c r="IH217" s="12"/>
      <c r="II217" s="12"/>
      <c r="IJ217" s="12"/>
      <c r="IK217" s="12"/>
      <c r="IL217" s="12"/>
      <c r="IM217" s="12"/>
      <c r="IN217" s="12"/>
      <c r="IO217" s="12"/>
      <c r="IP217" s="12"/>
      <c r="IQ217" s="12"/>
      <c r="IR217" s="12"/>
      <c r="IS217" s="12"/>
      <c r="IT217" s="12"/>
      <c r="IU217" s="12"/>
      <c r="IV217" s="12"/>
      <c r="IW217" s="12"/>
    </row>
    <row r="218" customFormat="false" ht="11.25" hidden="false" customHeight="false" outlineLevel="0" collapsed="false">
      <c r="A218" s="25" t="n">
        <f aca="false">DATE(YEAR(A217),MONTH(A217)+1,1)</f>
        <v>52352</v>
      </c>
      <c r="B218" s="21" t="n">
        <v>3.1</v>
      </c>
      <c r="C218" s="21" t="n">
        <v>3.2</v>
      </c>
      <c r="D218" s="25" t="n">
        <f aca="false">DATE(YEAR(D217),MONTH(D217)+1,1)</f>
        <v>52352</v>
      </c>
      <c r="E218" s="21" t="n">
        <v>20.542</v>
      </c>
      <c r="F218" s="21" t="n">
        <v>22.063</v>
      </c>
      <c r="G218" s="6"/>
      <c r="H218" s="22" t="n">
        <f aca="false">A218</f>
        <v>52352</v>
      </c>
      <c r="I218" s="23" t="n">
        <f aca="false">IF($J$1="bid",B218,C218)</f>
        <v>3.2</v>
      </c>
      <c r="J218" s="24" t="n">
        <f aca="false">D218</f>
        <v>52352</v>
      </c>
      <c r="K218" s="23" t="n">
        <f aca="false">IF($J$1="bid",E218,F218)</f>
        <v>22.063</v>
      </c>
      <c r="L218" s="11"/>
      <c r="M218" s="11"/>
      <c r="N218" s="11"/>
      <c r="O218" s="11"/>
      <c r="P218" s="11"/>
      <c r="Q218" s="11"/>
      <c r="R218" s="11"/>
      <c r="S218" s="11"/>
      <c r="T218" s="11"/>
      <c r="U218" s="11"/>
      <c r="V218" s="11"/>
      <c r="W218" s="11"/>
      <c r="X218" s="11"/>
      <c r="Y218" s="11"/>
      <c r="Z218" s="11"/>
      <c r="AA218" s="11"/>
      <c r="AB218" s="11"/>
      <c r="AC218" s="11"/>
      <c r="AD218" s="11"/>
      <c r="AE218" s="11"/>
      <c r="AF218" s="11"/>
      <c r="AG218" s="11"/>
      <c r="AH218" s="11"/>
      <c r="AI218" s="11"/>
      <c r="AJ218" s="11"/>
      <c r="AK218" s="11"/>
      <c r="AL218" s="11"/>
      <c r="AM218" s="11"/>
      <c r="AN218" s="11"/>
      <c r="AO218" s="11"/>
      <c r="AP218" s="11"/>
      <c r="AQ218" s="11"/>
      <c r="AR218" s="5"/>
      <c r="AS218" s="12"/>
      <c r="AT218" s="12"/>
      <c r="AU218" s="12"/>
      <c r="AV218" s="12"/>
      <c r="AW218" s="12"/>
      <c r="AX218" s="12"/>
      <c r="AY218" s="12"/>
      <c r="AZ218" s="12"/>
      <c r="BA218" s="12"/>
      <c r="BB218" s="12"/>
      <c r="BC218" s="12"/>
      <c r="BD218" s="12"/>
      <c r="BE218" s="12"/>
      <c r="BF218" s="12"/>
      <c r="BG218" s="12"/>
      <c r="BH218" s="12"/>
      <c r="BI218" s="12"/>
      <c r="BJ218" s="12"/>
      <c r="BK218" s="12"/>
      <c r="BL218" s="12"/>
      <c r="BM218" s="12"/>
      <c r="BN218" s="12"/>
      <c r="BO218" s="12"/>
      <c r="BP218" s="12"/>
      <c r="BQ218" s="12"/>
      <c r="BR218" s="12"/>
      <c r="BS218" s="12"/>
      <c r="BT218" s="12"/>
      <c r="BU218" s="12"/>
      <c r="BV218" s="12"/>
      <c r="BW218" s="12"/>
      <c r="BX218" s="12"/>
      <c r="BY218" s="12"/>
      <c r="BZ218" s="12"/>
      <c r="CA218" s="12"/>
      <c r="CB218" s="12"/>
      <c r="CC218" s="12"/>
      <c r="CD218" s="12"/>
      <c r="CE218" s="12"/>
      <c r="CF218" s="12"/>
      <c r="CG218" s="12"/>
      <c r="CH218" s="12"/>
      <c r="CI218" s="12"/>
      <c r="CJ218" s="12"/>
      <c r="CK218" s="12"/>
      <c r="CL218" s="12"/>
      <c r="CM218" s="12"/>
      <c r="CN218" s="12"/>
      <c r="CO218" s="12"/>
      <c r="CP218" s="12"/>
      <c r="CQ218" s="12"/>
      <c r="CR218" s="12"/>
      <c r="CS218" s="12"/>
      <c r="CT218" s="12"/>
      <c r="CU218" s="12"/>
      <c r="CV218" s="12"/>
      <c r="CW218" s="12"/>
      <c r="CX218" s="12"/>
      <c r="CY218" s="12"/>
      <c r="CZ218" s="12"/>
      <c r="DA218" s="12"/>
      <c r="DB218" s="12"/>
      <c r="DC218" s="12"/>
      <c r="DD218" s="12"/>
      <c r="DE218" s="12"/>
      <c r="DF218" s="12"/>
      <c r="DG218" s="12"/>
      <c r="DH218" s="12"/>
      <c r="DI218" s="12"/>
      <c r="DJ218" s="12"/>
      <c r="DK218" s="12"/>
      <c r="DL218" s="12"/>
      <c r="DM218" s="12"/>
      <c r="DN218" s="12"/>
      <c r="DO218" s="12"/>
      <c r="DP218" s="12"/>
      <c r="DQ218" s="12"/>
      <c r="DR218" s="12"/>
      <c r="DS218" s="12"/>
      <c r="DT218" s="12"/>
      <c r="DU218" s="12"/>
      <c r="DV218" s="12"/>
      <c r="DW218" s="12"/>
      <c r="DX218" s="12"/>
      <c r="DY218" s="12"/>
      <c r="DZ218" s="12"/>
      <c r="EA218" s="12"/>
      <c r="EB218" s="12"/>
      <c r="EC218" s="12"/>
      <c r="ED218" s="12"/>
      <c r="EE218" s="12"/>
      <c r="EF218" s="12"/>
      <c r="EG218" s="12"/>
      <c r="EH218" s="12"/>
      <c r="EI218" s="12"/>
      <c r="EJ218" s="12"/>
      <c r="EK218" s="12"/>
      <c r="EL218" s="12"/>
      <c r="EM218" s="12"/>
      <c r="EN218" s="12"/>
      <c r="EO218" s="12"/>
      <c r="EP218" s="12"/>
      <c r="EQ218" s="12"/>
      <c r="ER218" s="12"/>
      <c r="ES218" s="12"/>
      <c r="ET218" s="12"/>
      <c r="EU218" s="12"/>
      <c r="EV218" s="12"/>
      <c r="EW218" s="12"/>
      <c r="EX218" s="12"/>
      <c r="EY218" s="12"/>
      <c r="EZ218" s="12"/>
      <c r="FA218" s="12"/>
      <c r="FB218" s="12"/>
      <c r="FC218" s="12"/>
      <c r="FD218" s="12"/>
      <c r="FE218" s="12"/>
      <c r="FF218" s="12"/>
      <c r="FG218" s="12"/>
      <c r="FH218" s="12"/>
      <c r="FI218" s="12"/>
      <c r="FJ218" s="12"/>
      <c r="FK218" s="12"/>
      <c r="FL218" s="12"/>
      <c r="FM218" s="12"/>
      <c r="FN218" s="12"/>
      <c r="FO218" s="12"/>
      <c r="FP218" s="12"/>
      <c r="FQ218" s="12"/>
      <c r="FR218" s="12"/>
      <c r="FS218" s="12"/>
      <c r="FT218" s="12"/>
      <c r="FU218" s="12"/>
      <c r="FV218" s="12"/>
      <c r="FW218" s="12"/>
      <c r="FX218" s="12"/>
      <c r="FY218" s="12"/>
      <c r="FZ218" s="12"/>
      <c r="GA218" s="12"/>
      <c r="GB218" s="12"/>
      <c r="GC218" s="12"/>
      <c r="GD218" s="12"/>
      <c r="GE218" s="12"/>
      <c r="GF218" s="12"/>
      <c r="GG218" s="12"/>
      <c r="GH218" s="12"/>
      <c r="GI218" s="12"/>
      <c r="GJ218" s="12"/>
      <c r="GK218" s="12"/>
      <c r="GL218" s="12"/>
      <c r="GM218" s="12"/>
      <c r="GN218" s="12"/>
      <c r="GO218" s="12"/>
      <c r="GP218" s="12"/>
      <c r="GQ218" s="12"/>
      <c r="GR218" s="12"/>
      <c r="GS218" s="12"/>
      <c r="GT218" s="12"/>
      <c r="GU218" s="12"/>
      <c r="GV218" s="12"/>
      <c r="GW218" s="12"/>
      <c r="GX218" s="12"/>
      <c r="GY218" s="12"/>
      <c r="GZ218" s="12"/>
      <c r="HA218" s="12"/>
      <c r="HB218" s="12"/>
      <c r="HC218" s="12"/>
      <c r="HD218" s="12"/>
      <c r="HE218" s="12"/>
      <c r="HF218" s="12"/>
      <c r="HG218" s="12"/>
      <c r="HH218" s="12"/>
      <c r="HI218" s="12"/>
      <c r="HJ218" s="12"/>
      <c r="HK218" s="12"/>
      <c r="HL218" s="12"/>
      <c r="HM218" s="12"/>
      <c r="HN218" s="12"/>
      <c r="HO218" s="12"/>
      <c r="HP218" s="12"/>
      <c r="HQ218" s="12"/>
      <c r="HR218" s="12"/>
      <c r="HS218" s="12"/>
      <c r="HT218" s="12"/>
      <c r="HU218" s="12"/>
      <c r="HV218" s="12"/>
      <c r="HW218" s="12"/>
      <c r="HX218" s="12"/>
      <c r="HY218" s="12"/>
      <c r="HZ218" s="12"/>
      <c r="IA218" s="12"/>
      <c r="IB218" s="12"/>
      <c r="IC218" s="12"/>
      <c r="ID218" s="12"/>
      <c r="IE218" s="12"/>
      <c r="IF218" s="12"/>
      <c r="IG218" s="12"/>
      <c r="IH218" s="12"/>
      <c r="II218" s="12"/>
      <c r="IJ218" s="12"/>
      <c r="IK218" s="12"/>
      <c r="IL218" s="12"/>
      <c r="IM218" s="12"/>
      <c r="IN218" s="12"/>
      <c r="IO218" s="12"/>
      <c r="IP218" s="12"/>
      <c r="IQ218" s="12"/>
      <c r="IR218" s="12"/>
      <c r="IS218" s="12"/>
      <c r="IT218" s="12"/>
      <c r="IU218" s="12"/>
      <c r="IV218" s="12"/>
      <c r="IW218" s="12"/>
    </row>
    <row r="219" customFormat="false" ht="11.25" hidden="false" customHeight="false" outlineLevel="0" collapsed="false">
      <c r="A219" s="25" t="n">
        <f aca="false">DATE(YEAR(A218),MONTH(A218)+1,1)</f>
        <v>52383</v>
      </c>
      <c r="B219" s="21" t="n">
        <v>3.1</v>
      </c>
      <c r="C219" s="21" t="n">
        <v>3.2</v>
      </c>
      <c r="D219" s="25" t="n">
        <f aca="false">DATE(YEAR(D218),MONTH(D218)+1,1)</f>
        <v>52383</v>
      </c>
      <c r="E219" s="21" t="n">
        <v>20.56</v>
      </c>
      <c r="F219" s="21" t="n">
        <v>22.09</v>
      </c>
      <c r="G219" s="6"/>
      <c r="H219" s="22" t="n">
        <f aca="false">A219</f>
        <v>52383</v>
      </c>
      <c r="I219" s="23" t="n">
        <f aca="false">IF($J$1="bid",B219,C219)</f>
        <v>3.2</v>
      </c>
      <c r="J219" s="24" t="n">
        <f aca="false">D219</f>
        <v>52383</v>
      </c>
      <c r="K219" s="23" t="n">
        <f aca="false">IF($J$1="bid",E219,F219)</f>
        <v>22.09</v>
      </c>
      <c r="L219" s="11"/>
      <c r="M219" s="11"/>
      <c r="N219" s="11"/>
      <c r="O219" s="11"/>
      <c r="P219" s="11"/>
      <c r="Q219" s="11"/>
      <c r="R219" s="11"/>
      <c r="S219" s="11"/>
      <c r="T219" s="11"/>
      <c r="U219" s="11"/>
      <c r="V219" s="11"/>
      <c r="W219" s="11"/>
      <c r="X219" s="11"/>
      <c r="Y219" s="11"/>
      <c r="Z219" s="11"/>
      <c r="AA219" s="11"/>
      <c r="AB219" s="11"/>
      <c r="AC219" s="11"/>
      <c r="AD219" s="11"/>
      <c r="AE219" s="11"/>
      <c r="AF219" s="11"/>
      <c r="AG219" s="11"/>
      <c r="AH219" s="11"/>
      <c r="AI219" s="11"/>
      <c r="AJ219" s="11"/>
      <c r="AK219" s="11"/>
      <c r="AL219" s="11"/>
      <c r="AM219" s="11"/>
      <c r="AN219" s="11"/>
      <c r="AO219" s="11"/>
      <c r="AP219" s="11"/>
      <c r="AQ219" s="11"/>
      <c r="AR219" s="5"/>
      <c r="AS219" s="12"/>
      <c r="AT219" s="12"/>
      <c r="AU219" s="12"/>
      <c r="AV219" s="12"/>
      <c r="AW219" s="12"/>
      <c r="AX219" s="12"/>
      <c r="AY219" s="12"/>
      <c r="AZ219" s="12"/>
      <c r="BA219" s="12"/>
      <c r="BB219" s="12"/>
      <c r="BC219" s="12"/>
      <c r="BD219" s="12"/>
      <c r="BE219" s="12"/>
      <c r="BF219" s="12"/>
      <c r="BG219" s="12"/>
      <c r="BH219" s="12"/>
      <c r="BI219" s="12"/>
      <c r="BJ219" s="12"/>
      <c r="BK219" s="12"/>
      <c r="BL219" s="12"/>
      <c r="BM219" s="12"/>
      <c r="BN219" s="12"/>
      <c r="BO219" s="12"/>
      <c r="BP219" s="12"/>
      <c r="BQ219" s="12"/>
      <c r="BR219" s="12"/>
      <c r="BS219" s="12"/>
      <c r="BT219" s="12"/>
      <c r="BU219" s="12"/>
      <c r="BV219" s="12"/>
      <c r="BW219" s="12"/>
      <c r="BX219" s="12"/>
      <c r="BY219" s="12"/>
      <c r="BZ219" s="12"/>
      <c r="CA219" s="12"/>
      <c r="CB219" s="12"/>
      <c r="CC219" s="12"/>
      <c r="CD219" s="12"/>
      <c r="CE219" s="12"/>
      <c r="CF219" s="12"/>
      <c r="CG219" s="12"/>
      <c r="CH219" s="12"/>
      <c r="CI219" s="12"/>
      <c r="CJ219" s="12"/>
      <c r="CK219" s="12"/>
      <c r="CL219" s="12"/>
      <c r="CM219" s="12"/>
      <c r="CN219" s="12"/>
      <c r="CO219" s="12"/>
      <c r="CP219" s="12"/>
      <c r="CQ219" s="12"/>
      <c r="CR219" s="12"/>
      <c r="CS219" s="12"/>
      <c r="CT219" s="12"/>
      <c r="CU219" s="12"/>
      <c r="CV219" s="12"/>
      <c r="CW219" s="12"/>
      <c r="CX219" s="12"/>
      <c r="CY219" s="12"/>
      <c r="CZ219" s="12"/>
      <c r="DA219" s="12"/>
      <c r="DB219" s="12"/>
      <c r="DC219" s="12"/>
      <c r="DD219" s="12"/>
      <c r="DE219" s="12"/>
      <c r="DF219" s="12"/>
      <c r="DG219" s="12"/>
      <c r="DH219" s="12"/>
      <c r="DI219" s="12"/>
      <c r="DJ219" s="12"/>
      <c r="DK219" s="12"/>
      <c r="DL219" s="12"/>
      <c r="DM219" s="12"/>
      <c r="DN219" s="12"/>
      <c r="DO219" s="12"/>
      <c r="DP219" s="12"/>
      <c r="DQ219" s="12"/>
      <c r="DR219" s="12"/>
      <c r="DS219" s="12"/>
      <c r="DT219" s="12"/>
      <c r="DU219" s="12"/>
      <c r="DV219" s="12"/>
      <c r="DW219" s="12"/>
      <c r="DX219" s="12"/>
      <c r="DY219" s="12"/>
      <c r="DZ219" s="12"/>
      <c r="EA219" s="12"/>
      <c r="EB219" s="12"/>
      <c r="EC219" s="12"/>
      <c r="ED219" s="12"/>
      <c r="EE219" s="12"/>
      <c r="EF219" s="12"/>
      <c r="EG219" s="12"/>
      <c r="EH219" s="12"/>
      <c r="EI219" s="12"/>
      <c r="EJ219" s="12"/>
      <c r="EK219" s="12"/>
      <c r="EL219" s="12"/>
      <c r="EM219" s="12"/>
      <c r="EN219" s="12"/>
      <c r="EO219" s="12"/>
      <c r="EP219" s="12"/>
      <c r="EQ219" s="12"/>
      <c r="ER219" s="12"/>
      <c r="ES219" s="12"/>
      <c r="ET219" s="12"/>
      <c r="EU219" s="12"/>
      <c r="EV219" s="12"/>
      <c r="EW219" s="12"/>
      <c r="EX219" s="12"/>
      <c r="EY219" s="12"/>
      <c r="EZ219" s="12"/>
      <c r="FA219" s="12"/>
      <c r="FB219" s="12"/>
      <c r="FC219" s="12"/>
      <c r="FD219" s="12"/>
      <c r="FE219" s="12"/>
      <c r="FF219" s="12"/>
      <c r="FG219" s="12"/>
      <c r="FH219" s="12"/>
      <c r="FI219" s="12"/>
      <c r="FJ219" s="12"/>
      <c r="FK219" s="12"/>
      <c r="FL219" s="12"/>
      <c r="FM219" s="12"/>
      <c r="FN219" s="12"/>
      <c r="FO219" s="12"/>
      <c r="FP219" s="12"/>
      <c r="FQ219" s="12"/>
      <c r="FR219" s="12"/>
      <c r="FS219" s="12"/>
      <c r="FT219" s="12"/>
      <c r="FU219" s="12"/>
      <c r="FV219" s="12"/>
      <c r="FW219" s="12"/>
      <c r="FX219" s="12"/>
      <c r="FY219" s="12"/>
      <c r="FZ219" s="12"/>
      <c r="GA219" s="12"/>
      <c r="GB219" s="12"/>
      <c r="GC219" s="12"/>
      <c r="GD219" s="12"/>
      <c r="GE219" s="12"/>
      <c r="GF219" s="12"/>
      <c r="GG219" s="12"/>
      <c r="GH219" s="12"/>
      <c r="GI219" s="12"/>
      <c r="GJ219" s="12"/>
      <c r="GK219" s="12"/>
      <c r="GL219" s="12"/>
      <c r="GM219" s="12"/>
      <c r="GN219" s="12"/>
      <c r="GO219" s="12"/>
      <c r="GP219" s="12"/>
      <c r="GQ219" s="12"/>
      <c r="GR219" s="12"/>
      <c r="GS219" s="12"/>
      <c r="GT219" s="12"/>
      <c r="GU219" s="12"/>
      <c r="GV219" s="12"/>
      <c r="GW219" s="12"/>
      <c r="GX219" s="12"/>
      <c r="GY219" s="12"/>
      <c r="GZ219" s="12"/>
      <c r="HA219" s="12"/>
      <c r="HB219" s="12"/>
      <c r="HC219" s="12"/>
      <c r="HD219" s="12"/>
      <c r="HE219" s="12"/>
      <c r="HF219" s="12"/>
      <c r="HG219" s="12"/>
      <c r="HH219" s="12"/>
      <c r="HI219" s="12"/>
      <c r="HJ219" s="12"/>
      <c r="HK219" s="12"/>
      <c r="HL219" s="12"/>
      <c r="HM219" s="12"/>
      <c r="HN219" s="12"/>
      <c r="HO219" s="12"/>
      <c r="HP219" s="12"/>
      <c r="HQ219" s="12"/>
      <c r="HR219" s="12"/>
      <c r="HS219" s="12"/>
      <c r="HT219" s="12"/>
      <c r="HU219" s="12"/>
      <c r="HV219" s="12"/>
      <c r="HW219" s="12"/>
      <c r="HX219" s="12"/>
      <c r="HY219" s="12"/>
      <c r="HZ219" s="12"/>
      <c r="IA219" s="12"/>
      <c r="IB219" s="12"/>
      <c r="IC219" s="12"/>
      <c r="ID219" s="12"/>
      <c r="IE219" s="12"/>
      <c r="IF219" s="12"/>
      <c r="IG219" s="12"/>
      <c r="IH219" s="12"/>
      <c r="II219" s="12"/>
      <c r="IJ219" s="12"/>
      <c r="IK219" s="12"/>
      <c r="IL219" s="12"/>
      <c r="IM219" s="12"/>
      <c r="IN219" s="12"/>
      <c r="IO219" s="12"/>
      <c r="IP219" s="12"/>
      <c r="IQ219" s="12"/>
      <c r="IR219" s="12"/>
      <c r="IS219" s="12"/>
      <c r="IT219" s="12"/>
      <c r="IU219" s="12"/>
      <c r="IV219" s="12"/>
      <c r="IW219" s="12"/>
    </row>
    <row r="220" customFormat="false" ht="11.25" hidden="false" customHeight="false" outlineLevel="0" collapsed="false">
      <c r="A220" s="25" t="n">
        <f aca="false">DATE(YEAR(A219),MONTH(A219)+1,1)</f>
        <v>52413</v>
      </c>
      <c r="B220" s="21" t="n">
        <v>3.1</v>
      </c>
      <c r="C220" s="21" t="n">
        <v>3.2</v>
      </c>
      <c r="D220" s="25" t="n">
        <f aca="false">DATE(YEAR(D219),MONTH(D219)+1,1)</f>
        <v>52413</v>
      </c>
      <c r="E220" s="21" t="n">
        <v>20.576</v>
      </c>
      <c r="F220" s="21" t="n">
        <v>22.115</v>
      </c>
      <c r="G220" s="6"/>
      <c r="H220" s="22" t="n">
        <f aca="false">A220</f>
        <v>52413</v>
      </c>
      <c r="I220" s="23" t="n">
        <f aca="false">IF($J$1="bid",B220,C220)</f>
        <v>3.2</v>
      </c>
      <c r="J220" s="24" t="n">
        <f aca="false">D220</f>
        <v>52413</v>
      </c>
      <c r="K220" s="23" t="n">
        <f aca="false">IF($J$1="bid",E220,F220)</f>
        <v>22.115</v>
      </c>
      <c r="L220" s="11"/>
      <c r="M220" s="11"/>
      <c r="N220" s="11"/>
      <c r="O220" s="11"/>
      <c r="P220" s="11"/>
      <c r="Q220" s="11"/>
      <c r="R220" s="11"/>
      <c r="S220" s="11"/>
      <c r="T220" s="11"/>
      <c r="U220" s="11"/>
      <c r="V220" s="11"/>
      <c r="W220" s="11"/>
      <c r="X220" s="11"/>
      <c r="Y220" s="11"/>
      <c r="Z220" s="11"/>
      <c r="AA220" s="11"/>
      <c r="AB220" s="11"/>
      <c r="AC220" s="11"/>
      <c r="AD220" s="11"/>
      <c r="AE220" s="11"/>
      <c r="AF220" s="11"/>
      <c r="AG220" s="11"/>
      <c r="AH220" s="11"/>
      <c r="AI220" s="11"/>
      <c r="AJ220" s="11"/>
      <c r="AK220" s="11"/>
      <c r="AL220" s="11"/>
      <c r="AM220" s="11"/>
      <c r="AN220" s="11"/>
      <c r="AO220" s="11"/>
      <c r="AP220" s="11"/>
      <c r="AQ220" s="11"/>
      <c r="AR220" s="5"/>
      <c r="AS220" s="12"/>
      <c r="AT220" s="12"/>
      <c r="AU220" s="12"/>
      <c r="AV220" s="12"/>
      <c r="AW220" s="12"/>
      <c r="AX220" s="12"/>
      <c r="AY220" s="12"/>
      <c r="AZ220" s="12"/>
      <c r="BA220" s="12"/>
      <c r="BB220" s="12"/>
      <c r="BC220" s="12"/>
      <c r="BD220" s="12"/>
      <c r="BE220" s="12"/>
      <c r="BF220" s="12"/>
      <c r="BG220" s="12"/>
      <c r="BH220" s="12"/>
      <c r="BI220" s="12"/>
      <c r="BJ220" s="12"/>
      <c r="BK220" s="12"/>
      <c r="BL220" s="12"/>
      <c r="BM220" s="12"/>
      <c r="BN220" s="12"/>
      <c r="BO220" s="12"/>
      <c r="BP220" s="12"/>
      <c r="BQ220" s="12"/>
      <c r="BR220" s="12"/>
      <c r="BS220" s="12"/>
      <c r="BT220" s="12"/>
      <c r="BU220" s="12"/>
      <c r="BV220" s="12"/>
      <c r="BW220" s="12"/>
      <c r="BX220" s="12"/>
      <c r="BY220" s="12"/>
      <c r="BZ220" s="12"/>
      <c r="CA220" s="12"/>
      <c r="CB220" s="12"/>
      <c r="CC220" s="12"/>
      <c r="CD220" s="12"/>
      <c r="CE220" s="12"/>
      <c r="CF220" s="12"/>
      <c r="CG220" s="12"/>
      <c r="CH220" s="12"/>
      <c r="CI220" s="12"/>
      <c r="CJ220" s="12"/>
      <c r="CK220" s="12"/>
      <c r="CL220" s="12"/>
      <c r="CM220" s="12"/>
      <c r="CN220" s="12"/>
      <c r="CO220" s="12"/>
      <c r="CP220" s="12"/>
      <c r="CQ220" s="12"/>
      <c r="CR220" s="12"/>
      <c r="CS220" s="12"/>
      <c r="CT220" s="12"/>
      <c r="CU220" s="12"/>
      <c r="CV220" s="12"/>
      <c r="CW220" s="12"/>
      <c r="CX220" s="12"/>
      <c r="CY220" s="12"/>
      <c r="CZ220" s="12"/>
      <c r="DA220" s="12"/>
      <c r="DB220" s="12"/>
      <c r="DC220" s="12"/>
      <c r="DD220" s="12"/>
      <c r="DE220" s="12"/>
      <c r="DF220" s="12"/>
      <c r="DG220" s="12"/>
      <c r="DH220" s="12"/>
      <c r="DI220" s="12"/>
      <c r="DJ220" s="12"/>
      <c r="DK220" s="12"/>
      <c r="DL220" s="12"/>
      <c r="DM220" s="12"/>
      <c r="DN220" s="12"/>
      <c r="DO220" s="12"/>
      <c r="DP220" s="12"/>
      <c r="DQ220" s="12"/>
      <c r="DR220" s="12"/>
      <c r="DS220" s="12"/>
      <c r="DT220" s="12"/>
      <c r="DU220" s="12"/>
      <c r="DV220" s="12"/>
      <c r="DW220" s="12"/>
      <c r="DX220" s="12"/>
      <c r="DY220" s="12"/>
      <c r="DZ220" s="12"/>
      <c r="EA220" s="12"/>
      <c r="EB220" s="12"/>
      <c r="EC220" s="12"/>
      <c r="ED220" s="12"/>
      <c r="EE220" s="12"/>
      <c r="EF220" s="12"/>
      <c r="EG220" s="12"/>
      <c r="EH220" s="12"/>
      <c r="EI220" s="12"/>
      <c r="EJ220" s="12"/>
      <c r="EK220" s="12"/>
      <c r="EL220" s="12"/>
      <c r="EM220" s="12"/>
      <c r="EN220" s="12"/>
      <c r="EO220" s="12"/>
      <c r="EP220" s="12"/>
      <c r="EQ220" s="12"/>
      <c r="ER220" s="12"/>
      <c r="ES220" s="12"/>
      <c r="ET220" s="12"/>
      <c r="EU220" s="12"/>
      <c r="EV220" s="12"/>
      <c r="EW220" s="12"/>
      <c r="EX220" s="12"/>
      <c r="EY220" s="12"/>
      <c r="EZ220" s="12"/>
      <c r="FA220" s="12"/>
      <c r="FB220" s="12"/>
      <c r="FC220" s="12"/>
      <c r="FD220" s="12"/>
      <c r="FE220" s="12"/>
      <c r="FF220" s="12"/>
      <c r="FG220" s="12"/>
      <c r="FH220" s="12"/>
      <c r="FI220" s="12"/>
      <c r="FJ220" s="12"/>
      <c r="FK220" s="12"/>
      <c r="FL220" s="12"/>
      <c r="FM220" s="12"/>
      <c r="FN220" s="12"/>
      <c r="FO220" s="12"/>
      <c r="FP220" s="12"/>
      <c r="FQ220" s="12"/>
      <c r="FR220" s="12"/>
      <c r="FS220" s="12"/>
      <c r="FT220" s="12"/>
      <c r="FU220" s="12"/>
      <c r="FV220" s="12"/>
      <c r="FW220" s="12"/>
      <c r="FX220" s="12"/>
      <c r="FY220" s="12"/>
      <c r="FZ220" s="12"/>
      <c r="GA220" s="12"/>
      <c r="GB220" s="12"/>
      <c r="GC220" s="12"/>
      <c r="GD220" s="12"/>
      <c r="GE220" s="12"/>
      <c r="GF220" s="12"/>
      <c r="GG220" s="12"/>
      <c r="GH220" s="12"/>
      <c r="GI220" s="12"/>
      <c r="GJ220" s="12"/>
      <c r="GK220" s="12"/>
      <c r="GL220" s="12"/>
      <c r="GM220" s="12"/>
      <c r="GN220" s="12"/>
      <c r="GO220" s="12"/>
      <c r="GP220" s="12"/>
      <c r="GQ220" s="12"/>
      <c r="GR220" s="12"/>
      <c r="GS220" s="12"/>
      <c r="GT220" s="12"/>
      <c r="GU220" s="12"/>
      <c r="GV220" s="12"/>
      <c r="GW220" s="12"/>
      <c r="GX220" s="12"/>
      <c r="GY220" s="12"/>
      <c r="GZ220" s="12"/>
      <c r="HA220" s="12"/>
      <c r="HB220" s="12"/>
      <c r="HC220" s="12"/>
      <c r="HD220" s="12"/>
      <c r="HE220" s="12"/>
      <c r="HF220" s="12"/>
      <c r="HG220" s="12"/>
      <c r="HH220" s="12"/>
      <c r="HI220" s="12"/>
      <c r="HJ220" s="12"/>
      <c r="HK220" s="12"/>
      <c r="HL220" s="12"/>
      <c r="HM220" s="12"/>
      <c r="HN220" s="12"/>
      <c r="HO220" s="12"/>
      <c r="HP220" s="12"/>
      <c r="HQ220" s="12"/>
      <c r="HR220" s="12"/>
      <c r="HS220" s="12"/>
      <c r="HT220" s="12"/>
      <c r="HU220" s="12"/>
      <c r="HV220" s="12"/>
      <c r="HW220" s="12"/>
      <c r="HX220" s="12"/>
      <c r="HY220" s="12"/>
      <c r="HZ220" s="12"/>
      <c r="IA220" s="12"/>
      <c r="IB220" s="12"/>
      <c r="IC220" s="12"/>
      <c r="ID220" s="12"/>
      <c r="IE220" s="12"/>
      <c r="IF220" s="12"/>
      <c r="IG220" s="12"/>
      <c r="IH220" s="12"/>
      <c r="II220" s="12"/>
      <c r="IJ220" s="12"/>
      <c r="IK220" s="12"/>
      <c r="IL220" s="12"/>
      <c r="IM220" s="12"/>
      <c r="IN220" s="12"/>
      <c r="IO220" s="12"/>
      <c r="IP220" s="12"/>
      <c r="IQ220" s="12"/>
      <c r="IR220" s="12"/>
      <c r="IS220" s="12"/>
      <c r="IT220" s="12"/>
      <c r="IU220" s="12"/>
      <c r="IV220" s="12"/>
      <c r="IW220" s="12"/>
    </row>
    <row r="221" customFormat="false" ht="11.25" hidden="false" customHeight="false" outlineLevel="0" collapsed="false">
      <c r="A221" s="25" t="n">
        <f aca="false">DATE(YEAR(A220),MONTH(A220)+1,1)</f>
        <v>52444</v>
      </c>
      <c r="B221" s="21" t="n">
        <v>3.1</v>
      </c>
      <c r="C221" s="21" t="n">
        <v>3.2</v>
      </c>
      <c r="D221" s="25" t="n">
        <f aca="false">DATE(YEAR(D220),MONTH(D220)+1,1)</f>
        <v>52444</v>
      </c>
      <c r="E221" s="21" t="n">
        <v>20.592</v>
      </c>
      <c r="F221" s="21" t="n">
        <v>22.138</v>
      </c>
      <c r="G221" s="6"/>
      <c r="H221" s="22" t="n">
        <f aca="false">A221</f>
        <v>52444</v>
      </c>
      <c r="I221" s="23" t="n">
        <f aca="false">IF($J$1="bid",B221,C221)</f>
        <v>3.2</v>
      </c>
      <c r="J221" s="24" t="n">
        <f aca="false">D221</f>
        <v>52444</v>
      </c>
      <c r="K221" s="23" t="n">
        <f aca="false">IF($J$1="bid",E221,F221)</f>
        <v>22.138</v>
      </c>
      <c r="L221" s="11"/>
      <c r="M221" s="11"/>
      <c r="N221" s="11"/>
      <c r="O221" s="11"/>
      <c r="P221" s="11"/>
      <c r="Q221" s="11"/>
      <c r="R221" s="11"/>
      <c r="S221" s="11"/>
      <c r="T221" s="11"/>
      <c r="U221" s="11"/>
      <c r="V221" s="11"/>
      <c r="W221" s="11"/>
      <c r="X221" s="11"/>
      <c r="Y221" s="11"/>
      <c r="Z221" s="11"/>
      <c r="AA221" s="11"/>
      <c r="AB221" s="11"/>
      <c r="AC221" s="11"/>
      <c r="AD221" s="11"/>
      <c r="AE221" s="11"/>
      <c r="AF221" s="11"/>
      <c r="AG221" s="11"/>
      <c r="AH221" s="11"/>
      <c r="AI221" s="11"/>
      <c r="AJ221" s="11"/>
      <c r="AK221" s="11"/>
      <c r="AL221" s="11"/>
      <c r="AM221" s="11"/>
      <c r="AN221" s="11"/>
      <c r="AO221" s="11"/>
      <c r="AP221" s="11"/>
      <c r="AQ221" s="11"/>
      <c r="AR221" s="5"/>
      <c r="AS221" s="12"/>
      <c r="AT221" s="12"/>
      <c r="AU221" s="12"/>
      <c r="AV221" s="12"/>
      <c r="AW221" s="12"/>
      <c r="AX221" s="12"/>
      <c r="AY221" s="12"/>
      <c r="AZ221" s="12"/>
      <c r="BA221" s="12"/>
      <c r="BB221" s="12"/>
      <c r="BC221" s="12"/>
      <c r="BD221" s="12"/>
      <c r="BE221" s="12"/>
      <c r="BF221" s="12"/>
      <c r="BG221" s="12"/>
      <c r="BH221" s="12"/>
      <c r="BI221" s="12"/>
      <c r="BJ221" s="12"/>
      <c r="BK221" s="12"/>
      <c r="BL221" s="12"/>
      <c r="BM221" s="12"/>
      <c r="BN221" s="12"/>
      <c r="BO221" s="12"/>
      <c r="BP221" s="12"/>
      <c r="BQ221" s="12"/>
      <c r="BR221" s="12"/>
      <c r="BS221" s="12"/>
      <c r="BT221" s="12"/>
      <c r="BU221" s="12"/>
      <c r="BV221" s="12"/>
      <c r="BW221" s="12"/>
      <c r="BX221" s="12"/>
      <c r="BY221" s="12"/>
      <c r="BZ221" s="12"/>
      <c r="CA221" s="12"/>
      <c r="CB221" s="12"/>
      <c r="CC221" s="12"/>
      <c r="CD221" s="12"/>
      <c r="CE221" s="12"/>
      <c r="CF221" s="12"/>
      <c r="CG221" s="12"/>
      <c r="CH221" s="12"/>
      <c r="CI221" s="12"/>
      <c r="CJ221" s="12"/>
      <c r="CK221" s="12"/>
      <c r="CL221" s="12"/>
      <c r="CM221" s="12"/>
      <c r="CN221" s="12"/>
      <c r="CO221" s="12"/>
      <c r="CP221" s="12"/>
      <c r="CQ221" s="12"/>
      <c r="CR221" s="12"/>
      <c r="CS221" s="12"/>
      <c r="CT221" s="12"/>
      <c r="CU221" s="12"/>
      <c r="CV221" s="12"/>
      <c r="CW221" s="12"/>
      <c r="CX221" s="12"/>
      <c r="CY221" s="12"/>
      <c r="CZ221" s="12"/>
      <c r="DA221" s="12"/>
      <c r="DB221" s="12"/>
      <c r="DC221" s="12"/>
      <c r="DD221" s="12"/>
      <c r="DE221" s="12"/>
      <c r="DF221" s="12"/>
      <c r="DG221" s="12"/>
      <c r="DH221" s="12"/>
      <c r="DI221" s="12"/>
      <c r="DJ221" s="12"/>
      <c r="DK221" s="12"/>
      <c r="DL221" s="12"/>
      <c r="DM221" s="12"/>
      <c r="DN221" s="12"/>
      <c r="DO221" s="12"/>
      <c r="DP221" s="12"/>
      <c r="DQ221" s="12"/>
      <c r="DR221" s="12"/>
      <c r="DS221" s="12"/>
      <c r="DT221" s="12"/>
      <c r="DU221" s="12"/>
      <c r="DV221" s="12"/>
      <c r="DW221" s="12"/>
      <c r="DX221" s="12"/>
      <c r="DY221" s="12"/>
      <c r="DZ221" s="12"/>
      <c r="EA221" s="12"/>
      <c r="EB221" s="12"/>
      <c r="EC221" s="12"/>
      <c r="ED221" s="12"/>
      <c r="EE221" s="12"/>
      <c r="EF221" s="12"/>
      <c r="EG221" s="12"/>
      <c r="EH221" s="12"/>
      <c r="EI221" s="12"/>
      <c r="EJ221" s="12"/>
      <c r="EK221" s="12"/>
      <c r="EL221" s="12"/>
      <c r="EM221" s="12"/>
      <c r="EN221" s="12"/>
      <c r="EO221" s="12"/>
      <c r="EP221" s="12"/>
      <c r="EQ221" s="12"/>
      <c r="ER221" s="12"/>
      <c r="ES221" s="12"/>
      <c r="ET221" s="12"/>
      <c r="EU221" s="12"/>
      <c r="EV221" s="12"/>
      <c r="EW221" s="12"/>
      <c r="EX221" s="12"/>
      <c r="EY221" s="12"/>
      <c r="EZ221" s="12"/>
      <c r="FA221" s="12"/>
      <c r="FB221" s="12"/>
      <c r="FC221" s="12"/>
      <c r="FD221" s="12"/>
      <c r="FE221" s="12"/>
      <c r="FF221" s="12"/>
      <c r="FG221" s="12"/>
      <c r="FH221" s="12"/>
      <c r="FI221" s="12"/>
      <c r="FJ221" s="12"/>
      <c r="FK221" s="12"/>
      <c r="FL221" s="12"/>
      <c r="FM221" s="12"/>
      <c r="FN221" s="12"/>
      <c r="FO221" s="12"/>
      <c r="FP221" s="12"/>
      <c r="FQ221" s="12"/>
      <c r="FR221" s="12"/>
      <c r="FS221" s="12"/>
      <c r="FT221" s="12"/>
      <c r="FU221" s="12"/>
      <c r="FV221" s="12"/>
      <c r="FW221" s="12"/>
      <c r="FX221" s="12"/>
      <c r="FY221" s="12"/>
      <c r="FZ221" s="12"/>
      <c r="GA221" s="12"/>
      <c r="GB221" s="12"/>
      <c r="GC221" s="12"/>
      <c r="GD221" s="12"/>
      <c r="GE221" s="12"/>
      <c r="GF221" s="12"/>
      <c r="GG221" s="12"/>
      <c r="GH221" s="12"/>
      <c r="GI221" s="12"/>
      <c r="GJ221" s="12"/>
      <c r="GK221" s="12"/>
      <c r="GL221" s="12"/>
      <c r="GM221" s="12"/>
      <c r="GN221" s="12"/>
      <c r="GO221" s="12"/>
      <c r="GP221" s="12"/>
      <c r="GQ221" s="12"/>
      <c r="GR221" s="12"/>
      <c r="GS221" s="12"/>
      <c r="GT221" s="12"/>
      <c r="GU221" s="12"/>
      <c r="GV221" s="12"/>
      <c r="GW221" s="12"/>
      <c r="GX221" s="12"/>
      <c r="GY221" s="12"/>
      <c r="GZ221" s="12"/>
      <c r="HA221" s="12"/>
      <c r="HB221" s="12"/>
      <c r="HC221" s="12"/>
      <c r="HD221" s="12"/>
      <c r="HE221" s="12"/>
      <c r="HF221" s="12"/>
      <c r="HG221" s="12"/>
      <c r="HH221" s="12"/>
      <c r="HI221" s="12"/>
      <c r="HJ221" s="12"/>
      <c r="HK221" s="12"/>
      <c r="HL221" s="12"/>
      <c r="HM221" s="12"/>
      <c r="HN221" s="12"/>
      <c r="HO221" s="12"/>
      <c r="HP221" s="12"/>
      <c r="HQ221" s="12"/>
      <c r="HR221" s="12"/>
      <c r="HS221" s="12"/>
      <c r="HT221" s="12"/>
      <c r="HU221" s="12"/>
      <c r="HV221" s="12"/>
      <c r="HW221" s="12"/>
      <c r="HX221" s="12"/>
      <c r="HY221" s="12"/>
      <c r="HZ221" s="12"/>
      <c r="IA221" s="12"/>
      <c r="IB221" s="12"/>
      <c r="IC221" s="12"/>
      <c r="ID221" s="12"/>
      <c r="IE221" s="12"/>
      <c r="IF221" s="12"/>
      <c r="IG221" s="12"/>
      <c r="IH221" s="12"/>
      <c r="II221" s="12"/>
      <c r="IJ221" s="12"/>
      <c r="IK221" s="12"/>
      <c r="IL221" s="12"/>
      <c r="IM221" s="12"/>
      <c r="IN221" s="12"/>
      <c r="IO221" s="12"/>
      <c r="IP221" s="12"/>
      <c r="IQ221" s="12"/>
      <c r="IR221" s="12"/>
      <c r="IS221" s="12"/>
      <c r="IT221" s="12"/>
      <c r="IU221" s="12"/>
      <c r="IV221" s="12"/>
      <c r="IW221" s="12"/>
    </row>
    <row r="222" customFormat="false" ht="11.25" hidden="false" customHeight="false" outlineLevel="0" collapsed="false">
      <c r="A222" s="25" t="n">
        <f aca="false">DATE(YEAR(A221),MONTH(A221)+1,1)</f>
        <v>52475</v>
      </c>
      <c r="B222" s="21" t="n">
        <v>3.174</v>
      </c>
      <c r="C222" s="21" t="n">
        <v>3.274</v>
      </c>
      <c r="D222" s="25" t="n">
        <f aca="false">DATE(YEAR(D221),MONTH(D221)+1,1)</f>
        <v>52475</v>
      </c>
      <c r="E222" s="21" t="n">
        <v>20.611</v>
      </c>
      <c r="F222" s="21" t="n">
        <v>22.166</v>
      </c>
      <c r="G222" s="6"/>
      <c r="H222" s="22" t="n">
        <f aca="false">A222</f>
        <v>52475</v>
      </c>
      <c r="I222" s="23" t="n">
        <f aca="false">IF($J$1="bid",B222,C222)</f>
        <v>3.274</v>
      </c>
      <c r="J222" s="24" t="n">
        <f aca="false">D222</f>
        <v>52475</v>
      </c>
      <c r="K222" s="23" t="n">
        <f aca="false">IF($J$1="bid",E222,F222)</f>
        <v>22.166</v>
      </c>
      <c r="L222" s="11"/>
      <c r="M222" s="11"/>
      <c r="N222" s="11"/>
      <c r="O222" s="11"/>
      <c r="P222" s="11"/>
      <c r="Q222" s="11"/>
      <c r="R222" s="11"/>
      <c r="S222" s="11"/>
      <c r="T222" s="11"/>
      <c r="U222" s="11"/>
      <c r="V222" s="11"/>
      <c r="W222" s="11"/>
      <c r="X222" s="11"/>
      <c r="Y222" s="11"/>
      <c r="Z222" s="11"/>
      <c r="AA222" s="11"/>
      <c r="AB222" s="11"/>
      <c r="AC222" s="11"/>
      <c r="AD222" s="11"/>
      <c r="AE222" s="11"/>
      <c r="AF222" s="11"/>
      <c r="AG222" s="11"/>
      <c r="AH222" s="11"/>
      <c r="AI222" s="11"/>
      <c r="AJ222" s="11"/>
      <c r="AK222" s="11"/>
      <c r="AL222" s="11"/>
      <c r="AM222" s="11"/>
      <c r="AN222" s="11"/>
      <c r="AO222" s="11"/>
      <c r="AP222" s="11"/>
      <c r="AQ222" s="11"/>
      <c r="AR222" s="5"/>
      <c r="AS222" s="12"/>
      <c r="AT222" s="12"/>
      <c r="AU222" s="12"/>
      <c r="AV222" s="12"/>
      <c r="AW222" s="12"/>
      <c r="AX222" s="12"/>
      <c r="AY222" s="12"/>
      <c r="AZ222" s="12"/>
      <c r="BA222" s="12"/>
      <c r="BB222" s="12"/>
      <c r="BC222" s="12"/>
      <c r="BD222" s="12"/>
      <c r="BE222" s="12"/>
      <c r="BF222" s="12"/>
      <c r="BG222" s="12"/>
      <c r="BH222" s="12"/>
      <c r="BI222" s="12"/>
      <c r="BJ222" s="12"/>
      <c r="BK222" s="12"/>
      <c r="BL222" s="12"/>
      <c r="BM222" s="12"/>
      <c r="BN222" s="12"/>
      <c r="BO222" s="12"/>
      <c r="BP222" s="12"/>
      <c r="BQ222" s="12"/>
      <c r="BR222" s="12"/>
      <c r="BS222" s="12"/>
      <c r="BT222" s="12"/>
      <c r="BU222" s="12"/>
      <c r="BV222" s="12"/>
      <c r="BW222" s="12"/>
      <c r="BX222" s="12"/>
      <c r="BY222" s="12"/>
      <c r="BZ222" s="12"/>
      <c r="CA222" s="12"/>
      <c r="CB222" s="12"/>
      <c r="CC222" s="12"/>
      <c r="CD222" s="12"/>
      <c r="CE222" s="12"/>
      <c r="CF222" s="12"/>
      <c r="CG222" s="12"/>
      <c r="CH222" s="12"/>
      <c r="CI222" s="12"/>
      <c r="CJ222" s="12"/>
      <c r="CK222" s="12"/>
      <c r="CL222" s="12"/>
      <c r="CM222" s="12"/>
      <c r="CN222" s="12"/>
      <c r="CO222" s="12"/>
      <c r="CP222" s="12"/>
      <c r="CQ222" s="12"/>
      <c r="CR222" s="12"/>
      <c r="CS222" s="12"/>
      <c r="CT222" s="12"/>
      <c r="CU222" s="12"/>
      <c r="CV222" s="12"/>
      <c r="CW222" s="12"/>
      <c r="CX222" s="12"/>
      <c r="CY222" s="12"/>
      <c r="CZ222" s="12"/>
      <c r="DA222" s="12"/>
      <c r="DB222" s="12"/>
      <c r="DC222" s="12"/>
      <c r="DD222" s="12"/>
      <c r="DE222" s="12"/>
      <c r="DF222" s="12"/>
      <c r="DG222" s="12"/>
      <c r="DH222" s="12"/>
      <c r="DI222" s="12"/>
      <c r="DJ222" s="12"/>
      <c r="DK222" s="12"/>
      <c r="DL222" s="12"/>
      <c r="DM222" s="12"/>
      <c r="DN222" s="12"/>
      <c r="DO222" s="12"/>
      <c r="DP222" s="12"/>
      <c r="DQ222" s="12"/>
      <c r="DR222" s="12"/>
      <c r="DS222" s="12"/>
      <c r="DT222" s="12"/>
      <c r="DU222" s="12"/>
      <c r="DV222" s="12"/>
      <c r="DW222" s="12"/>
      <c r="DX222" s="12"/>
      <c r="DY222" s="12"/>
      <c r="DZ222" s="12"/>
      <c r="EA222" s="12"/>
      <c r="EB222" s="12"/>
      <c r="EC222" s="12"/>
      <c r="ED222" s="12"/>
      <c r="EE222" s="12"/>
      <c r="EF222" s="12"/>
      <c r="EG222" s="12"/>
      <c r="EH222" s="12"/>
      <c r="EI222" s="12"/>
      <c r="EJ222" s="12"/>
      <c r="EK222" s="12"/>
      <c r="EL222" s="12"/>
      <c r="EM222" s="12"/>
      <c r="EN222" s="12"/>
      <c r="EO222" s="12"/>
      <c r="EP222" s="12"/>
      <c r="EQ222" s="12"/>
      <c r="ER222" s="12"/>
      <c r="ES222" s="12"/>
      <c r="ET222" s="12"/>
      <c r="EU222" s="12"/>
      <c r="EV222" s="12"/>
      <c r="EW222" s="12"/>
      <c r="EX222" s="12"/>
      <c r="EY222" s="12"/>
      <c r="EZ222" s="12"/>
      <c r="FA222" s="12"/>
      <c r="FB222" s="12"/>
      <c r="FC222" s="12"/>
      <c r="FD222" s="12"/>
      <c r="FE222" s="12"/>
      <c r="FF222" s="12"/>
      <c r="FG222" s="12"/>
      <c r="FH222" s="12"/>
      <c r="FI222" s="12"/>
      <c r="FJ222" s="12"/>
      <c r="FK222" s="12"/>
      <c r="FL222" s="12"/>
      <c r="FM222" s="12"/>
      <c r="FN222" s="12"/>
      <c r="FO222" s="12"/>
      <c r="FP222" s="12"/>
      <c r="FQ222" s="12"/>
      <c r="FR222" s="12"/>
      <c r="FS222" s="12"/>
      <c r="FT222" s="12"/>
      <c r="FU222" s="12"/>
      <c r="FV222" s="12"/>
      <c r="FW222" s="12"/>
      <c r="FX222" s="12"/>
      <c r="FY222" s="12"/>
      <c r="FZ222" s="12"/>
      <c r="GA222" s="12"/>
      <c r="GB222" s="12"/>
      <c r="GC222" s="12"/>
      <c r="GD222" s="12"/>
      <c r="GE222" s="12"/>
      <c r="GF222" s="12"/>
      <c r="GG222" s="12"/>
      <c r="GH222" s="12"/>
      <c r="GI222" s="12"/>
      <c r="GJ222" s="12"/>
      <c r="GK222" s="12"/>
      <c r="GL222" s="12"/>
      <c r="GM222" s="12"/>
      <c r="GN222" s="12"/>
      <c r="GO222" s="12"/>
      <c r="GP222" s="12"/>
      <c r="GQ222" s="12"/>
      <c r="GR222" s="12"/>
      <c r="GS222" s="12"/>
      <c r="GT222" s="12"/>
      <c r="GU222" s="12"/>
      <c r="GV222" s="12"/>
      <c r="GW222" s="12"/>
      <c r="GX222" s="12"/>
      <c r="GY222" s="12"/>
      <c r="GZ222" s="12"/>
      <c r="HA222" s="12"/>
      <c r="HB222" s="12"/>
      <c r="HC222" s="12"/>
      <c r="HD222" s="12"/>
      <c r="HE222" s="12"/>
      <c r="HF222" s="12"/>
      <c r="HG222" s="12"/>
      <c r="HH222" s="12"/>
      <c r="HI222" s="12"/>
      <c r="HJ222" s="12"/>
      <c r="HK222" s="12"/>
      <c r="HL222" s="12"/>
      <c r="HM222" s="12"/>
      <c r="HN222" s="12"/>
      <c r="HO222" s="12"/>
      <c r="HP222" s="12"/>
      <c r="HQ222" s="12"/>
      <c r="HR222" s="12"/>
      <c r="HS222" s="12"/>
      <c r="HT222" s="12"/>
      <c r="HU222" s="12"/>
      <c r="HV222" s="12"/>
      <c r="HW222" s="12"/>
      <c r="HX222" s="12"/>
      <c r="HY222" s="12"/>
      <c r="HZ222" s="12"/>
      <c r="IA222" s="12"/>
      <c r="IB222" s="12"/>
      <c r="IC222" s="12"/>
      <c r="ID222" s="12"/>
      <c r="IE222" s="12"/>
      <c r="IF222" s="12"/>
      <c r="IG222" s="12"/>
      <c r="IH222" s="12"/>
      <c r="II222" s="12"/>
      <c r="IJ222" s="12"/>
      <c r="IK222" s="12"/>
      <c r="IL222" s="12"/>
      <c r="IM222" s="12"/>
      <c r="IN222" s="12"/>
      <c r="IO222" s="12"/>
      <c r="IP222" s="12"/>
      <c r="IQ222" s="12"/>
      <c r="IR222" s="12"/>
      <c r="IS222" s="12"/>
      <c r="IT222" s="12"/>
      <c r="IU222" s="12"/>
      <c r="IV222" s="12"/>
      <c r="IW222" s="12"/>
    </row>
    <row r="223" customFormat="false" ht="11.25" hidden="false" customHeight="false" outlineLevel="0" collapsed="false">
      <c r="A223" s="25" t="n">
        <f aca="false">DATE(YEAR(A222),MONTH(A222)+1,1)</f>
        <v>52505</v>
      </c>
      <c r="B223" s="21" t="n">
        <v>3.292</v>
      </c>
      <c r="C223" s="21" t="n">
        <v>3.392</v>
      </c>
      <c r="D223" s="25" t="n">
        <f aca="false">DATE(YEAR(D222),MONTH(D222)+1,1)</f>
        <v>52505</v>
      </c>
      <c r="E223" s="21" t="n">
        <v>20.626</v>
      </c>
      <c r="F223" s="21" t="n">
        <v>22.189</v>
      </c>
      <c r="G223" s="6"/>
      <c r="H223" s="22" t="n">
        <f aca="false">A223</f>
        <v>52505</v>
      </c>
      <c r="I223" s="23" t="n">
        <f aca="false">IF($J$1="bid",B223,C223)</f>
        <v>3.392</v>
      </c>
      <c r="J223" s="24" t="n">
        <f aca="false">D223</f>
        <v>52505</v>
      </c>
      <c r="K223" s="23" t="n">
        <f aca="false">IF($J$1="bid",E223,F223)</f>
        <v>22.189</v>
      </c>
      <c r="L223" s="11"/>
      <c r="M223" s="11"/>
      <c r="N223" s="11"/>
      <c r="O223" s="11"/>
      <c r="P223" s="11"/>
      <c r="Q223" s="11"/>
      <c r="R223" s="11"/>
      <c r="S223" s="11"/>
      <c r="T223" s="11"/>
      <c r="U223" s="11"/>
      <c r="V223" s="11"/>
      <c r="W223" s="11"/>
      <c r="X223" s="11"/>
      <c r="Y223" s="11"/>
      <c r="Z223" s="11"/>
      <c r="AA223" s="11"/>
      <c r="AB223" s="11"/>
      <c r="AC223" s="11"/>
      <c r="AD223" s="11"/>
      <c r="AE223" s="11"/>
      <c r="AF223" s="11"/>
      <c r="AG223" s="11"/>
      <c r="AH223" s="11"/>
      <c r="AI223" s="11"/>
      <c r="AJ223" s="11"/>
      <c r="AK223" s="11"/>
      <c r="AL223" s="11"/>
      <c r="AM223" s="11"/>
      <c r="AN223" s="11"/>
      <c r="AO223" s="11"/>
      <c r="AP223" s="11"/>
      <c r="AQ223" s="11"/>
      <c r="AR223" s="5"/>
      <c r="AS223" s="12"/>
      <c r="AT223" s="12"/>
      <c r="AU223" s="12"/>
      <c r="AV223" s="12"/>
      <c r="AW223" s="12"/>
      <c r="AX223" s="12"/>
      <c r="AY223" s="12"/>
      <c r="AZ223" s="12"/>
      <c r="BA223" s="12"/>
      <c r="BB223" s="12"/>
      <c r="BC223" s="12"/>
      <c r="BD223" s="12"/>
      <c r="BE223" s="12"/>
      <c r="BF223" s="12"/>
      <c r="BG223" s="12"/>
      <c r="BH223" s="12"/>
      <c r="BI223" s="12"/>
      <c r="BJ223" s="12"/>
      <c r="BK223" s="12"/>
      <c r="BL223" s="12"/>
      <c r="BM223" s="12"/>
      <c r="BN223" s="12"/>
      <c r="BO223" s="12"/>
      <c r="BP223" s="12"/>
      <c r="BQ223" s="12"/>
      <c r="BR223" s="12"/>
      <c r="BS223" s="12"/>
      <c r="BT223" s="12"/>
      <c r="BU223" s="12"/>
      <c r="BV223" s="12"/>
      <c r="BW223" s="12"/>
      <c r="BX223" s="12"/>
      <c r="BY223" s="12"/>
      <c r="BZ223" s="12"/>
      <c r="CA223" s="12"/>
      <c r="CB223" s="12"/>
      <c r="CC223" s="12"/>
      <c r="CD223" s="12"/>
      <c r="CE223" s="12"/>
      <c r="CF223" s="12"/>
      <c r="CG223" s="12"/>
      <c r="CH223" s="12"/>
      <c r="CI223" s="12"/>
      <c r="CJ223" s="12"/>
      <c r="CK223" s="12"/>
      <c r="CL223" s="12"/>
      <c r="CM223" s="12"/>
      <c r="CN223" s="12"/>
      <c r="CO223" s="12"/>
      <c r="CP223" s="12"/>
      <c r="CQ223" s="12"/>
      <c r="CR223" s="12"/>
      <c r="CS223" s="12"/>
      <c r="CT223" s="12"/>
      <c r="CU223" s="12"/>
      <c r="CV223" s="12"/>
      <c r="CW223" s="12"/>
      <c r="CX223" s="12"/>
      <c r="CY223" s="12"/>
      <c r="CZ223" s="12"/>
      <c r="DA223" s="12"/>
      <c r="DB223" s="12"/>
      <c r="DC223" s="12"/>
      <c r="DD223" s="12"/>
      <c r="DE223" s="12"/>
      <c r="DF223" s="12"/>
      <c r="DG223" s="12"/>
      <c r="DH223" s="12"/>
      <c r="DI223" s="12"/>
      <c r="DJ223" s="12"/>
      <c r="DK223" s="12"/>
      <c r="DL223" s="12"/>
      <c r="DM223" s="12"/>
      <c r="DN223" s="12"/>
      <c r="DO223" s="12"/>
      <c r="DP223" s="12"/>
      <c r="DQ223" s="12"/>
      <c r="DR223" s="12"/>
      <c r="DS223" s="12"/>
      <c r="DT223" s="12"/>
      <c r="DU223" s="12"/>
      <c r="DV223" s="12"/>
      <c r="DW223" s="12"/>
      <c r="DX223" s="12"/>
      <c r="DY223" s="12"/>
      <c r="DZ223" s="12"/>
      <c r="EA223" s="12"/>
      <c r="EB223" s="12"/>
      <c r="EC223" s="12"/>
      <c r="ED223" s="12"/>
      <c r="EE223" s="12"/>
      <c r="EF223" s="12"/>
      <c r="EG223" s="12"/>
      <c r="EH223" s="12"/>
      <c r="EI223" s="12"/>
      <c r="EJ223" s="12"/>
      <c r="EK223" s="12"/>
      <c r="EL223" s="12"/>
      <c r="EM223" s="12"/>
      <c r="EN223" s="12"/>
      <c r="EO223" s="12"/>
      <c r="EP223" s="12"/>
      <c r="EQ223" s="12"/>
      <c r="ER223" s="12"/>
      <c r="ES223" s="12"/>
      <c r="ET223" s="12"/>
      <c r="EU223" s="12"/>
      <c r="EV223" s="12"/>
      <c r="EW223" s="12"/>
      <c r="EX223" s="12"/>
      <c r="EY223" s="12"/>
      <c r="EZ223" s="12"/>
      <c r="FA223" s="12"/>
      <c r="FB223" s="12"/>
      <c r="FC223" s="12"/>
      <c r="FD223" s="12"/>
      <c r="FE223" s="12"/>
      <c r="FF223" s="12"/>
      <c r="FG223" s="12"/>
      <c r="FH223" s="12"/>
      <c r="FI223" s="12"/>
      <c r="FJ223" s="12"/>
      <c r="FK223" s="12"/>
      <c r="FL223" s="12"/>
      <c r="FM223" s="12"/>
      <c r="FN223" s="12"/>
      <c r="FO223" s="12"/>
      <c r="FP223" s="12"/>
      <c r="FQ223" s="12"/>
      <c r="FR223" s="12"/>
      <c r="FS223" s="12"/>
      <c r="FT223" s="12"/>
      <c r="FU223" s="12"/>
      <c r="FV223" s="12"/>
      <c r="FW223" s="12"/>
      <c r="FX223" s="12"/>
      <c r="FY223" s="12"/>
      <c r="FZ223" s="12"/>
      <c r="GA223" s="12"/>
      <c r="GB223" s="12"/>
      <c r="GC223" s="12"/>
      <c r="GD223" s="12"/>
      <c r="GE223" s="12"/>
      <c r="GF223" s="12"/>
      <c r="GG223" s="12"/>
      <c r="GH223" s="12"/>
      <c r="GI223" s="12"/>
      <c r="GJ223" s="12"/>
      <c r="GK223" s="12"/>
      <c r="GL223" s="12"/>
      <c r="GM223" s="12"/>
      <c r="GN223" s="12"/>
      <c r="GO223" s="12"/>
      <c r="GP223" s="12"/>
      <c r="GQ223" s="12"/>
      <c r="GR223" s="12"/>
      <c r="GS223" s="12"/>
      <c r="GT223" s="12"/>
      <c r="GU223" s="12"/>
      <c r="GV223" s="12"/>
      <c r="GW223" s="12"/>
      <c r="GX223" s="12"/>
      <c r="GY223" s="12"/>
      <c r="GZ223" s="12"/>
      <c r="HA223" s="12"/>
      <c r="HB223" s="12"/>
      <c r="HC223" s="12"/>
      <c r="HD223" s="12"/>
      <c r="HE223" s="12"/>
      <c r="HF223" s="12"/>
      <c r="HG223" s="12"/>
      <c r="HH223" s="12"/>
      <c r="HI223" s="12"/>
      <c r="HJ223" s="12"/>
      <c r="HK223" s="12"/>
      <c r="HL223" s="12"/>
      <c r="HM223" s="12"/>
      <c r="HN223" s="12"/>
      <c r="HO223" s="12"/>
      <c r="HP223" s="12"/>
      <c r="HQ223" s="12"/>
      <c r="HR223" s="12"/>
      <c r="HS223" s="12"/>
      <c r="HT223" s="12"/>
      <c r="HU223" s="12"/>
      <c r="HV223" s="12"/>
      <c r="HW223" s="12"/>
      <c r="HX223" s="12"/>
      <c r="HY223" s="12"/>
      <c r="HZ223" s="12"/>
      <c r="IA223" s="12"/>
      <c r="IB223" s="12"/>
      <c r="IC223" s="12"/>
      <c r="ID223" s="12"/>
      <c r="IE223" s="12"/>
      <c r="IF223" s="12"/>
      <c r="IG223" s="12"/>
      <c r="IH223" s="12"/>
      <c r="II223" s="12"/>
      <c r="IJ223" s="12"/>
      <c r="IK223" s="12"/>
      <c r="IL223" s="12"/>
      <c r="IM223" s="12"/>
      <c r="IN223" s="12"/>
      <c r="IO223" s="12"/>
      <c r="IP223" s="12"/>
      <c r="IQ223" s="12"/>
      <c r="IR223" s="12"/>
      <c r="IS223" s="12"/>
      <c r="IT223" s="12"/>
      <c r="IU223" s="12"/>
      <c r="IV223" s="12"/>
      <c r="IW223" s="12"/>
    </row>
    <row r="224" customFormat="false" ht="11.25" hidden="false" customHeight="false" outlineLevel="0" collapsed="false">
      <c r="A224" s="25" t="n">
        <f aca="false">DATE(YEAR(A223),MONTH(A223)+1,1)</f>
        <v>52536</v>
      </c>
      <c r="B224" s="21" t="n">
        <v>3.493</v>
      </c>
      <c r="C224" s="21" t="n">
        <v>3.593</v>
      </c>
      <c r="D224" s="25" t="n">
        <f aca="false">DATE(YEAR(D223),MONTH(D223)+1,1)</f>
        <v>52536</v>
      </c>
      <c r="E224" s="21" t="n">
        <v>20.642</v>
      </c>
      <c r="F224" s="21" t="n">
        <v>22.214</v>
      </c>
      <c r="G224" s="6"/>
      <c r="H224" s="22" t="n">
        <f aca="false">A224</f>
        <v>52536</v>
      </c>
      <c r="I224" s="23" t="n">
        <f aca="false">IF($J$1="bid",B224,C224)</f>
        <v>3.593</v>
      </c>
      <c r="J224" s="24" t="n">
        <f aca="false">D224</f>
        <v>52536</v>
      </c>
      <c r="K224" s="23" t="n">
        <f aca="false">IF($J$1="bid",E224,F224)</f>
        <v>22.214</v>
      </c>
      <c r="L224" s="11"/>
      <c r="M224" s="11"/>
      <c r="N224" s="11"/>
      <c r="O224" s="11"/>
      <c r="P224" s="11"/>
      <c r="Q224" s="11"/>
      <c r="R224" s="11"/>
      <c r="S224" s="11"/>
      <c r="T224" s="11"/>
      <c r="U224" s="11"/>
      <c r="V224" s="11"/>
      <c r="W224" s="11"/>
      <c r="X224" s="11"/>
      <c r="Y224" s="11"/>
      <c r="Z224" s="11"/>
      <c r="AA224" s="11"/>
      <c r="AB224" s="11"/>
      <c r="AC224" s="11"/>
      <c r="AD224" s="11"/>
      <c r="AE224" s="11"/>
      <c r="AF224" s="11"/>
      <c r="AG224" s="11"/>
      <c r="AH224" s="11"/>
      <c r="AI224" s="11"/>
      <c r="AJ224" s="11"/>
      <c r="AK224" s="11"/>
      <c r="AL224" s="11"/>
      <c r="AM224" s="11"/>
      <c r="AN224" s="11"/>
      <c r="AO224" s="11"/>
      <c r="AP224" s="11"/>
      <c r="AQ224" s="11"/>
      <c r="AR224" s="5"/>
      <c r="AS224" s="12"/>
      <c r="AT224" s="12"/>
      <c r="AU224" s="12"/>
      <c r="AV224" s="12"/>
      <c r="AW224" s="12"/>
      <c r="AX224" s="12"/>
      <c r="AY224" s="12"/>
      <c r="AZ224" s="12"/>
      <c r="BA224" s="12"/>
      <c r="BB224" s="12"/>
      <c r="BC224" s="12"/>
      <c r="BD224" s="12"/>
      <c r="BE224" s="12"/>
      <c r="BF224" s="12"/>
      <c r="BG224" s="12"/>
      <c r="BH224" s="12"/>
      <c r="BI224" s="12"/>
      <c r="BJ224" s="12"/>
      <c r="BK224" s="12"/>
      <c r="BL224" s="12"/>
      <c r="BM224" s="12"/>
      <c r="BN224" s="12"/>
      <c r="BO224" s="12"/>
      <c r="BP224" s="12"/>
      <c r="BQ224" s="12"/>
      <c r="BR224" s="12"/>
      <c r="BS224" s="12"/>
      <c r="BT224" s="12"/>
      <c r="BU224" s="12"/>
      <c r="BV224" s="12"/>
      <c r="BW224" s="12"/>
      <c r="BX224" s="12"/>
      <c r="BY224" s="12"/>
      <c r="BZ224" s="12"/>
      <c r="CA224" s="12"/>
      <c r="CB224" s="12"/>
      <c r="CC224" s="12"/>
      <c r="CD224" s="12"/>
      <c r="CE224" s="12"/>
      <c r="CF224" s="12"/>
      <c r="CG224" s="12"/>
      <c r="CH224" s="12"/>
      <c r="CI224" s="12"/>
      <c r="CJ224" s="12"/>
      <c r="CK224" s="12"/>
      <c r="CL224" s="12"/>
      <c r="CM224" s="12"/>
      <c r="CN224" s="12"/>
      <c r="CO224" s="12"/>
      <c r="CP224" s="12"/>
      <c r="CQ224" s="12"/>
      <c r="CR224" s="12"/>
      <c r="CS224" s="12"/>
      <c r="CT224" s="12"/>
      <c r="CU224" s="12"/>
      <c r="CV224" s="12"/>
      <c r="CW224" s="12"/>
      <c r="CX224" s="12"/>
      <c r="CY224" s="12"/>
      <c r="CZ224" s="12"/>
      <c r="DA224" s="12"/>
      <c r="DB224" s="12"/>
      <c r="DC224" s="12"/>
      <c r="DD224" s="12"/>
      <c r="DE224" s="12"/>
      <c r="DF224" s="12"/>
      <c r="DG224" s="12"/>
      <c r="DH224" s="12"/>
      <c r="DI224" s="12"/>
      <c r="DJ224" s="12"/>
      <c r="DK224" s="12"/>
      <c r="DL224" s="12"/>
      <c r="DM224" s="12"/>
      <c r="DN224" s="12"/>
      <c r="DO224" s="12"/>
      <c r="DP224" s="12"/>
      <c r="DQ224" s="12"/>
      <c r="DR224" s="12"/>
      <c r="DS224" s="12"/>
      <c r="DT224" s="12"/>
      <c r="DU224" s="12"/>
      <c r="DV224" s="12"/>
      <c r="DW224" s="12"/>
      <c r="DX224" s="12"/>
      <c r="DY224" s="12"/>
      <c r="DZ224" s="12"/>
      <c r="EA224" s="12"/>
      <c r="EB224" s="12"/>
      <c r="EC224" s="12"/>
      <c r="ED224" s="12"/>
      <c r="EE224" s="12"/>
      <c r="EF224" s="12"/>
      <c r="EG224" s="12"/>
      <c r="EH224" s="12"/>
      <c r="EI224" s="12"/>
      <c r="EJ224" s="12"/>
      <c r="EK224" s="12"/>
      <c r="EL224" s="12"/>
      <c r="EM224" s="12"/>
      <c r="EN224" s="12"/>
      <c r="EO224" s="12"/>
      <c r="EP224" s="12"/>
      <c r="EQ224" s="12"/>
      <c r="ER224" s="12"/>
      <c r="ES224" s="12"/>
      <c r="ET224" s="12"/>
      <c r="EU224" s="12"/>
      <c r="EV224" s="12"/>
      <c r="EW224" s="12"/>
      <c r="EX224" s="12"/>
      <c r="EY224" s="12"/>
      <c r="EZ224" s="12"/>
      <c r="FA224" s="12"/>
      <c r="FB224" s="12"/>
      <c r="FC224" s="12"/>
      <c r="FD224" s="12"/>
      <c r="FE224" s="12"/>
      <c r="FF224" s="12"/>
      <c r="FG224" s="12"/>
      <c r="FH224" s="12"/>
      <c r="FI224" s="12"/>
      <c r="FJ224" s="12"/>
      <c r="FK224" s="12"/>
      <c r="FL224" s="12"/>
      <c r="FM224" s="12"/>
      <c r="FN224" s="12"/>
      <c r="FO224" s="12"/>
      <c r="FP224" s="12"/>
      <c r="FQ224" s="12"/>
      <c r="FR224" s="12"/>
      <c r="FS224" s="12"/>
      <c r="FT224" s="12"/>
      <c r="FU224" s="12"/>
      <c r="FV224" s="12"/>
      <c r="FW224" s="12"/>
      <c r="FX224" s="12"/>
      <c r="FY224" s="12"/>
      <c r="FZ224" s="12"/>
      <c r="GA224" s="12"/>
      <c r="GB224" s="12"/>
      <c r="GC224" s="12"/>
      <c r="GD224" s="12"/>
      <c r="GE224" s="12"/>
      <c r="GF224" s="12"/>
      <c r="GG224" s="12"/>
      <c r="GH224" s="12"/>
      <c r="GI224" s="12"/>
      <c r="GJ224" s="12"/>
      <c r="GK224" s="12"/>
      <c r="GL224" s="12"/>
      <c r="GM224" s="12"/>
      <c r="GN224" s="12"/>
      <c r="GO224" s="12"/>
      <c r="GP224" s="12"/>
      <c r="GQ224" s="12"/>
      <c r="GR224" s="12"/>
      <c r="GS224" s="12"/>
      <c r="GT224" s="12"/>
      <c r="GU224" s="12"/>
      <c r="GV224" s="12"/>
      <c r="GW224" s="12"/>
      <c r="GX224" s="12"/>
      <c r="GY224" s="12"/>
      <c r="GZ224" s="12"/>
      <c r="HA224" s="12"/>
      <c r="HB224" s="12"/>
      <c r="HC224" s="12"/>
      <c r="HD224" s="12"/>
      <c r="HE224" s="12"/>
      <c r="HF224" s="12"/>
      <c r="HG224" s="12"/>
      <c r="HH224" s="12"/>
      <c r="HI224" s="12"/>
      <c r="HJ224" s="12"/>
      <c r="HK224" s="12"/>
      <c r="HL224" s="12"/>
      <c r="HM224" s="12"/>
      <c r="HN224" s="12"/>
      <c r="HO224" s="12"/>
      <c r="HP224" s="12"/>
      <c r="HQ224" s="12"/>
      <c r="HR224" s="12"/>
      <c r="HS224" s="12"/>
      <c r="HT224" s="12"/>
      <c r="HU224" s="12"/>
      <c r="HV224" s="12"/>
      <c r="HW224" s="12"/>
      <c r="HX224" s="12"/>
      <c r="HY224" s="12"/>
      <c r="HZ224" s="12"/>
      <c r="IA224" s="12"/>
      <c r="IB224" s="12"/>
      <c r="IC224" s="12"/>
      <c r="ID224" s="12"/>
      <c r="IE224" s="12"/>
      <c r="IF224" s="12"/>
      <c r="IG224" s="12"/>
      <c r="IH224" s="12"/>
      <c r="II224" s="12"/>
      <c r="IJ224" s="12"/>
      <c r="IK224" s="12"/>
      <c r="IL224" s="12"/>
      <c r="IM224" s="12"/>
      <c r="IN224" s="12"/>
      <c r="IO224" s="12"/>
      <c r="IP224" s="12"/>
      <c r="IQ224" s="12"/>
      <c r="IR224" s="12"/>
      <c r="IS224" s="12"/>
      <c r="IT224" s="12"/>
      <c r="IU224" s="12"/>
      <c r="IV224" s="12"/>
      <c r="IW224" s="12"/>
    </row>
    <row r="225" customFormat="false" ht="11.25" hidden="false" customHeight="false" outlineLevel="0" collapsed="false">
      <c r="A225" s="25" t="n">
        <f aca="false">DATE(YEAR(A224),MONTH(A224)+1,1)</f>
        <v>52566</v>
      </c>
      <c r="B225" s="21" t="n">
        <v>3.408</v>
      </c>
      <c r="C225" s="21" t="n">
        <v>3.508</v>
      </c>
      <c r="D225" s="25" t="n">
        <f aca="false">DATE(YEAR(D224),MONTH(D224)+1,1)</f>
        <v>52566</v>
      </c>
      <c r="E225" s="21" t="n">
        <v>20.661</v>
      </c>
      <c r="F225" s="21" t="n">
        <v>22.241</v>
      </c>
      <c r="G225" s="6"/>
      <c r="H225" s="22" t="n">
        <f aca="false">A225</f>
        <v>52566</v>
      </c>
      <c r="I225" s="23" t="n">
        <f aca="false">IF($J$1="bid",B225,C225)</f>
        <v>3.508</v>
      </c>
      <c r="J225" s="24" t="n">
        <f aca="false">D225</f>
        <v>52566</v>
      </c>
      <c r="K225" s="23" t="n">
        <f aca="false">IF($J$1="bid",E225,F225)</f>
        <v>22.241</v>
      </c>
      <c r="L225" s="11"/>
      <c r="M225" s="11"/>
      <c r="N225" s="11"/>
      <c r="O225" s="11"/>
      <c r="P225" s="11"/>
      <c r="Q225" s="11"/>
      <c r="R225" s="11"/>
      <c r="S225" s="11"/>
      <c r="T225" s="11"/>
      <c r="U225" s="11"/>
      <c r="V225" s="11"/>
      <c r="W225" s="11"/>
      <c r="X225" s="11"/>
      <c r="Y225" s="11"/>
      <c r="Z225" s="11"/>
      <c r="AA225" s="11"/>
      <c r="AB225" s="11"/>
      <c r="AC225" s="11"/>
      <c r="AD225" s="11"/>
      <c r="AE225" s="11"/>
      <c r="AF225" s="11"/>
      <c r="AG225" s="11"/>
      <c r="AH225" s="11"/>
      <c r="AI225" s="11"/>
      <c r="AJ225" s="11"/>
      <c r="AK225" s="11"/>
      <c r="AL225" s="11"/>
      <c r="AM225" s="11"/>
      <c r="AN225" s="11"/>
      <c r="AO225" s="11"/>
      <c r="AP225" s="11"/>
      <c r="AQ225" s="11"/>
      <c r="AR225" s="5"/>
      <c r="AS225" s="12"/>
      <c r="AT225" s="12"/>
      <c r="AU225" s="12"/>
      <c r="AV225" s="12"/>
      <c r="AW225" s="12"/>
      <c r="AX225" s="12"/>
      <c r="AY225" s="12"/>
      <c r="AZ225" s="12"/>
      <c r="BA225" s="12"/>
      <c r="BB225" s="12"/>
      <c r="BC225" s="12"/>
      <c r="BD225" s="12"/>
      <c r="BE225" s="12"/>
      <c r="BF225" s="12"/>
      <c r="BG225" s="12"/>
      <c r="BH225" s="12"/>
      <c r="BI225" s="12"/>
      <c r="BJ225" s="12"/>
      <c r="BK225" s="12"/>
      <c r="BL225" s="12"/>
      <c r="BM225" s="12"/>
      <c r="BN225" s="12"/>
      <c r="BO225" s="12"/>
      <c r="BP225" s="12"/>
      <c r="BQ225" s="12"/>
      <c r="BR225" s="12"/>
      <c r="BS225" s="12"/>
      <c r="BT225" s="12"/>
      <c r="BU225" s="12"/>
      <c r="BV225" s="12"/>
      <c r="BW225" s="12"/>
      <c r="BX225" s="12"/>
      <c r="BY225" s="12"/>
      <c r="BZ225" s="12"/>
      <c r="CA225" s="12"/>
      <c r="CB225" s="12"/>
      <c r="CC225" s="12"/>
      <c r="CD225" s="12"/>
      <c r="CE225" s="12"/>
      <c r="CF225" s="12"/>
      <c r="CG225" s="12"/>
      <c r="CH225" s="12"/>
      <c r="CI225" s="12"/>
      <c r="CJ225" s="12"/>
      <c r="CK225" s="12"/>
      <c r="CL225" s="12"/>
      <c r="CM225" s="12"/>
      <c r="CN225" s="12"/>
      <c r="CO225" s="12"/>
      <c r="CP225" s="12"/>
      <c r="CQ225" s="12"/>
      <c r="CR225" s="12"/>
      <c r="CS225" s="12"/>
      <c r="CT225" s="12"/>
      <c r="CU225" s="12"/>
      <c r="CV225" s="12"/>
      <c r="CW225" s="12"/>
      <c r="CX225" s="12"/>
      <c r="CY225" s="12"/>
      <c r="CZ225" s="12"/>
      <c r="DA225" s="12"/>
      <c r="DB225" s="12"/>
      <c r="DC225" s="12"/>
      <c r="DD225" s="12"/>
      <c r="DE225" s="12"/>
      <c r="DF225" s="12"/>
      <c r="DG225" s="12"/>
      <c r="DH225" s="12"/>
      <c r="DI225" s="12"/>
      <c r="DJ225" s="12"/>
      <c r="DK225" s="12"/>
      <c r="DL225" s="12"/>
      <c r="DM225" s="12"/>
      <c r="DN225" s="12"/>
      <c r="DO225" s="12"/>
      <c r="DP225" s="12"/>
      <c r="DQ225" s="12"/>
      <c r="DR225" s="12"/>
      <c r="DS225" s="12"/>
      <c r="DT225" s="12"/>
      <c r="DU225" s="12"/>
      <c r="DV225" s="12"/>
      <c r="DW225" s="12"/>
      <c r="DX225" s="12"/>
      <c r="DY225" s="12"/>
      <c r="DZ225" s="12"/>
      <c r="EA225" s="12"/>
      <c r="EB225" s="12"/>
      <c r="EC225" s="12"/>
      <c r="ED225" s="12"/>
      <c r="EE225" s="12"/>
      <c r="EF225" s="12"/>
      <c r="EG225" s="12"/>
      <c r="EH225" s="12"/>
      <c r="EI225" s="12"/>
      <c r="EJ225" s="12"/>
      <c r="EK225" s="12"/>
      <c r="EL225" s="12"/>
      <c r="EM225" s="12"/>
      <c r="EN225" s="12"/>
      <c r="EO225" s="12"/>
      <c r="EP225" s="12"/>
      <c r="EQ225" s="12"/>
      <c r="ER225" s="12"/>
      <c r="ES225" s="12"/>
      <c r="ET225" s="12"/>
      <c r="EU225" s="12"/>
      <c r="EV225" s="12"/>
      <c r="EW225" s="12"/>
      <c r="EX225" s="12"/>
      <c r="EY225" s="12"/>
      <c r="EZ225" s="12"/>
      <c r="FA225" s="12"/>
      <c r="FB225" s="12"/>
      <c r="FC225" s="12"/>
      <c r="FD225" s="12"/>
      <c r="FE225" s="12"/>
      <c r="FF225" s="12"/>
      <c r="FG225" s="12"/>
      <c r="FH225" s="12"/>
      <c r="FI225" s="12"/>
      <c r="FJ225" s="12"/>
      <c r="FK225" s="12"/>
      <c r="FL225" s="12"/>
      <c r="FM225" s="12"/>
      <c r="FN225" s="12"/>
      <c r="FO225" s="12"/>
      <c r="FP225" s="12"/>
      <c r="FQ225" s="12"/>
      <c r="FR225" s="12"/>
      <c r="FS225" s="12"/>
      <c r="FT225" s="12"/>
      <c r="FU225" s="12"/>
      <c r="FV225" s="12"/>
      <c r="FW225" s="12"/>
      <c r="FX225" s="12"/>
      <c r="FY225" s="12"/>
      <c r="FZ225" s="12"/>
      <c r="GA225" s="12"/>
      <c r="GB225" s="12"/>
      <c r="GC225" s="12"/>
      <c r="GD225" s="12"/>
      <c r="GE225" s="12"/>
      <c r="GF225" s="12"/>
      <c r="GG225" s="12"/>
      <c r="GH225" s="12"/>
      <c r="GI225" s="12"/>
      <c r="GJ225" s="12"/>
      <c r="GK225" s="12"/>
      <c r="GL225" s="12"/>
      <c r="GM225" s="12"/>
      <c r="GN225" s="12"/>
      <c r="GO225" s="12"/>
      <c r="GP225" s="12"/>
      <c r="GQ225" s="12"/>
      <c r="GR225" s="12"/>
      <c r="GS225" s="12"/>
      <c r="GT225" s="12"/>
      <c r="GU225" s="12"/>
      <c r="GV225" s="12"/>
      <c r="GW225" s="12"/>
      <c r="GX225" s="12"/>
      <c r="GY225" s="12"/>
      <c r="GZ225" s="12"/>
      <c r="HA225" s="12"/>
      <c r="HB225" s="12"/>
      <c r="HC225" s="12"/>
      <c r="HD225" s="12"/>
      <c r="HE225" s="12"/>
      <c r="HF225" s="12"/>
      <c r="HG225" s="12"/>
      <c r="HH225" s="12"/>
      <c r="HI225" s="12"/>
      <c r="HJ225" s="12"/>
      <c r="HK225" s="12"/>
      <c r="HL225" s="12"/>
      <c r="HM225" s="12"/>
      <c r="HN225" s="12"/>
      <c r="HO225" s="12"/>
      <c r="HP225" s="12"/>
      <c r="HQ225" s="12"/>
      <c r="HR225" s="12"/>
      <c r="HS225" s="12"/>
      <c r="HT225" s="12"/>
      <c r="HU225" s="12"/>
      <c r="HV225" s="12"/>
      <c r="HW225" s="12"/>
      <c r="HX225" s="12"/>
      <c r="HY225" s="12"/>
      <c r="HZ225" s="12"/>
      <c r="IA225" s="12"/>
      <c r="IB225" s="12"/>
      <c r="IC225" s="12"/>
      <c r="ID225" s="12"/>
      <c r="IE225" s="12"/>
      <c r="IF225" s="12"/>
      <c r="IG225" s="12"/>
      <c r="IH225" s="12"/>
      <c r="II225" s="12"/>
      <c r="IJ225" s="12"/>
      <c r="IK225" s="12"/>
      <c r="IL225" s="12"/>
      <c r="IM225" s="12"/>
      <c r="IN225" s="12"/>
      <c r="IO225" s="12"/>
      <c r="IP225" s="12"/>
      <c r="IQ225" s="12"/>
      <c r="IR225" s="12"/>
      <c r="IS225" s="12"/>
      <c r="IT225" s="12"/>
      <c r="IU225" s="12"/>
      <c r="IV225" s="12"/>
      <c r="IW225" s="12"/>
    </row>
    <row r="226" customFormat="false" ht="11.25" hidden="false" customHeight="false" outlineLevel="0" collapsed="false">
      <c r="A226" s="25" t="n">
        <f aca="false">DATE(YEAR(A225),MONTH(A225)+1,1)</f>
        <v>52597</v>
      </c>
      <c r="B226" s="21" t="n">
        <v>3.342</v>
      </c>
      <c r="C226" s="21" t="n">
        <v>3.442</v>
      </c>
      <c r="D226" s="25" t="n">
        <f aca="false">DATE(YEAR(D225),MONTH(D225)+1,1)</f>
        <v>52597</v>
      </c>
      <c r="E226" s="21" t="n">
        <v>20.676</v>
      </c>
      <c r="F226" s="21" t="n">
        <v>22.264</v>
      </c>
      <c r="G226" s="6"/>
      <c r="H226" s="22" t="n">
        <f aca="false">A226</f>
        <v>52597</v>
      </c>
      <c r="I226" s="23" t="n">
        <f aca="false">IF($J$1="bid",B226,C226)</f>
        <v>3.442</v>
      </c>
      <c r="J226" s="24" t="n">
        <f aca="false">D226</f>
        <v>52597</v>
      </c>
      <c r="K226" s="23" t="n">
        <f aca="false">IF($J$1="bid",E226,F226)</f>
        <v>22.264</v>
      </c>
      <c r="L226" s="11"/>
      <c r="M226" s="11"/>
      <c r="N226" s="11"/>
      <c r="O226" s="11"/>
      <c r="P226" s="11"/>
      <c r="Q226" s="11"/>
      <c r="R226" s="11"/>
      <c r="S226" s="11"/>
      <c r="T226" s="11"/>
      <c r="U226" s="11"/>
      <c r="V226" s="11"/>
      <c r="W226" s="11"/>
      <c r="X226" s="11"/>
      <c r="Y226" s="11"/>
      <c r="Z226" s="11"/>
      <c r="AA226" s="11"/>
      <c r="AB226" s="11"/>
      <c r="AC226" s="11"/>
      <c r="AD226" s="11"/>
      <c r="AE226" s="11"/>
      <c r="AF226" s="11"/>
      <c r="AG226" s="11"/>
      <c r="AH226" s="11"/>
      <c r="AI226" s="11"/>
      <c r="AJ226" s="11"/>
      <c r="AK226" s="11"/>
      <c r="AL226" s="11"/>
      <c r="AM226" s="11"/>
      <c r="AN226" s="11"/>
      <c r="AO226" s="11"/>
      <c r="AP226" s="11"/>
      <c r="AQ226" s="11"/>
      <c r="AR226" s="5"/>
      <c r="AS226" s="12"/>
      <c r="AT226" s="12"/>
      <c r="AU226" s="12"/>
      <c r="AV226" s="12"/>
      <c r="AW226" s="12"/>
      <c r="AX226" s="12"/>
      <c r="AY226" s="12"/>
      <c r="AZ226" s="12"/>
      <c r="BA226" s="12"/>
      <c r="BB226" s="12"/>
      <c r="BC226" s="12"/>
      <c r="BD226" s="12"/>
      <c r="BE226" s="12"/>
      <c r="BF226" s="12"/>
      <c r="BG226" s="12"/>
      <c r="BH226" s="12"/>
      <c r="BI226" s="12"/>
      <c r="BJ226" s="12"/>
      <c r="BK226" s="12"/>
      <c r="BL226" s="12"/>
      <c r="BM226" s="12"/>
      <c r="BN226" s="12"/>
      <c r="BO226" s="12"/>
      <c r="BP226" s="12"/>
      <c r="BQ226" s="12"/>
      <c r="BR226" s="12"/>
      <c r="BS226" s="12"/>
      <c r="BT226" s="12"/>
      <c r="BU226" s="12"/>
      <c r="BV226" s="12"/>
      <c r="BW226" s="12"/>
      <c r="BX226" s="12"/>
      <c r="BY226" s="12"/>
      <c r="BZ226" s="12"/>
      <c r="CA226" s="12"/>
      <c r="CB226" s="12"/>
      <c r="CC226" s="12"/>
      <c r="CD226" s="12"/>
      <c r="CE226" s="12"/>
      <c r="CF226" s="12"/>
      <c r="CG226" s="12"/>
      <c r="CH226" s="12"/>
      <c r="CI226" s="12"/>
      <c r="CJ226" s="12"/>
      <c r="CK226" s="12"/>
      <c r="CL226" s="12"/>
      <c r="CM226" s="12"/>
      <c r="CN226" s="12"/>
      <c r="CO226" s="12"/>
      <c r="CP226" s="12"/>
      <c r="CQ226" s="12"/>
      <c r="CR226" s="12"/>
      <c r="CS226" s="12"/>
      <c r="CT226" s="12"/>
      <c r="CU226" s="12"/>
      <c r="CV226" s="12"/>
      <c r="CW226" s="12"/>
      <c r="CX226" s="12"/>
      <c r="CY226" s="12"/>
      <c r="CZ226" s="12"/>
      <c r="DA226" s="12"/>
      <c r="DB226" s="12"/>
      <c r="DC226" s="12"/>
      <c r="DD226" s="12"/>
      <c r="DE226" s="12"/>
      <c r="DF226" s="12"/>
      <c r="DG226" s="12"/>
      <c r="DH226" s="12"/>
      <c r="DI226" s="12"/>
      <c r="DJ226" s="12"/>
      <c r="DK226" s="12"/>
      <c r="DL226" s="12"/>
      <c r="DM226" s="12"/>
      <c r="DN226" s="12"/>
      <c r="DO226" s="12"/>
      <c r="DP226" s="12"/>
      <c r="DQ226" s="12"/>
      <c r="DR226" s="12"/>
      <c r="DS226" s="12"/>
      <c r="DT226" s="12"/>
      <c r="DU226" s="12"/>
      <c r="DV226" s="12"/>
      <c r="DW226" s="12"/>
      <c r="DX226" s="12"/>
      <c r="DY226" s="12"/>
      <c r="DZ226" s="12"/>
      <c r="EA226" s="12"/>
      <c r="EB226" s="12"/>
      <c r="EC226" s="12"/>
      <c r="ED226" s="12"/>
      <c r="EE226" s="12"/>
      <c r="EF226" s="12"/>
      <c r="EG226" s="12"/>
      <c r="EH226" s="12"/>
      <c r="EI226" s="12"/>
      <c r="EJ226" s="12"/>
      <c r="EK226" s="12"/>
      <c r="EL226" s="12"/>
      <c r="EM226" s="12"/>
      <c r="EN226" s="12"/>
      <c r="EO226" s="12"/>
      <c r="EP226" s="12"/>
      <c r="EQ226" s="12"/>
      <c r="ER226" s="12"/>
      <c r="ES226" s="12"/>
      <c r="ET226" s="12"/>
      <c r="EU226" s="12"/>
      <c r="EV226" s="12"/>
      <c r="EW226" s="12"/>
      <c r="EX226" s="12"/>
      <c r="EY226" s="12"/>
      <c r="EZ226" s="12"/>
      <c r="FA226" s="12"/>
      <c r="FB226" s="12"/>
      <c r="FC226" s="12"/>
      <c r="FD226" s="12"/>
      <c r="FE226" s="12"/>
      <c r="FF226" s="12"/>
      <c r="FG226" s="12"/>
      <c r="FH226" s="12"/>
      <c r="FI226" s="12"/>
      <c r="FJ226" s="12"/>
      <c r="FK226" s="12"/>
      <c r="FL226" s="12"/>
      <c r="FM226" s="12"/>
      <c r="FN226" s="12"/>
      <c r="FO226" s="12"/>
      <c r="FP226" s="12"/>
      <c r="FQ226" s="12"/>
      <c r="FR226" s="12"/>
      <c r="FS226" s="12"/>
      <c r="FT226" s="12"/>
      <c r="FU226" s="12"/>
      <c r="FV226" s="12"/>
      <c r="FW226" s="12"/>
      <c r="FX226" s="12"/>
      <c r="FY226" s="12"/>
      <c r="FZ226" s="12"/>
      <c r="GA226" s="12"/>
      <c r="GB226" s="12"/>
      <c r="GC226" s="12"/>
      <c r="GD226" s="12"/>
      <c r="GE226" s="12"/>
      <c r="GF226" s="12"/>
      <c r="GG226" s="12"/>
      <c r="GH226" s="12"/>
      <c r="GI226" s="12"/>
      <c r="GJ226" s="12"/>
      <c r="GK226" s="12"/>
      <c r="GL226" s="12"/>
      <c r="GM226" s="12"/>
      <c r="GN226" s="12"/>
      <c r="GO226" s="12"/>
      <c r="GP226" s="12"/>
      <c r="GQ226" s="12"/>
      <c r="GR226" s="12"/>
      <c r="GS226" s="12"/>
      <c r="GT226" s="12"/>
      <c r="GU226" s="12"/>
      <c r="GV226" s="12"/>
      <c r="GW226" s="12"/>
      <c r="GX226" s="12"/>
      <c r="GY226" s="12"/>
      <c r="GZ226" s="12"/>
      <c r="HA226" s="12"/>
      <c r="HB226" s="12"/>
      <c r="HC226" s="12"/>
      <c r="HD226" s="12"/>
      <c r="HE226" s="12"/>
      <c r="HF226" s="12"/>
      <c r="HG226" s="12"/>
      <c r="HH226" s="12"/>
      <c r="HI226" s="12"/>
      <c r="HJ226" s="12"/>
      <c r="HK226" s="12"/>
      <c r="HL226" s="12"/>
      <c r="HM226" s="12"/>
      <c r="HN226" s="12"/>
      <c r="HO226" s="12"/>
      <c r="HP226" s="12"/>
      <c r="HQ226" s="12"/>
      <c r="HR226" s="12"/>
      <c r="HS226" s="12"/>
      <c r="HT226" s="12"/>
      <c r="HU226" s="12"/>
      <c r="HV226" s="12"/>
      <c r="HW226" s="12"/>
      <c r="HX226" s="12"/>
      <c r="HY226" s="12"/>
      <c r="HZ226" s="12"/>
      <c r="IA226" s="12"/>
      <c r="IB226" s="12"/>
      <c r="IC226" s="12"/>
      <c r="ID226" s="12"/>
      <c r="IE226" s="12"/>
      <c r="IF226" s="12"/>
      <c r="IG226" s="12"/>
      <c r="IH226" s="12"/>
      <c r="II226" s="12"/>
      <c r="IJ226" s="12"/>
      <c r="IK226" s="12"/>
      <c r="IL226" s="12"/>
      <c r="IM226" s="12"/>
      <c r="IN226" s="12"/>
      <c r="IO226" s="12"/>
      <c r="IP226" s="12"/>
      <c r="IQ226" s="12"/>
      <c r="IR226" s="12"/>
      <c r="IS226" s="12"/>
      <c r="IT226" s="12"/>
      <c r="IU226" s="12"/>
      <c r="IV226" s="12"/>
      <c r="IW226" s="12"/>
    </row>
    <row r="227" customFormat="false" ht="11.25" hidden="false" customHeight="false" outlineLevel="0" collapsed="false">
      <c r="A227" s="25" t="n">
        <f aca="false">DATE(YEAR(A226),MONTH(A226)+1,1)</f>
        <v>52628</v>
      </c>
      <c r="B227" s="21" t="n">
        <v>3.293</v>
      </c>
      <c r="C227" s="21" t="n">
        <v>3.393</v>
      </c>
      <c r="D227" s="25" t="n">
        <f aca="false">DATE(YEAR(D226),MONTH(D226)+1,1)</f>
        <v>52628</v>
      </c>
      <c r="E227" s="21" t="n">
        <v>20.692</v>
      </c>
      <c r="F227" s="21" t="n">
        <v>22.288</v>
      </c>
      <c r="G227" s="6"/>
      <c r="H227" s="22" t="n">
        <f aca="false">A227</f>
        <v>52628</v>
      </c>
      <c r="I227" s="23" t="n">
        <f aca="false">IF($J$1="bid",B227,C227)</f>
        <v>3.393</v>
      </c>
      <c r="J227" s="24" t="n">
        <f aca="false">D227</f>
        <v>52628</v>
      </c>
      <c r="K227" s="23" t="n">
        <f aca="false">IF($J$1="bid",E227,F227)</f>
        <v>22.288</v>
      </c>
      <c r="L227" s="11"/>
      <c r="M227" s="11"/>
      <c r="N227" s="11"/>
      <c r="O227" s="11"/>
      <c r="P227" s="11"/>
      <c r="Q227" s="11"/>
      <c r="R227" s="11"/>
      <c r="S227" s="11"/>
      <c r="T227" s="11"/>
      <c r="U227" s="11"/>
      <c r="V227" s="11"/>
      <c r="W227" s="11"/>
      <c r="X227" s="11"/>
      <c r="Y227" s="11"/>
      <c r="Z227" s="11"/>
      <c r="AA227" s="11"/>
      <c r="AB227" s="11"/>
      <c r="AC227" s="11"/>
      <c r="AD227" s="11"/>
      <c r="AE227" s="11"/>
      <c r="AF227" s="11"/>
      <c r="AG227" s="11"/>
      <c r="AH227" s="11"/>
      <c r="AI227" s="11"/>
      <c r="AJ227" s="11"/>
      <c r="AK227" s="11"/>
      <c r="AL227" s="11"/>
      <c r="AM227" s="11"/>
      <c r="AN227" s="11"/>
      <c r="AO227" s="11"/>
      <c r="AP227" s="11"/>
      <c r="AQ227" s="11"/>
      <c r="AR227" s="5"/>
      <c r="AS227" s="12"/>
      <c r="AT227" s="12"/>
      <c r="AU227" s="12"/>
      <c r="AV227" s="12"/>
      <c r="AW227" s="12"/>
      <c r="AX227" s="12"/>
      <c r="AY227" s="12"/>
      <c r="AZ227" s="12"/>
      <c r="BA227" s="12"/>
      <c r="BB227" s="12"/>
      <c r="BC227" s="12"/>
      <c r="BD227" s="12"/>
      <c r="BE227" s="12"/>
      <c r="BF227" s="12"/>
      <c r="BG227" s="12"/>
      <c r="BH227" s="12"/>
      <c r="BI227" s="12"/>
      <c r="BJ227" s="12"/>
      <c r="BK227" s="12"/>
      <c r="BL227" s="12"/>
      <c r="BM227" s="12"/>
      <c r="BN227" s="12"/>
      <c r="BO227" s="12"/>
      <c r="BP227" s="12"/>
      <c r="BQ227" s="12"/>
      <c r="BR227" s="12"/>
      <c r="BS227" s="12"/>
      <c r="BT227" s="12"/>
      <c r="BU227" s="12"/>
      <c r="BV227" s="12"/>
      <c r="BW227" s="12"/>
      <c r="BX227" s="12"/>
      <c r="BY227" s="12"/>
      <c r="BZ227" s="12"/>
      <c r="CA227" s="12"/>
      <c r="CB227" s="12"/>
      <c r="CC227" s="12"/>
      <c r="CD227" s="12"/>
      <c r="CE227" s="12"/>
      <c r="CF227" s="12"/>
      <c r="CG227" s="12"/>
      <c r="CH227" s="12"/>
      <c r="CI227" s="12"/>
      <c r="CJ227" s="12"/>
      <c r="CK227" s="12"/>
      <c r="CL227" s="12"/>
      <c r="CM227" s="12"/>
      <c r="CN227" s="12"/>
      <c r="CO227" s="12"/>
      <c r="CP227" s="12"/>
      <c r="CQ227" s="12"/>
      <c r="CR227" s="12"/>
      <c r="CS227" s="12"/>
      <c r="CT227" s="12"/>
      <c r="CU227" s="12"/>
      <c r="CV227" s="12"/>
      <c r="CW227" s="12"/>
      <c r="CX227" s="12"/>
      <c r="CY227" s="12"/>
      <c r="CZ227" s="12"/>
      <c r="DA227" s="12"/>
      <c r="DB227" s="12"/>
      <c r="DC227" s="12"/>
      <c r="DD227" s="12"/>
      <c r="DE227" s="12"/>
      <c r="DF227" s="12"/>
      <c r="DG227" s="12"/>
      <c r="DH227" s="12"/>
      <c r="DI227" s="12"/>
      <c r="DJ227" s="12"/>
      <c r="DK227" s="12"/>
      <c r="DL227" s="12"/>
      <c r="DM227" s="12"/>
      <c r="DN227" s="12"/>
      <c r="DO227" s="12"/>
      <c r="DP227" s="12"/>
      <c r="DQ227" s="12"/>
      <c r="DR227" s="12"/>
      <c r="DS227" s="12"/>
      <c r="DT227" s="12"/>
      <c r="DU227" s="12"/>
      <c r="DV227" s="12"/>
      <c r="DW227" s="12"/>
      <c r="DX227" s="12"/>
      <c r="DY227" s="12"/>
      <c r="DZ227" s="12"/>
      <c r="EA227" s="12"/>
      <c r="EB227" s="12"/>
      <c r="EC227" s="12"/>
      <c r="ED227" s="12"/>
      <c r="EE227" s="12"/>
      <c r="EF227" s="12"/>
      <c r="EG227" s="12"/>
      <c r="EH227" s="12"/>
      <c r="EI227" s="12"/>
      <c r="EJ227" s="12"/>
      <c r="EK227" s="12"/>
      <c r="EL227" s="12"/>
      <c r="EM227" s="12"/>
      <c r="EN227" s="12"/>
      <c r="EO227" s="12"/>
      <c r="EP227" s="12"/>
      <c r="EQ227" s="12"/>
      <c r="ER227" s="12"/>
      <c r="ES227" s="12"/>
      <c r="ET227" s="12"/>
      <c r="EU227" s="12"/>
      <c r="EV227" s="12"/>
      <c r="EW227" s="12"/>
      <c r="EX227" s="12"/>
      <c r="EY227" s="12"/>
      <c r="EZ227" s="12"/>
      <c r="FA227" s="12"/>
      <c r="FB227" s="12"/>
      <c r="FC227" s="12"/>
      <c r="FD227" s="12"/>
      <c r="FE227" s="12"/>
      <c r="FF227" s="12"/>
      <c r="FG227" s="12"/>
      <c r="FH227" s="12"/>
      <c r="FI227" s="12"/>
      <c r="FJ227" s="12"/>
      <c r="FK227" s="12"/>
      <c r="FL227" s="12"/>
      <c r="FM227" s="12"/>
      <c r="FN227" s="12"/>
      <c r="FO227" s="12"/>
      <c r="FP227" s="12"/>
      <c r="FQ227" s="12"/>
      <c r="FR227" s="12"/>
      <c r="FS227" s="12"/>
      <c r="FT227" s="12"/>
      <c r="FU227" s="12"/>
      <c r="FV227" s="12"/>
      <c r="FW227" s="12"/>
      <c r="FX227" s="12"/>
      <c r="FY227" s="12"/>
      <c r="FZ227" s="12"/>
      <c r="GA227" s="12"/>
      <c r="GB227" s="12"/>
      <c r="GC227" s="12"/>
      <c r="GD227" s="12"/>
      <c r="GE227" s="12"/>
      <c r="GF227" s="12"/>
      <c r="GG227" s="12"/>
      <c r="GH227" s="12"/>
      <c r="GI227" s="12"/>
      <c r="GJ227" s="12"/>
      <c r="GK227" s="12"/>
      <c r="GL227" s="12"/>
      <c r="GM227" s="12"/>
      <c r="GN227" s="12"/>
      <c r="GO227" s="12"/>
      <c r="GP227" s="12"/>
      <c r="GQ227" s="12"/>
      <c r="GR227" s="12"/>
      <c r="GS227" s="12"/>
      <c r="GT227" s="12"/>
      <c r="GU227" s="12"/>
      <c r="GV227" s="12"/>
      <c r="GW227" s="12"/>
      <c r="GX227" s="12"/>
      <c r="GY227" s="12"/>
      <c r="GZ227" s="12"/>
      <c r="HA227" s="12"/>
      <c r="HB227" s="12"/>
      <c r="HC227" s="12"/>
      <c r="HD227" s="12"/>
      <c r="HE227" s="12"/>
      <c r="HF227" s="12"/>
      <c r="HG227" s="12"/>
      <c r="HH227" s="12"/>
      <c r="HI227" s="12"/>
      <c r="HJ227" s="12"/>
      <c r="HK227" s="12"/>
      <c r="HL227" s="12"/>
      <c r="HM227" s="12"/>
      <c r="HN227" s="12"/>
      <c r="HO227" s="12"/>
      <c r="HP227" s="12"/>
      <c r="HQ227" s="12"/>
      <c r="HR227" s="12"/>
      <c r="HS227" s="12"/>
      <c r="HT227" s="12"/>
      <c r="HU227" s="12"/>
      <c r="HV227" s="12"/>
      <c r="HW227" s="12"/>
      <c r="HX227" s="12"/>
      <c r="HY227" s="12"/>
      <c r="HZ227" s="12"/>
      <c r="IA227" s="12"/>
      <c r="IB227" s="12"/>
      <c r="IC227" s="12"/>
      <c r="ID227" s="12"/>
      <c r="IE227" s="12"/>
      <c r="IF227" s="12"/>
      <c r="IG227" s="12"/>
      <c r="IH227" s="12"/>
      <c r="II227" s="12"/>
      <c r="IJ227" s="12"/>
      <c r="IK227" s="12"/>
      <c r="IL227" s="12"/>
      <c r="IM227" s="12"/>
      <c r="IN227" s="12"/>
      <c r="IO227" s="12"/>
      <c r="IP227" s="12"/>
      <c r="IQ227" s="12"/>
      <c r="IR227" s="12"/>
      <c r="IS227" s="12"/>
      <c r="IT227" s="12"/>
      <c r="IU227" s="12"/>
      <c r="IV227" s="12"/>
      <c r="IW227" s="12"/>
    </row>
    <row r="228" customFormat="false" ht="11.25" hidden="false" customHeight="false" outlineLevel="0" collapsed="false">
      <c r="A228" s="25" t="n">
        <f aca="false">DATE(YEAR(A227),MONTH(A227)+1,1)</f>
        <v>52657</v>
      </c>
      <c r="B228" s="21" t="n">
        <v>3.28</v>
      </c>
      <c r="C228" s="21" t="n">
        <v>3.38</v>
      </c>
      <c r="D228" s="25" t="n">
        <f aca="false">DATE(YEAR(D227),MONTH(D227)+1,1)</f>
        <v>52657</v>
      </c>
      <c r="E228" s="21" t="n">
        <v>20.709</v>
      </c>
      <c r="F228" s="21" t="n">
        <v>22.314</v>
      </c>
      <c r="G228" s="6"/>
      <c r="H228" s="22" t="n">
        <f aca="false">A228</f>
        <v>52657</v>
      </c>
      <c r="I228" s="23" t="n">
        <f aca="false">IF($J$1="bid",B228,C228)</f>
        <v>3.38</v>
      </c>
      <c r="J228" s="24" t="n">
        <f aca="false">D228</f>
        <v>52657</v>
      </c>
      <c r="K228" s="23" t="n">
        <f aca="false">IF($J$1="bid",E228,F228)</f>
        <v>22.314</v>
      </c>
      <c r="L228" s="11"/>
      <c r="M228" s="11"/>
      <c r="N228" s="11"/>
      <c r="O228" s="11"/>
      <c r="P228" s="11"/>
      <c r="Q228" s="11"/>
      <c r="R228" s="11"/>
      <c r="S228" s="11"/>
      <c r="T228" s="11"/>
      <c r="U228" s="11"/>
      <c r="V228" s="11"/>
      <c r="W228" s="11"/>
      <c r="X228" s="11"/>
      <c r="Y228" s="11"/>
      <c r="Z228" s="11"/>
      <c r="AA228" s="11"/>
      <c r="AB228" s="11"/>
      <c r="AC228" s="11"/>
      <c r="AD228" s="11"/>
      <c r="AE228" s="11"/>
      <c r="AF228" s="11"/>
      <c r="AG228" s="11"/>
      <c r="AH228" s="11"/>
      <c r="AI228" s="11"/>
      <c r="AJ228" s="11"/>
      <c r="AK228" s="11"/>
      <c r="AL228" s="11"/>
      <c r="AM228" s="11"/>
      <c r="AN228" s="11"/>
      <c r="AO228" s="11"/>
      <c r="AP228" s="11"/>
      <c r="AQ228" s="11"/>
      <c r="AR228" s="5"/>
      <c r="AS228" s="12"/>
      <c r="AT228" s="12"/>
      <c r="AU228" s="12"/>
      <c r="AV228" s="12"/>
      <c r="AW228" s="12"/>
      <c r="AX228" s="12"/>
      <c r="AY228" s="12"/>
      <c r="AZ228" s="12"/>
      <c r="BA228" s="12"/>
      <c r="BB228" s="12"/>
      <c r="BC228" s="12"/>
      <c r="BD228" s="12"/>
      <c r="BE228" s="12"/>
      <c r="BF228" s="12"/>
      <c r="BG228" s="12"/>
      <c r="BH228" s="12"/>
      <c r="BI228" s="12"/>
      <c r="BJ228" s="12"/>
      <c r="BK228" s="12"/>
      <c r="BL228" s="12"/>
      <c r="BM228" s="12"/>
      <c r="BN228" s="12"/>
      <c r="BO228" s="12"/>
      <c r="BP228" s="12"/>
      <c r="BQ228" s="12"/>
      <c r="BR228" s="12"/>
      <c r="BS228" s="12"/>
      <c r="BT228" s="12"/>
      <c r="BU228" s="12"/>
      <c r="BV228" s="12"/>
      <c r="BW228" s="12"/>
      <c r="BX228" s="12"/>
      <c r="BY228" s="12"/>
      <c r="BZ228" s="12"/>
      <c r="CA228" s="12"/>
      <c r="CB228" s="12"/>
      <c r="CC228" s="12"/>
      <c r="CD228" s="12"/>
      <c r="CE228" s="12"/>
      <c r="CF228" s="12"/>
      <c r="CG228" s="12"/>
      <c r="CH228" s="12"/>
      <c r="CI228" s="12"/>
      <c r="CJ228" s="12"/>
      <c r="CK228" s="12"/>
      <c r="CL228" s="12"/>
      <c r="CM228" s="12"/>
      <c r="CN228" s="12"/>
      <c r="CO228" s="12"/>
      <c r="CP228" s="12"/>
      <c r="CQ228" s="12"/>
      <c r="CR228" s="12"/>
      <c r="CS228" s="12"/>
      <c r="CT228" s="12"/>
      <c r="CU228" s="12"/>
      <c r="CV228" s="12"/>
      <c r="CW228" s="12"/>
      <c r="CX228" s="12"/>
      <c r="CY228" s="12"/>
      <c r="CZ228" s="12"/>
      <c r="DA228" s="12"/>
      <c r="DB228" s="12"/>
      <c r="DC228" s="12"/>
      <c r="DD228" s="12"/>
      <c r="DE228" s="12"/>
      <c r="DF228" s="12"/>
      <c r="DG228" s="12"/>
      <c r="DH228" s="12"/>
      <c r="DI228" s="12"/>
      <c r="DJ228" s="12"/>
      <c r="DK228" s="12"/>
      <c r="DL228" s="12"/>
      <c r="DM228" s="12"/>
      <c r="DN228" s="12"/>
      <c r="DO228" s="12"/>
      <c r="DP228" s="12"/>
      <c r="DQ228" s="12"/>
      <c r="DR228" s="12"/>
      <c r="DS228" s="12"/>
      <c r="DT228" s="12"/>
      <c r="DU228" s="12"/>
      <c r="DV228" s="12"/>
      <c r="DW228" s="12"/>
      <c r="DX228" s="12"/>
      <c r="DY228" s="12"/>
      <c r="DZ228" s="12"/>
      <c r="EA228" s="12"/>
      <c r="EB228" s="12"/>
      <c r="EC228" s="12"/>
      <c r="ED228" s="12"/>
      <c r="EE228" s="12"/>
      <c r="EF228" s="12"/>
      <c r="EG228" s="12"/>
      <c r="EH228" s="12"/>
      <c r="EI228" s="12"/>
      <c r="EJ228" s="12"/>
      <c r="EK228" s="12"/>
      <c r="EL228" s="12"/>
      <c r="EM228" s="12"/>
      <c r="EN228" s="12"/>
      <c r="EO228" s="12"/>
      <c r="EP228" s="12"/>
      <c r="EQ228" s="12"/>
      <c r="ER228" s="12"/>
      <c r="ES228" s="12"/>
      <c r="ET228" s="12"/>
      <c r="EU228" s="12"/>
      <c r="EV228" s="12"/>
      <c r="EW228" s="12"/>
      <c r="EX228" s="12"/>
      <c r="EY228" s="12"/>
      <c r="EZ228" s="12"/>
      <c r="FA228" s="12"/>
      <c r="FB228" s="12"/>
      <c r="FC228" s="12"/>
      <c r="FD228" s="12"/>
      <c r="FE228" s="12"/>
      <c r="FF228" s="12"/>
      <c r="FG228" s="12"/>
      <c r="FH228" s="12"/>
      <c r="FI228" s="12"/>
      <c r="FJ228" s="12"/>
      <c r="FK228" s="12"/>
      <c r="FL228" s="12"/>
      <c r="FM228" s="12"/>
      <c r="FN228" s="12"/>
      <c r="FO228" s="12"/>
      <c r="FP228" s="12"/>
      <c r="FQ228" s="12"/>
      <c r="FR228" s="12"/>
      <c r="FS228" s="12"/>
      <c r="FT228" s="12"/>
      <c r="FU228" s="12"/>
      <c r="FV228" s="12"/>
      <c r="FW228" s="12"/>
      <c r="FX228" s="12"/>
      <c r="FY228" s="12"/>
      <c r="FZ228" s="12"/>
      <c r="GA228" s="12"/>
      <c r="GB228" s="12"/>
      <c r="GC228" s="12"/>
      <c r="GD228" s="12"/>
      <c r="GE228" s="12"/>
      <c r="GF228" s="12"/>
      <c r="GG228" s="12"/>
      <c r="GH228" s="12"/>
      <c r="GI228" s="12"/>
      <c r="GJ228" s="12"/>
      <c r="GK228" s="12"/>
      <c r="GL228" s="12"/>
      <c r="GM228" s="12"/>
      <c r="GN228" s="12"/>
      <c r="GO228" s="12"/>
      <c r="GP228" s="12"/>
      <c r="GQ228" s="12"/>
      <c r="GR228" s="12"/>
      <c r="GS228" s="12"/>
      <c r="GT228" s="12"/>
      <c r="GU228" s="12"/>
      <c r="GV228" s="12"/>
      <c r="GW228" s="12"/>
      <c r="GX228" s="12"/>
      <c r="GY228" s="12"/>
      <c r="GZ228" s="12"/>
      <c r="HA228" s="12"/>
      <c r="HB228" s="12"/>
      <c r="HC228" s="12"/>
      <c r="HD228" s="12"/>
      <c r="HE228" s="12"/>
      <c r="HF228" s="12"/>
      <c r="HG228" s="12"/>
      <c r="HH228" s="12"/>
      <c r="HI228" s="12"/>
      <c r="HJ228" s="12"/>
      <c r="HK228" s="12"/>
      <c r="HL228" s="12"/>
      <c r="HM228" s="12"/>
      <c r="HN228" s="12"/>
      <c r="HO228" s="12"/>
      <c r="HP228" s="12"/>
      <c r="HQ228" s="12"/>
      <c r="HR228" s="12"/>
      <c r="HS228" s="12"/>
      <c r="HT228" s="12"/>
      <c r="HU228" s="12"/>
      <c r="HV228" s="12"/>
      <c r="HW228" s="12"/>
      <c r="HX228" s="12"/>
      <c r="HY228" s="12"/>
      <c r="HZ228" s="12"/>
      <c r="IA228" s="12"/>
      <c r="IB228" s="12"/>
      <c r="IC228" s="12"/>
      <c r="ID228" s="12"/>
      <c r="IE228" s="12"/>
      <c r="IF228" s="12"/>
      <c r="IG228" s="12"/>
      <c r="IH228" s="12"/>
      <c r="II228" s="12"/>
      <c r="IJ228" s="12"/>
      <c r="IK228" s="12"/>
      <c r="IL228" s="12"/>
      <c r="IM228" s="12"/>
      <c r="IN228" s="12"/>
      <c r="IO228" s="12"/>
      <c r="IP228" s="12"/>
      <c r="IQ228" s="12"/>
      <c r="IR228" s="12"/>
      <c r="IS228" s="12"/>
      <c r="IT228" s="12"/>
      <c r="IU228" s="12"/>
      <c r="IV228" s="12"/>
      <c r="IW228" s="12"/>
    </row>
    <row r="229" customFormat="false" ht="11.25" hidden="false" customHeight="false" outlineLevel="0" collapsed="false">
      <c r="A229" s="25" t="n">
        <f aca="false">DATE(YEAR(A228),MONTH(A228)+1,1)</f>
        <v>52688</v>
      </c>
      <c r="B229" s="21" t="n">
        <v>3.288</v>
      </c>
      <c r="C229" s="21" t="n">
        <v>3.388</v>
      </c>
      <c r="D229" s="25" t="n">
        <f aca="false">DATE(YEAR(D228),MONTH(D228)+1,1)</f>
        <v>52688</v>
      </c>
      <c r="E229" s="21" t="n">
        <v>20.726</v>
      </c>
      <c r="F229" s="21" t="n">
        <v>22.338</v>
      </c>
      <c r="G229" s="6"/>
      <c r="H229" s="22" t="n">
        <f aca="false">A229</f>
        <v>52688</v>
      </c>
      <c r="I229" s="23" t="n">
        <f aca="false">IF($J$1="bid",B229,C229)</f>
        <v>3.388</v>
      </c>
      <c r="J229" s="24" t="n">
        <f aca="false">D229</f>
        <v>52688</v>
      </c>
      <c r="K229" s="23" t="n">
        <f aca="false">IF($J$1="bid",E229,F229)</f>
        <v>22.338</v>
      </c>
      <c r="L229" s="11"/>
      <c r="M229" s="11"/>
      <c r="N229" s="11"/>
      <c r="O229" s="11"/>
      <c r="P229" s="11"/>
      <c r="Q229" s="11"/>
      <c r="R229" s="11"/>
      <c r="S229" s="11"/>
      <c r="T229" s="11"/>
      <c r="U229" s="11"/>
      <c r="V229" s="11"/>
      <c r="W229" s="11"/>
      <c r="X229" s="11"/>
      <c r="Y229" s="11"/>
      <c r="Z229" s="11"/>
      <c r="AA229" s="11"/>
      <c r="AB229" s="11"/>
      <c r="AC229" s="11"/>
      <c r="AD229" s="11"/>
      <c r="AE229" s="11"/>
      <c r="AF229" s="11"/>
      <c r="AG229" s="11"/>
      <c r="AH229" s="11"/>
      <c r="AI229" s="11"/>
      <c r="AJ229" s="11"/>
      <c r="AK229" s="11"/>
      <c r="AL229" s="11"/>
      <c r="AM229" s="11"/>
      <c r="AN229" s="11"/>
      <c r="AO229" s="11"/>
      <c r="AP229" s="11"/>
      <c r="AQ229" s="11"/>
      <c r="AR229" s="5"/>
      <c r="AS229" s="12"/>
      <c r="AT229" s="12"/>
      <c r="AU229" s="12"/>
      <c r="AV229" s="12"/>
      <c r="AW229" s="12"/>
      <c r="AX229" s="12"/>
      <c r="AY229" s="12"/>
      <c r="AZ229" s="12"/>
      <c r="BA229" s="12"/>
      <c r="BB229" s="12"/>
      <c r="BC229" s="12"/>
      <c r="BD229" s="12"/>
      <c r="BE229" s="12"/>
      <c r="BF229" s="12"/>
      <c r="BG229" s="12"/>
      <c r="BH229" s="12"/>
      <c r="BI229" s="12"/>
      <c r="BJ229" s="12"/>
      <c r="BK229" s="12"/>
      <c r="BL229" s="12"/>
      <c r="BM229" s="12"/>
      <c r="BN229" s="12"/>
      <c r="BO229" s="12"/>
      <c r="BP229" s="12"/>
      <c r="BQ229" s="12"/>
      <c r="BR229" s="12"/>
      <c r="BS229" s="12"/>
      <c r="BT229" s="12"/>
      <c r="BU229" s="12"/>
      <c r="BV229" s="12"/>
      <c r="BW229" s="12"/>
      <c r="BX229" s="12"/>
      <c r="BY229" s="12"/>
      <c r="BZ229" s="12"/>
      <c r="CA229" s="12"/>
      <c r="CB229" s="12"/>
      <c r="CC229" s="12"/>
      <c r="CD229" s="12"/>
      <c r="CE229" s="12"/>
      <c r="CF229" s="12"/>
      <c r="CG229" s="12"/>
      <c r="CH229" s="12"/>
      <c r="CI229" s="12"/>
      <c r="CJ229" s="12"/>
      <c r="CK229" s="12"/>
      <c r="CL229" s="12"/>
      <c r="CM229" s="12"/>
      <c r="CN229" s="12"/>
      <c r="CO229" s="12"/>
      <c r="CP229" s="12"/>
      <c r="CQ229" s="12"/>
      <c r="CR229" s="12"/>
      <c r="CS229" s="12"/>
      <c r="CT229" s="12"/>
      <c r="CU229" s="12"/>
      <c r="CV229" s="12"/>
      <c r="CW229" s="12"/>
      <c r="CX229" s="12"/>
      <c r="CY229" s="12"/>
      <c r="CZ229" s="12"/>
      <c r="DA229" s="12"/>
      <c r="DB229" s="12"/>
      <c r="DC229" s="12"/>
      <c r="DD229" s="12"/>
      <c r="DE229" s="12"/>
      <c r="DF229" s="12"/>
      <c r="DG229" s="12"/>
      <c r="DH229" s="12"/>
      <c r="DI229" s="12"/>
      <c r="DJ229" s="12"/>
      <c r="DK229" s="12"/>
      <c r="DL229" s="12"/>
      <c r="DM229" s="12"/>
      <c r="DN229" s="12"/>
      <c r="DO229" s="12"/>
      <c r="DP229" s="12"/>
      <c r="DQ229" s="12"/>
      <c r="DR229" s="12"/>
      <c r="DS229" s="12"/>
      <c r="DT229" s="12"/>
      <c r="DU229" s="12"/>
      <c r="DV229" s="12"/>
      <c r="DW229" s="12"/>
      <c r="DX229" s="12"/>
      <c r="DY229" s="12"/>
      <c r="DZ229" s="12"/>
      <c r="EA229" s="12"/>
      <c r="EB229" s="12"/>
      <c r="EC229" s="12"/>
      <c r="ED229" s="12"/>
      <c r="EE229" s="12"/>
      <c r="EF229" s="12"/>
      <c r="EG229" s="12"/>
      <c r="EH229" s="12"/>
      <c r="EI229" s="12"/>
      <c r="EJ229" s="12"/>
      <c r="EK229" s="12"/>
      <c r="EL229" s="12"/>
      <c r="EM229" s="12"/>
      <c r="EN229" s="12"/>
      <c r="EO229" s="12"/>
      <c r="EP229" s="12"/>
      <c r="EQ229" s="12"/>
      <c r="ER229" s="12"/>
      <c r="ES229" s="12"/>
      <c r="ET229" s="12"/>
      <c r="EU229" s="12"/>
      <c r="EV229" s="12"/>
      <c r="EW229" s="12"/>
      <c r="EX229" s="12"/>
      <c r="EY229" s="12"/>
      <c r="EZ229" s="12"/>
      <c r="FA229" s="12"/>
      <c r="FB229" s="12"/>
      <c r="FC229" s="12"/>
      <c r="FD229" s="12"/>
      <c r="FE229" s="12"/>
      <c r="FF229" s="12"/>
      <c r="FG229" s="12"/>
      <c r="FH229" s="12"/>
      <c r="FI229" s="12"/>
      <c r="FJ229" s="12"/>
      <c r="FK229" s="12"/>
      <c r="FL229" s="12"/>
      <c r="FM229" s="12"/>
      <c r="FN229" s="12"/>
      <c r="FO229" s="12"/>
      <c r="FP229" s="12"/>
      <c r="FQ229" s="12"/>
      <c r="FR229" s="12"/>
      <c r="FS229" s="12"/>
      <c r="FT229" s="12"/>
      <c r="FU229" s="12"/>
      <c r="FV229" s="12"/>
      <c r="FW229" s="12"/>
      <c r="FX229" s="12"/>
      <c r="FY229" s="12"/>
      <c r="FZ229" s="12"/>
      <c r="GA229" s="12"/>
      <c r="GB229" s="12"/>
      <c r="GC229" s="12"/>
      <c r="GD229" s="12"/>
      <c r="GE229" s="12"/>
      <c r="GF229" s="12"/>
      <c r="GG229" s="12"/>
      <c r="GH229" s="12"/>
      <c r="GI229" s="12"/>
      <c r="GJ229" s="12"/>
      <c r="GK229" s="12"/>
      <c r="GL229" s="12"/>
      <c r="GM229" s="12"/>
      <c r="GN229" s="12"/>
      <c r="GO229" s="12"/>
      <c r="GP229" s="12"/>
      <c r="GQ229" s="12"/>
      <c r="GR229" s="12"/>
      <c r="GS229" s="12"/>
      <c r="GT229" s="12"/>
      <c r="GU229" s="12"/>
      <c r="GV229" s="12"/>
      <c r="GW229" s="12"/>
      <c r="GX229" s="12"/>
      <c r="GY229" s="12"/>
      <c r="GZ229" s="12"/>
      <c r="HA229" s="12"/>
      <c r="HB229" s="12"/>
      <c r="HC229" s="12"/>
      <c r="HD229" s="12"/>
      <c r="HE229" s="12"/>
      <c r="HF229" s="12"/>
      <c r="HG229" s="12"/>
      <c r="HH229" s="12"/>
      <c r="HI229" s="12"/>
      <c r="HJ229" s="12"/>
      <c r="HK229" s="12"/>
      <c r="HL229" s="12"/>
      <c r="HM229" s="12"/>
      <c r="HN229" s="12"/>
      <c r="HO229" s="12"/>
      <c r="HP229" s="12"/>
      <c r="HQ229" s="12"/>
      <c r="HR229" s="12"/>
      <c r="HS229" s="12"/>
      <c r="HT229" s="12"/>
      <c r="HU229" s="12"/>
      <c r="HV229" s="12"/>
      <c r="HW229" s="12"/>
      <c r="HX229" s="12"/>
      <c r="HY229" s="12"/>
      <c r="HZ229" s="12"/>
      <c r="IA229" s="12"/>
      <c r="IB229" s="12"/>
      <c r="IC229" s="12"/>
      <c r="ID229" s="12"/>
      <c r="IE229" s="12"/>
      <c r="IF229" s="12"/>
      <c r="IG229" s="12"/>
      <c r="IH229" s="12"/>
      <c r="II229" s="12"/>
      <c r="IJ229" s="12"/>
      <c r="IK229" s="12"/>
      <c r="IL229" s="12"/>
      <c r="IM229" s="12"/>
      <c r="IN229" s="12"/>
      <c r="IO229" s="12"/>
      <c r="IP229" s="12"/>
      <c r="IQ229" s="12"/>
      <c r="IR229" s="12"/>
      <c r="IS229" s="12"/>
      <c r="IT229" s="12"/>
      <c r="IU229" s="12"/>
      <c r="IV229" s="12"/>
      <c r="IW229" s="12"/>
    </row>
    <row r="230" customFormat="false" ht="11.25" hidden="false" customHeight="false" outlineLevel="0" collapsed="false">
      <c r="A230" s="25" t="n">
        <f aca="false">DATE(YEAR(A229),MONTH(A229)+1,1)</f>
        <v>52718</v>
      </c>
      <c r="B230" s="21" t="n">
        <v>3.28</v>
      </c>
      <c r="C230" s="21" t="n">
        <v>3.38</v>
      </c>
      <c r="D230" s="25" t="n">
        <f aca="false">DATE(YEAR(D229),MONTH(D229)+1,1)</f>
        <v>52718</v>
      </c>
      <c r="E230" s="21" t="n">
        <v>20.742</v>
      </c>
      <c r="F230" s="21" t="n">
        <v>22.363</v>
      </c>
      <c r="G230" s="6"/>
      <c r="H230" s="22" t="n">
        <f aca="false">A230</f>
        <v>52718</v>
      </c>
      <c r="I230" s="23" t="n">
        <f aca="false">IF($J$1="bid",B230,C230)</f>
        <v>3.38</v>
      </c>
      <c r="J230" s="24" t="n">
        <f aca="false">D230</f>
        <v>52718</v>
      </c>
      <c r="K230" s="23" t="n">
        <f aca="false">IF($J$1="bid",E230,F230)</f>
        <v>22.363</v>
      </c>
      <c r="L230" s="11"/>
      <c r="M230" s="11"/>
      <c r="N230" s="11"/>
      <c r="O230" s="11"/>
      <c r="P230" s="11"/>
      <c r="Q230" s="11"/>
      <c r="R230" s="11"/>
      <c r="S230" s="11"/>
      <c r="T230" s="11"/>
      <c r="U230" s="11"/>
      <c r="V230" s="11"/>
      <c r="W230" s="11"/>
      <c r="X230" s="11"/>
      <c r="Y230" s="11"/>
      <c r="Z230" s="11"/>
      <c r="AA230" s="11"/>
      <c r="AB230" s="11"/>
      <c r="AC230" s="11"/>
      <c r="AD230" s="11"/>
      <c r="AE230" s="11"/>
      <c r="AF230" s="11"/>
      <c r="AG230" s="11"/>
      <c r="AH230" s="11"/>
      <c r="AI230" s="11"/>
      <c r="AJ230" s="11"/>
      <c r="AK230" s="11"/>
      <c r="AL230" s="11"/>
      <c r="AM230" s="11"/>
      <c r="AN230" s="11"/>
      <c r="AO230" s="11"/>
      <c r="AP230" s="11"/>
      <c r="AQ230" s="11"/>
      <c r="AR230" s="5"/>
      <c r="AS230" s="12"/>
      <c r="AT230" s="12"/>
      <c r="AU230" s="12"/>
      <c r="AV230" s="12"/>
      <c r="AW230" s="12"/>
      <c r="AX230" s="12"/>
      <c r="AY230" s="12"/>
      <c r="AZ230" s="12"/>
      <c r="BA230" s="12"/>
      <c r="BB230" s="12"/>
      <c r="BC230" s="12"/>
      <c r="BD230" s="12"/>
      <c r="BE230" s="12"/>
      <c r="BF230" s="12"/>
      <c r="BG230" s="12"/>
      <c r="BH230" s="12"/>
      <c r="BI230" s="12"/>
      <c r="BJ230" s="12"/>
      <c r="BK230" s="12"/>
      <c r="BL230" s="12"/>
      <c r="BM230" s="12"/>
      <c r="BN230" s="12"/>
      <c r="BO230" s="12"/>
      <c r="BP230" s="12"/>
      <c r="BQ230" s="12"/>
      <c r="BR230" s="12"/>
      <c r="BS230" s="12"/>
      <c r="BT230" s="12"/>
      <c r="BU230" s="12"/>
      <c r="BV230" s="12"/>
      <c r="BW230" s="12"/>
      <c r="BX230" s="12"/>
      <c r="BY230" s="12"/>
      <c r="BZ230" s="12"/>
      <c r="CA230" s="12"/>
      <c r="CB230" s="12"/>
      <c r="CC230" s="12"/>
      <c r="CD230" s="12"/>
      <c r="CE230" s="12"/>
      <c r="CF230" s="12"/>
      <c r="CG230" s="12"/>
      <c r="CH230" s="12"/>
      <c r="CI230" s="12"/>
      <c r="CJ230" s="12"/>
      <c r="CK230" s="12"/>
      <c r="CL230" s="12"/>
      <c r="CM230" s="12"/>
      <c r="CN230" s="12"/>
      <c r="CO230" s="12"/>
      <c r="CP230" s="12"/>
      <c r="CQ230" s="12"/>
      <c r="CR230" s="12"/>
      <c r="CS230" s="12"/>
      <c r="CT230" s="12"/>
      <c r="CU230" s="12"/>
      <c r="CV230" s="12"/>
      <c r="CW230" s="12"/>
      <c r="CX230" s="12"/>
      <c r="CY230" s="12"/>
      <c r="CZ230" s="12"/>
      <c r="DA230" s="12"/>
      <c r="DB230" s="12"/>
      <c r="DC230" s="12"/>
      <c r="DD230" s="12"/>
      <c r="DE230" s="12"/>
      <c r="DF230" s="12"/>
      <c r="DG230" s="12"/>
      <c r="DH230" s="12"/>
      <c r="DI230" s="12"/>
      <c r="DJ230" s="12"/>
      <c r="DK230" s="12"/>
      <c r="DL230" s="12"/>
      <c r="DM230" s="12"/>
      <c r="DN230" s="12"/>
      <c r="DO230" s="12"/>
      <c r="DP230" s="12"/>
      <c r="DQ230" s="12"/>
      <c r="DR230" s="12"/>
      <c r="DS230" s="12"/>
      <c r="DT230" s="12"/>
      <c r="DU230" s="12"/>
      <c r="DV230" s="12"/>
      <c r="DW230" s="12"/>
      <c r="DX230" s="12"/>
      <c r="DY230" s="12"/>
      <c r="DZ230" s="12"/>
      <c r="EA230" s="12"/>
      <c r="EB230" s="12"/>
      <c r="EC230" s="12"/>
      <c r="ED230" s="12"/>
      <c r="EE230" s="12"/>
      <c r="EF230" s="12"/>
      <c r="EG230" s="12"/>
      <c r="EH230" s="12"/>
      <c r="EI230" s="12"/>
      <c r="EJ230" s="12"/>
      <c r="EK230" s="12"/>
      <c r="EL230" s="12"/>
      <c r="EM230" s="12"/>
      <c r="EN230" s="12"/>
      <c r="EO230" s="12"/>
      <c r="EP230" s="12"/>
      <c r="EQ230" s="12"/>
      <c r="ER230" s="12"/>
      <c r="ES230" s="12"/>
      <c r="ET230" s="12"/>
      <c r="EU230" s="12"/>
      <c r="EV230" s="12"/>
      <c r="EW230" s="12"/>
      <c r="EX230" s="12"/>
      <c r="EY230" s="12"/>
      <c r="EZ230" s="12"/>
      <c r="FA230" s="12"/>
      <c r="FB230" s="12"/>
      <c r="FC230" s="12"/>
      <c r="FD230" s="12"/>
      <c r="FE230" s="12"/>
      <c r="FF230" s="12"/>
      <c r="FG230" s="12"/>
      <c r="FH230" s="12"/>
      <c r="FI230" s="12"/>
      <c r="FJ230" s="12"/>
      <c r="FK230" s="12"/>
      <c r="FL230" s="12"/>
      <c r="FM230" s="12"/>
      <c r="FN230" s="12"/>
      <c r="FO230" s="12"/>
      <c r="FP230" s="12"/>
      <c r="FQ230" s="12"/>
      <c r="FR230" s="12"/>
      <c r="FS230" s="12"/>
      <c r="FT230" s="12"/>
      <c r="FU230" s="12"/>
      <c r="FV230" s="12"/>
      <c r="FW230" s="12"/>
      <c r="FX230" s="12"/>
      <c r="FY230" s="12"/>
      <c r="FZ230" s="12"/>
      <c r="GA230" s="12"/>
      <c r="GB230" s="12"/>
      <c r="GC230" s="12"/>
      <c r="GD230" s="12"/>
      <c r="GE230" s="12"/>
      <c r="GF230" s="12"/>
      <c r="GG230" s="12"/>
      <c r="GH230" s="12"/>
      <c r="GI230" s="12"/>
      <c r="GJ230" s="12"/>
      <c r="GK230" s="12"/>
      <c r="GL230" s="12"/>
      <c r="GM230" s="12"/>
      <c r="GN230" s="12"/>
      <c r="GO230" s="12"/>
      <c r="GP230" s="12"/>
      <c r="GQ230" s="12"/>
      <c r="GR230" s="12"/>
      <c r="GS230" s="12"/>
      <c r="GT230" s="12"/>
      <c r="GU230" s="12"/>
      <c r="GV230" s="12"/>
      <c r="GW230" s="12"/>
      <c r="GX230" s="12"/>
      <c r="GY230" s="12"/>
      <c r="GZ230" s="12"/>
      <c r="HA230" s="12"/>
      <c r="HB230" s="12"/>
      <c r="HC230" s="12"/>
      <c r="HD230" s="12"/>
      <c r="HE230" s="12"/>
      <c r="HF230" s="12"/>
      <c r="HG230" s="12"/>
      <c r="HH230" s="12"/>
      <c r="HI230" s="12"/>
      <c r="HJ230" s="12"/>
      <c r="HK230" s="12"/>
      <c r="HL230" s="12"/>
      <c r="HM230" s="12"/>
      <c r="HN230" s="12"/>
      <c r="HO230" s="12"/>
      <c r="HP230" s="12"/>
      <c r="HQ230" s="12"/>
      <c r="HR230" s="12"/>
      <c r="HS230" s="12"/>
      <c r="HT230" s="12"/>
      <c r="HU230" s="12"/>
      <c r="HV230" s="12"/>
      <c r="HW230" s="12"/>
      <c r="HX230" s="12"/>
      <c r="HY230" s="12"/>
      <c r="HZ230" s="12"/>
      <c r="IA230" s="12"/>
      <c r="IB230" s="12"/>
      <c r="IC230" s="12"/>
      <c r="ID230" s="12"/>
      <c r="IE230" s="12"/>
      <c r="IF230" s="12"/>
      <c r="IG230" s="12"/>
      <c r="IH230" s="12"/>
      <c r="II230" s="12"/>
      <c r="IJ230" s="12"/>
      <c r="IK230" s="12"/>
      <c r="IL230" s="12"/>
      <c r="IM230" s="12"/>
      <c r="IN230" s="12"/>
      <c r="IO230" s="12"/>
      <c r="IP230" s="12"/>
      <c r="IQ230" s="12"/>
      <c r="IR230" s="12"/>
      <c r="IS230" s="12"/>
      <c r="IT230" s="12"/>
      <c r="IU230" s="12"/>
      <c r="IV230" s="12"/>
      <c r="IW230" s="12"/>
    </row>
    <row r="231" customFormat="false" ht="11.25" hidden="false" customHeight="false" outlineLevel="0" collapsed="false">
      <c r="A231" s="25" t="n">
        <f aca="false">DATE(YEAR(A230),MONTH(A230)+1,1)</f>
        <v>52749</v>
      </c>
      <c r="B231" s="21" t="n">
        <v>3.28</v>
      </c>
      <c r="C231" s="21" t="n">
        <v>3.38</v>
      </c>
      <c r="D231" s="25" t="n">
        <f aca="false">DATE(YEAR(D230),MONTH(D230)+1,1)</f>
        <v>52749</v>
      </c>
      <c r="E231" s="21" t="n">
        <v>20.76</v>
      </c>
      <c r="F231" s="21" t="n">
        <v>22.39</v>
      </c>
      <c r="G231" s="6"/>
      <c r="H231" s="22" t="n">
        <f aca="false">A231</f>
        <v>52749</v>
      </c>
      <c r="I231" s="23" t="n">
        <f aca="false">IF($J$1="bid",B231,C231)</f>
        <v>3.38</v>
      </c>
      <c r="J231" s="24" t="n">
        <f aca="false">D231</f>
        <v>52749</v>
      </c>
      <c r="K231" s="23" t="n">
        <f aca="false">IF($J$1="bid",E231,F231)</f>
        <v>22.39</v>
      </c>
      <c r="L231" s="11"/>
      <c r="M231" s="11"/>
      <c r="N231" s="11"/>
      <c r="O231" s="11"/>
      <c r="P231" s="11"/>
      <c r="Q231" s="11"/>
      <c r="R231" s="11"/>
      <c r="S231" s="11"/>
      <c r="T231" s="11"/>
      <c r="U231" s="11"/>
      <c r="V231" s="11"/>
      <c r="W231" s="11"/>
      <c r="X231" s="11"/>
      <c r="Y231" s="11"/>
      <c r="Z231" s="11"/>
      <c r="AA231" s="11"/>
      <c r="AB231" s="11"/>
      <c r="AC231" s="11"/>
      <c r="AD231" s="11"/>
      <c r="AE231" s="11"/>
      <c r="AF231" s="11"/>
      <c r="AG231" s="11"/>
      <c r="AH231" s="11"/>
      <c r="AI231" s="11"/>
      <c r="AJ231" s="11"/>
      <c r="AK231" s="11"/>
      <c r="AL231" s="11"/>
      <c r="AM231" s="11"/>
      <c r="AN231" s="11"/>
      <c r="AO231" s="11"/>
      <c r="AP231" s="11"/>
      <c r="AQ231" s="11"/>
      <c r="AR231" s="5"/>
      <c r="AS231" s="12"/>
      <c r="AT231" s="12"/>
      <c r="AU231" s="12"/>
      <c r="AV231" s="12"/>
      <c r="AW231" s="12"/>
      <c r="AX231" s="12"/>
      <c r="AY231" s="12"/>
      <c r="AZ231" s="12"/>
      <c r="BA231" s="12"/>
      <c r="BB231" s="12"/>
      <c r="BC231" s="12"/>
      <c r="BD231" s="12"/>
      <c r="BE231" s="12"/>
      <c r="BF231" s="12"/>
      <c r="BG231" s="12"/>
      <c r="BH231" s="12"/>
      <c r="BI231" s="12"/>
      <c r="BJ231" s="12"/>
      <c r="BK231" s="12"/>
      <c r="BL231" s="12"/>
      <c r="BM231" s="12"/>
      <c r="BN231" s="12"/>
      <c r="BO231" s="12"/>
      <c r="BP231" s="12"/>
      <c r="BQ231" s="12"/>
      <c r="BR231" s="12"/>
      <c r="BS231" s="12"/>
      <c r="BT231" s="12"/>
      <c r="BU231" s="12"/>
      <c r="BV231" s="12"/>
      <c r="BW231" s="12"/>
      <c r="BX231" s="12"/>
      <c r="BY231" s="12"/>
      <c r="BZ231" s="12"/>
      <c r="CA231" s="12"/>
      <c r="CB231" s="12"/>
      <c r="CC231" s="12"/>
      <c r="CD231" s="12"/>
      <c r="CE231" s="12"/>
      <c r="CF231" s="12"/>
      <c r="CG231" s="12"/>
      <c r="CH231" s="12"/>
      <c r="CI231" s="12"/>
      <c r="CJ231" s="12"/>
      <c r="CK231" s="12"/>
      <c r="CL231" s="12"/>
      <c r="CM231" s="12"/>
      <c r="CN231" s="12"/>
      <c r="CO231" s="12"/>
      <c r="CP231" s="12"/>
      <c r="CQ231" s="12"/>
      <c r="CR231" s="12"/>
      <c r="CS231" s="12"/>
      <c r="CT231" s="12"/>
      <c r="CU231" s="12"/>
      <c r="CV231" s="12"/>
      <c r="CW231" s="12"/>
      <c r="CX231" s="12"/>
      <c r="CY231" s="12"/>
      <c r="CZ231" s="12"/>
      <c r="DA231" s="12"/>
      <c r="DB231" s="12"/>
      <c r="DC231" s="12"/>
      <c r="DD231" s="12"/>
      <c r="DE231" s="12"/>
      <c r="DF231" s="12"/>
      <c r="DG231" s="12"/>
      <c r="DH231" s="12"/>
      <c r="DI231" s="12"/>
      <c r="DJ231" s="12"/>
      <c r="DK231" s="12"/>
      <c r="DL231" s="12"/>
      <c r="DM231" s="12"/>
      <c r="DN231" s="12"/>
      <c r="DO231" s="12"/>
      <c r="DP231" s="12"/>
      <c r="DQ231" s="12"/>
      <c r="DR231" s="12"/>
      <c r="DS231" s="12"/>
      <c r="DT231" s="12"/>
      <c r="DU231" s="12"/>
      <c r="DV231" s="12"/>
      <c r="DW231" s="12"/>
      <c r="DX231" s="12"/>
      <c r="DY231" s="12"/>
      <c r="DZ231" s="12"/>
      <c r="EA231" s="12"/>
      <c r="EB231" s="12"/>
      <c r="EC231" s="12"/>
      <c r="ED231" s="12"/>
      <c r="EE231" s="12"/>
      <c r="EF231" s="12"/>
      <c r="EG231" s="12"/>
      <c r="EH231" s="12"/>
      <c r="EI231" s="12"/>
      <c r="EJ231" s="12"/>
      <c r="EK231" s="12"/>
      <c r="EL231" s="12"/>
      <c r="EM231" s="12"/>
      <c r="EN231" s="12"/>
      <c r="EO231" s="12"/>
      <c r="EP231" s="12"/>
      <c r="EQ231" s="12"/>
      <c r="ER231" s="12"/>
      <c r="ES231" s="12"/>
      <c r="ET231" s="12"/>
      <c r="EU231" s="12"/>
      <c r="EV231" s="12"/>
      <c r="EW231" s="12"/>
      <c r="EX231" s="12"/>
      <c r="EY231" s="12"/>
      <c r="EZ231" s="12"/>
      <c r="FA231" s="12"/>
      <c r="FB231" s="12"/>
      <c r="FC231" s="12"/>
      <c r="FD231" s="12"/>
      <c r="FE231" s="12"/>
      <c r="FF231" s="12"/>
      <c r="FG231" s="12"/>
      <c r="FH231" s="12"/>
      <c r="FI231" s="12"/>
      <c r="FJ231" s="12"/>
      <c r="FK231" s="12"/>
      <c r="FL231" s="12"/>
      <c r="FM231" s="12"/>
      <c r="FN231" s="12"/>
      <c r="FO231" s="12"/>
      <c r="FP231" s="12"/>
      <c r="FQ231" s="12"/>
      <c r="FR231" s="12"/>
      <c r="FS231" s="12"/>
      <c r="FT231" s="12"/>
      <c r="FU231" s="12"/>
      <c r="FV231" s="12"/>
      <c r="FW231" s="12"/>
      <c r="FX231" s="12"/>
      <c r="FY231" s="12"/>
      <c r="FZ231" s="12"/>
      <c r="GA231" s="12"/>
      <c r="GB231" s="12"/>
      <c r="GC231" s="12"/>
      <c r="GD231" s="12"/>
      <c r="GE231" s="12"/>
      <c r="GF231" s="12"/>
      <c r="GG231" s="12"/>
      <c r="GH231" s="12"/>
      <c r="GI231" s="12"/>
      <c r="GJ231" s="12"/>
      <c r="GK231" s="12"/>
      <c r="GL231" s="12"/>
      <c r="GM231" s="12"/>
      <c r="GN231" s="12"/>
      <c r="GO231" s="12"/>
      <c r="GP231" s="12"/>
      <c r="GQ231" s="12"/>
      <c r="GR231" s="12"/>
      <c r="GS231" s="12"/>
      <c r="GT231" s="12"/>
      <c r="GU231" s="12"/>
      <c r="GV231" s="12"/>
      <c r="GW231" s="12"/>
      <c r="GX231" s="12"/>
      <c r="GY231" s="12"/>
      <c r="GZ231" s="12"/>
      <c r="HA231" s="12"/>
      <c r="HB231" s="12"/>
      <c r="HC231" s="12"/>
      <c r="HD231" s="12"/>
      <c r="HE231" s="12"/>
      <c r="HF231" s="12"/>
      <c r="HG231" s="12"/>
      <c r="HH231" s="12"/>
      <c r="HI231" s="12"/>
      <c r="HJ231" s="12"/>
      <c r="HK231" s="12"/>
      <c r="HL231" s="12"/>
      <c r="HM231" s="12"/>
      <c r="HN231" s="12"/>
      <c r="HO231" s="12"/>
      <c r="HP231" s="12"/>
      <c r="HQ231" s="12"/>
      <c r="HR231" s="12"/>
      <c r="HS231" s="12"/>
      <c r="HT231" s="12"/>
      <c r="HU231" s="12"/>
      <c r="HV231" s="12"/>
      <c r="HW231" s="12"/>
      <c r="HX231" s="12"/>
      <c r="HY231" s="12"/>
      <c r="HZ231" s="12"/>
      <c r="IA231" s="12"/>
      <c r="IB231" s="12"/>
      <c r="IC231" s="12"/>
      <c r="ID231" s="12"/>
      <c r="IE231" s="12"/>
      <c r="IF231" s="12"/>
      <c r="IG231" s="12"/>
      <c r="IH231" s="12"/>
      <c r="II231" s="12"/>
      <c r="IJ231" s="12"/>
      <c r="IK231" s="12"/>
      <c r="IL231" s="12"/>
      <c r="IM231" s="12"/>
      <c r="IN231" s="12"/>
      <c r="IO231" s="12"/>
      <c r="IP231" s="12"/>
      <c r="IQ231" s="12"/>
      <c r="IR231" s="12"/>
      <c r="IS231" s="12"/>
      <c r="IT231" s="12"/>
      <c r="IU231" s="12"/>
      <c r="IV231" s="12"/>
      <c r="IW231" s="12"/>
    </row>
    <row r="232" customFormat="false" ht="11.25" hidden="false" customHeight="false" outlineLevel="0" collapsed="false">
      <c r="A232" s="25" t="n">
        <f aca="false">DATE(YEAR(A231),MONTH(A231)+1,1)</f>
        <v>52779</v>
      </c>
      <c r="B232" s="21" t="n">
        <v>3.28</v>
      </c>
      <c r="C232" s="21" t="n">
        <v>3.38</v>
      </c>
      <c r="D232" s="25" t="n">
        <f aca="false">DATE(YEAR(D231),MONTH(D231)+1,1)</f>
        <v>52779</v>
      </c>
      <c r="E232" s="21" t="n">
        <v>20.776</v>
      </c>
      <c r="F232" s="21" t="n">
        <v>22.415</v>
      </c>
      <c r="G232" s="6"/>
      <c r="H232" s="22" t="n">
        <f aca="false">A232</f>
        <v>52779</v>
      </c>
      <c r="I232" s="23" t="n">
        <f aca="false">IF($J$1="bid",B232,C232)</f>
        <v>3.38</v>
      </c>
      <c r="J232" s="24" t="n">
        <f aca="false">D232</f>
        <v>52779</v>
      </c>
      <c r="K232" s="23" t="n">
        <f aca="false">IF($J$1="bid",E232,F232)</f>
        <v>22.415</v>
      </c>
      <c r="L232" s="11"/>
      <c r="M232" s="11"/>
      <c r="N232" s="11"/>
      <c r="O232" s="11"/>
      <c r="P232" s="11"/>
      <c r="Q232" s="11"/>
      <c r="R232" s="11"/>
      <c r="S232" s="11"/>
      <c r="T232" s="11"/>
      <c r="U232" s="11"/>
      <c r="V232" s="11"/>
      <c r="W232" s="11"/>
      <c r="X232" s="11"/>
      <c r="Y232" s="11"/>
      <c r="Z232" s="11"/>
      <c r="AA232" s="11"/>
      <c r="AB232" s="11"/>
      <c r="AC232" s="11"/>
      <c r="AD232" s="11"/>
      <c r="AE232" s="11"/>
      <c r="AF232" s="11"/>
      <c r="AG232" s="11"/>
      <c r="AH232" s="11"/>
      <c r="AI232" s="11"/>
      <c r="AJ232" s="11"/>
      <c r="AK232" s="11"/>
      <c r="AL232" s="11"/>
      <c r="AM232" s="11"/>
      <c r="AN232" s="11"/>
      <c r="AO232" s="11"/>
      <c r="AP232" s="11"/>
      <c r="AQ232" s="11"/>
      <c r="AR232" s="5"/>
      <c r="AS232" s="12"/>
      <c r="AT232" s="12"/>
      <c r="AU232" s="12"/>
      <c r="AV232" s="12"/>
      <c r="AW232" s="12"/>
      <c r="AX232" s="12"/>
      <c r="AY232" s="12"/>
      <c r="AZ232" s="12"/>
      <c r="BA232" s="12"/>
      <c r="BB232" s="12"/>
      <c r="BC232" s="12"/>
      <c r="BD232" s="12"/>
      <c r="BE232" s="12"/>
      <c r="BF232" s="12"/>
      <c r="BG232" s="12"/>
      <c r="BH232" s="12"/>
      <c r="BI232" s="12"/>
      <c r="BJ232" s="12"/>
      <c r="BK232" s="12"/>
      <c r="BL232" s="12"/>
      <c r="BM232" s="12"/>
      <c r="BN232" s="12"/>
      <c r="BO232" s="12"/>
      <c r="BP232" s="12"/>
      <c r="BQ232" s="12"/>
      <c r="BR232" s="12"/>
      <c r="BS232" s="12"/>
      <c r="BT232" s="12"/>
      <c r="BU232" s="12"/>
      <c r="BV232" s="12"/>
      <c r="BW232" s="12"/>
      <c r="BX232" s="12"/>
      <c r="BY232" s="12"/>
      <c r="BZ232" s="12"/>
      <c r="CA232" s="12"/>
      <c r="CB232" s="12"/>
      <c r="CC232" s="12"/>
      <c r="CD232" s="12"/>
      <c r="CE232" s="12"/>
      <c r="CF232" s="12"/>
      <c r="CG232" s="12"/>
      <c r="CH232" s="12"/>
      <c r="CI232" s="12"/>
      <c r="CJ232" s="12"/>
      <c r="CK232" s="12"/>
      <c r="CL232" s="12"/>
      <c r="CM232" s="12"/>
      <c r="CN232" s="12"/>
      <c r="CO232" s="12"/>
      <c r="CP232" s="12"/>
      <c r="CQ232" s="12"/>
      <c r="CR232" s="12"/>
      <c r="CS232" s="12"/>
      <c r="CT232" s="12"/>
      <c r="CU232" s="12"/>
      <c r="CV232" s="12"/>
      <c r="CW232" s="12"/>
      <c r="CX232" s="12"/>
      <c r="CY232" s="12"/>
      <c r="CZ232" s="12"/>
      <c r="DA232" s="12"/>
      <c r="DB232" s="12"/>
      <c r="DC232" s="12"/>
      <c r="DD232" s="12"/>
      <c r="DE232" s="12"/>
      <c r="DF232" s="12"/>
      <c r="DG232" s="12"/>
      <c r="DH232" s="12"/>
      <c r="DI232" s="12"/>
      <c r="DJ232" s="12"/>
      <c r="DK232" s="12"/>
      <c r="DL232" s="12"/>
      <c r="DM232" s="12"/>
      <c r="DN232" s="12"/>
      <c r="DO232" s="12"/>
      <c r="DP232" s="12"/>
      <c r="DQ232" s="12"/>
      <c r="DR232" s="12"/>
      <c r="DS232" s="12"/>
      <c r="DT232" s="12"/>
      <c r="DU232" s="12"/>
      <c r="DV232" s="12"/>
      <c r="DW232" s="12"/>
      <c r="DX232" s="12"/>
      <c r="DY232" s="12"/>
      <c r="DZ232" s="12"/>
      <c r="EA232" s="12"/>
      <c r="EB232" s="12"/>
      <c r="EC232" s="12"/>
      <c r="ED232" s="12"/>
      <c r="EE232" s="12"/>
      <c r="EF232" s="12"/>
      <c r="EG232" s="12"/>
      <c r="EH232" s="12"/>
      <c r="EI232" s="12"/>
      <c r="EJ232" s="12"/>
      <c r="EK232" s="12"/>
      <c r="EL232" s="12"/>
      <c r="EM232" s="12"/>
      <c r="EN232" s="12"/>
      <c r="EO232" s="12"/>
      <c r="EP232" s="12"/>
      <c r="EQ232" s="12"/>
      <c r="ER232" s="12"/>
      <c r="ES232" s="12"/>
      <c r="ET232" s="12"/>
      <c r="EU232" s="12"/>
      <c r="EV232" s="12"/>
      <c r="EW232" s="12"/>
      <c r="EX232" s="12"/>
      <c r="EY232" s="12"/>
      <c r="EZ232" s="12"/>
      <c r="FA232" s="12"/>
      <c r="FB232" s="12"/>
      <c r="FC232" s="12"/>
      <c r="FD232" s="12"/>
      <c r="FE232" s="12"/>
      <c r="FF232" s="12"/>
      <c r="FG232" s="12"/>
      <c r="FH232" s="12"/>
      <c r="FI232" s="12"/>
      <c r="FJ232" s="12"/>
      <c r="FK232" s="12"/>
      <c r="FL232" s="12"/>
      <c r="FM232" s="12"/>
      <c r="FN232" s="12"/>
      <c r="FO232" s="12"/>
      <c r="FP232" s="12"/>
      <c r="FQ232" s="12"/>
      <c r="FR232" s="12"/>
      <c r="FS232" s="12"/>
      <c r="FT232" s="12"/>
      <c r="FU232" s="12"/>
      <c r="FV232" s="12"/>
      <c r="FW232" s="12"/>
      <c r="FX232" s="12"/>
      <c r="FY232" s="12"/>
      <c r="FZ232" s="12"/>
      <c r="GA232" s="12"/>
      <c r="GB232" s="12"/>
      <c r="GC232" s="12"/>
      <c r="GD232" s="12"/>
      <c r="GE232" s="12"/>
      <c r="GF232" s="12"/>
      <c r="GG232" s="12"/>
      <c r="GH232" s="12"/>
      <c r="GI232" s="12"/>
      <c r="GJ232" s="12"/>
      <c r="GK232" s="12"/>
      <c r="GL232" s="12"/>
      <c r="GM232" s="12"/>
      <c r="GN232" s="12"/>
      <c r="GO232" s="12"/>
      <c r="GP232" s="12"/>
      <c r="GQ232" s="12"/>
      <c r="GR232" s="12"/>
      <c r="GS232" s="12"/>
      <c r="GT232" s="12"/>
      <c r="GU232" s="12"/>
      <c r="GV232" s="12"/>
      <c r="GW232" s="12"/>
      <c r="GX232" s="12"/>
      <c r="GY232" s="12"/>
      <c r="GZ232" s="12"/>
      <c r="HA232" s="12"/>
      <c r="HB232" s="12"/>
      <c r="HC232" s="12"/>
      <c r="HD232" s="12"/>
      <c r="HE232" s="12"/>
      <c r="HF232" s="12"/>
      <c r="HG232" s="12"/>
      <c r="HH232" s="12"/>
      <c r="HI232" s="12"/>
      <c r="HJ232" s="12"/>
      <c r="HK232" s="12"/>
      <c r="HL232" s="12"/>
      <c r="HM232" s="12"/>
      <c r="HN232" s="12"/>
      <c r="HO232" s="12"/>
      <c r="HP232" s="12"/>
      <c r="HQ232" s="12"/>
      <c r="HR232" s="12"/>
      <c r="HS232" s="12"/>
      <c r="HT232" s="12"/>
      <c r="HU232" s="12"/>
      <c r="HV232" s="12"/>
      <c r="HW232" s="12"/>
      <c r="HX232" s="12"/>
      <c r="HY232" s="12"/>
      <c r="HZ232" s="12"/>
      <c r="IA232" s="12"/>
      <c r="IB232" s="12"/>
      <c r="IC232" s="12"/>
      <c r="ID232" s="12"/>
      <c r="IE232" s="12"/>
      <c r="IF232" s="12"/>
      <c r="IG232" s="12"/>
      <c r="IH232" s="12"/>
      <c r="II232" s="12"/>
      <c r="IJ232" s="12"/>
      <c r="IK232" s="12"/>
      <c r="IL232" s="12"/>
      <c r="IM232" s="12"/>
      <c r="IN232" s="12"/>
      <c r="IO232" s="12"/>
      <c r="IP232" s="12"/>
      <c r="IQ232" s="12"/>
      <c r="IR232" s="12"/>
      <c r="IS232" s="12"/>
      <c r="IT232" s="12"/>
      <c r="IU232" s="12"/>
      <c r="IV232" s="12"/>
      <c r="IW232" s="12"/>
    </row>
    <row r="233" customFormat="false" ht="11.25" hidden="false" customHeight="false" outlineLevel="0" collapsed="false">
      <c r="A233" s="25" t="n">
        <f aca="false">DATE(YEAR(A232),MONTH(A232)+1,1)</f>
        <v>52810</v>
      </c>
      <c r="B233" s="21" t="n">
        <v>3.28</v>
      </c>
      <c r="C233" s="21" t="n">
        <v>3.38</v>
      </c>
      <c r="D233" s="25" t="n">
        <f aca="false">DATE(YEAR(D232),MONTH(D232)+1,1)</f>
        <v>52810</v>
      </c>
      <c r="E233" s="21" t="n">
        <v>20.793</v>
      </c>
      <c r="F233" s="21" t="n">
        <v>22.439</v>
      </c>
      <c r="G233" s="6"/>
      <c r="H233" s="22" t="n">
        <f aca="false">A233</f>
        <v>52810</v>
      </c>
      <c r="I233" s="23" t="n">
        <f aca="false">IF($J$1="bid",B233,C233)</f>
        <v>3.38</v>
      </c>
      <c r="J233" s="24" t="n">
        <f aca="false">D233</f>
        <v>52810</v>
      </c>
      <c r="K233" s="23" t="n">
        <f aca="false">IF($J$1="bid",E233,F233)</f>
        <v>22.439</v>
      </c>
      <c r="L233" s="11"/>
      <c r="M233" s="11"/>
      <c r="N233" s="11"/>
      <c r="O233" s="11"/>
      <c r="P233" s="11"/>
      <c r="Q233" s="11"/>
      <c r="R233" s="11"/>
      <c r="S233" s="11"/>
      <c r="T233" s="11"/>
      <c r="U233" s="11"/>
      <c r="V233" s="11"/>
      <c r="W233" s="11"/>
      <c r="X233" s="11"/>
      <c r="Y233" s="11"/>
      <c r="Z233" s="11"/>
      <c r="AA233" s="11"/>
      <c r="AB233" s="11"/>
      <c r="AC233" s="11"/>
      <c r="AD233" s="11"/>
      <c r="AE233" s="11"/>
      <c r="AF233" s="11"/>
      <c r="AG233" s="11"/>
      <c r="AH233" s="11"/>
      <c r="AI233" s="11"/>
      <c r="AJ233" s="11"/>
      <c r="AK233" s="11"/>
      <c r="AL233" s="11"/>
      <c r="AM233" s="11"/>
      <c r="AN233" s="11"/>
      <c r="AO233" s="11"/>
      <c r="AP233" s="11"/>
      <c r="AQ233" s="11"/>
      <c r="AR233" s="5"/>
      <c r="AS233" s="12"/>
      <c r="AT233" s="12"/>
      <c r="AU233" s="12"/>
      <c r="AV233" s="12"/>
      <c r="AW233" s="12"/>
      <c r="AX233" s="12"/>
      <c r="AY233" s="12"/>
      <c r="AZ233" s="12"/>
      <c r="BA233" s="12"/>
      <c r="BB233" s="12"/>
      <c r="BC233" s="12"/>
      <c r="BD233" s="12"/>
      <c r="BE233" s="12"/>
      <c r="BF233" s="12"/>
      <c r="BG233" s="12"/>
      <c r="BH233" s="12"/>
      <c r="BI233" s="12"/>
      <c r="BJ233" s="12"/>
      <c r="BK233" s="12"/>
      <c r="BL233" s="12"/>
      <c r="BM233" s="12"/>
      <c r="BN233" s="12"/>
      <c r="BO233" s="12"/>
      <c r="BP233" s="12"/>
      <c r="BQ233" s="12"/>
      <c r="BR233" s="12"/>
      <c r="BS233" s="12"/>
      <c r="BT233" s="12"/>
      <c r="BU233" s="12"/>
      <c r="BV233" s="12"/>
      <c r="BW233" s="12"/>
      <c r="BX233" s="12"/>
      <c r="BY233" s="12"/>
      <c r="BZ233" s="12"/>
      <c r="CA233" s="12"/>
      <c r="CB233" s="12"/>
      <c r="CC233" s="12"/>
      <c r="CD233" s="12"/>
      <c r="CE233" s="12"/>
      <c r="CF233" s="12"/>
      <c r="CG233" s="12"/>
      <c r="CH233" s="12"/>
      <c r="CI233" s="12"/>
      <c r="CJ233" s="12"/>
      <c r="CK233" s="12"/>
      <c r="CL233" s="12"/>
      <c r="CM233" s="12"/>
      <c r="CN233" s="12"/>
      <c r="CO233" s="12"/>
      <c r="CP233" s="12"/>
      <c r="CQ233" s="12"/>
      <c r="CR233" s="12"/>
      <c r="CS233" s="12"/>
      <c r="CT233" s="12"/>
      <c r="CU233" s="12"/>
      <c r="CV233" s="12"/>
      <c r="CW233" s="12"/>
      <c r="CX233" s="12"/>
      <c r="CY233" s="12"/>
      <c r="CZ233" s="12"/>
      <c r="DA233" s="12"/>
      <c r="DB233" s="12"/>
      <c r="DC233" s="12"/>
      <c r="DD233" s="12"/>
      <c r="DE233" s="12"/>
      <c r="DF233" s="12"/>
      <c r="DG233" s="12"/>
      <c r="DH233" s="12"/>
      <c r="DI233" s="12"/>
      <c r="DJ233" s="12"/>
      <c r="DK233" s="12"/>
      <c r="DL233" s="12"/>
      <c r="DM233" s="12"/>
      <c r="DN233" s="12"/>
      <c r="DO233" s="12"/>
      <c r="DP233" s="12"/>
      <c r="DQ233" s="12"/>
      <c r="DR233" s="12"/>
      <c r="DS233" s="12"/>
      <c r="DT233" s="12"/>
      <c r="DU233" s="12"/>
      <c r="DV233" s="12"/>
      <c r="DW233" s="12"/>
      <c r="DX233" s="12"/>
      <c r="DY233" s="12"/>
      <c r="DZ233" s="12"/>
      <c r="EA233" s="12"/>
      <c r="EB233" s="12"/>
      <c r="EC233" s="12"/>
      <c r="ED233" s="12"/>
      <c r="EE233" s="12"/>
      <c r="EF233" s="12"/>
      <c r="EG233" s="12"/>
      <c r="EH233" s="12"/>
      <c r="EI233" s="12"/>
      <c r="EJ233" s="12"/>
      <c r="EK233" s="12"/>
      <c r="EL233" s="12"/>
      <c r="EM233" s="12"/>
      <c r="EN233" s="12"/>
      <c r="EO233" s="12"/>
      <c r="EP233" s="12"/>
      <c r="EQ233" s="12"/>
      <c r="ER233" s="12"/>
      <c r="ES233" s="12"/>
      <c r="ET233" s="12"/>
      <c r="EU233" s="12"/>
      <c r="EV233" s="12"/>
      <c r="EW233" s="12"/>
      <c r="EX233" s="12"/>
      <c r="EY233" s="12"/>
      <c r="EZ233" s="12"/>
      <c r="FA233" s="12"/>
      <c r="FB233" s="12"/>
      <c r="FC233" s="12"/>
      <c r="FD233" s="12"/>
      <c r="FE233" s="12"/>
      <c r="FF233" s="12"/>
      <c r="FG233" s="12"/>
      <c r="FH233" s="12"/>
      <c r="FI233" s="12"/>
      <c r="FJ233" s="12"/>
      <c r="FK233" s="12"/>
      <c r="FL233" s="12"/>
      <c r="FM233" s="12"/>
      <c r="FN233" s="12"/>
      <c r="FO233" s="12"/>
      <c r="FP233" s="12"/>
      <c r="FQ233" s="12"/>
      <c r="FR233" s="12"/>
      <c r="FS233" s="12"/>
      <c r="FT233" s="12"/>
      <c r="FU233" s="12"/>
      <c r="FV233" s="12"/>
      <c r="FW233" s="12"/>
      <c r="FX233" s="12"/>
      <c r="FY233" s="12"/>
      <c r="FZ233" s="12"/>
      <c r="GA233" s="12"/>
      <c r="GB233" s="12"/>
      <c r="GC233" s="12"/>
      <c r="GD233" s="12"/>
      <c r="GE233" s="12"/>
      <c r="GF233" s="12"/>
      <c r="GG233" s="12"/>
      <c r="GH233" s="12"/>
      <c r="GI233" s="12"/>
      <c r="GJ233" s="12"/>
      <c r="GK233" s="12"/>
      <c r="GL233" s="12"/>
      <c r="GM233" s="12"/>
      <c r="GN233" s="12"/>
      <c r="GO233" s="12"/>
      <c r="GP233" s="12"/>
      <c r="GQ233" s="12"/>
      <c r="GR233" s="12"/>
      <c r="GS233" s="12"/>
      <c r="GT233" s="12"/>
      <c r="GU233" s="12"/>
      <c r="GV233" s="12"/>
      <c r="GW233" s="12"/>
      <c r="GX233" s="12"/>
      <c r="GY233" s="12"/>
      <c r="GZ233" s="12"/>
      <c r="HA233" s="12"/>
      <c r="HB233" s="12"/>
      <c r="HC233" s="12"/>
      <c r="HD233" s="12"/>
      <c r="HE233" s="12"/>
      <c r="HF233" s="12"/>
      <c r="HG233" s="12"/>
      <c r="HH233" s="12"/>
      <c r="HI233" s="12"/>
      <c r="HJ233" s="12"/>
      <c r="HK233" s="12"/>
      <c r="HL233" s="12"/>
      <c r="HM233" s="12"/>
      <c r="HN233" s="12"/>
      <c r="HO233" s="12"/>
      <c r="HP233" s="12"/>
      <c r="HQ233" s="12"/>
      <c r="HR233" s="12"/>
      <c r="HS233" s="12"/>
      <c r="HT233" s="12"/>
      <c r="HU233" s="12"/>
      <c r="HV233" s="12"/>
      <c r="HW233" s="12"/>
      <c r="HX233" s="12"/>
      <c r="HY233" s="12"/>
      <c r="HZ233" s="12"/>
      <c r="IA233" s="12"/>
      <c r="IB233" s="12"/>
      <c r="IC233" s="12"/>
      <c r="ID233" s="12"/>
      <c r="IE233" s="12"/>
      <c r="IF233" s="12"/>
      <c r="IG233" s="12"/>
      <c r="IH233" s="12"/>
      <c r="II233" s="12"/>
      <c r="IJ233" s="12"/>
      <c r="IK233" s="12"/>
      <c r="IL233" s="12"/>
      <c r="IM233" s="12"/>
      <c r="IN233" s="12"/>
      <c r="IO233" s="12"/>
      <c r="IP233" s="12"/>
      <c r="IQ233" s="12"/>
      <c r="IR233" s="12"/>
      <c r="IS233" s="12"/>
      <c r="IT233" s="12"/>
      <c r="IU233" s="12"/>
      <c r="IV233" s="12"/>
      <c r="IW233" s="12"/>
    </row>
    <row r="234" customFormat="false" ht="11.25" hidden="false" customHeight="false" outlineLevel="0" collapsed="false">
      <c r="A234" s="25" t="n">
        <f aca="false">DATE(YEAR(A233),MONTH(A233)+1,1)</f>
        <v>52841</v>
      </c>
      <c r="B234" s="21" t="n">
        <v>3.354</v>
      </c>
      <c r="C234" s="21" t="n">
        <v>3.454</v>
      </c>
      <c r="D234" s="25" t="n">
        <f aca="false">DATE(YEAR(D233),MONTH(D233)+1,1)</f>
        <v>52841</v>
      </c>
      <c r="E234" s="21" t="n">
        <v>20.81</v>
      </c>
      <c r="F234" s="21" t="n">
        <v>22.465</v>
      </c>
      <c r="G234" s="6"/>
      <c r="H234" s="22" t="n">
        <f aca="false">A234</f>
        <v>52841</v>
      </c>
      <c r="I234" s="23" t="n">
        <f aca="false">IF($J$1="bid",B234,C234)</f>
        <v>3.454</v>
      </c>
      <c r="J234" s="24" t="n">
        <f aca="false">D234</f>
        <v>52841</v>
      </c>
      <c r="K234" s="23" t="n">
        <f aca="false">IF($J$1="bid",E234,F234)</f>
        <v>22.465</v>
      </c>
      <c r="L234" s="11"/>
      <c r="M234" s="11"/>
      <c r="N234" s="11"/>
      <c r="O234" s="11"/>
      <c r="P234" s="11"/>
      <c r="Q234" s="11"/>
      <c r="R234" s="11"/>
      <c r="S234" s="11"/>
      <c r="T234" s="11"/>
      <c r="U234" s="11"/>
      <c r="V234" s="11"/>
      <c r="W234" s="11"/>
      <c r="X234" s="11"/>
      <c r="Y234" s="11"/>
      <c r="Z234" s="11"/>
      <c r="AA234" s="11"/>
      <c r="AB234" s="11"/>
      <c r="AC234" s="11"/>
      <c r="AD234" s="11"/>
      <c r="AE234" s="11"/>
      <c r="AF234" s="11"/>
      <c r="AG234" s="11"/>
      <c r="AH234" s="11"/>
      <c r="AI234" s="11"/>
      <c r="AJ234" s="11"/>
      <c r="AK234" s="11"/>
      <c r="AL234" s="11"/>
      <c r="AM234" s="11"/>
      <c r="AN234" s="11"/>
      <c r="AO234" s="11"/>
      <c r="AP234" s="11"/>
      <c r="AQ234" s="11"/>
      <c r="AR234" s="5"/>
      <c r="AS234" s="12"/>
      <c r="AT234" s="12"/>
      <c r="AU234" s="12"/>
      <c r="AV234" s="12"/>
      <c r="AW234" s="12"/>
      <c r="AX234" s="12"/>
      <c r="AY234" s="12"/>
      <c r="AZ234" s="12"/>
      <c r="BA234" s="12"/>
      <c r="BB234" s="12"/>
      <c r="BC234" s="12"/>
      <c r="BD234" s="12"/>
      <c r="BE234" s="12"/>
      <c r="BF234" s="12"/>
      <c r="BG234" s="12"/>
      <c r="BH234" s="12"/>
      <c r="BI234" s="12"/>
      <c r="BJ234" s="12"/>
      <c r="BK234" s="12"/>
      <c r="BL234" s="12"/>
      <c r="BM234" s="12"/>
      <c r="BN234" s="12"/>
      <c r="BO234" s="12"/>
      <c r="BP234" s="12"/>
      <c r="BQ234" s="12"/>
      <c r="BR234" s="12"/>
      <c r="BS234" s="12"/>
      <c r="BT234" s="12"/>
      <c r="BU234" s="12"/>
      <c r="BV234" s="12"/>
      <c r="BW234" s="12"/>
      <c r="BX234" s="12"/>
      <c r="BY234" s="12"/>
      <c r="BZ234" s="12"/>
      <c r="CA234" s="12"/>
      <c r="CB234" s="12"/>
      <c r="CC234" s="12"/>
      <c r="CD234" s="12"/>
      <c r="CE234" s="12"/>
      <c r="CF234" s="12"/>
      <c r="CG234" s="12"/>
      <c r="CH234" s="12"/>
      <c r="CI234" s="12"/>
      <c r="CJ234" s="12"/>
      <c r="CK234" s="12"/>
      <c r="CL234" s="12"/>
      <c r="CM234" s="12"/>
      <c r="CN234" s="12"/>
      <c r="CO234" s="12"/>
      <c r="CP234" s="12"/>
      <c r="CQ234" s="12"/>
      <c r="CR234" s="12"/>
      <c r="CS234" s="12"/>
      <c r="CT234" s="12"/>
      <c r="CU234" s="12"/>
      <c r="CV234" s="12"/>
      <c r="CW234" s="12"/>
      <c r="CX234" s="12"/>
      <c r="CY234" s="12"/>
      <c r="CZ234" s="12"/>
      <c r="DA234" s="12"/>
      <c r="DB234" s="12"/>
      <c r="DC234" s="12"/>
      <c r="DD234" s="12"/>
      <c r="DE234" s="12"/>
      <c r="DF234" s="12"/>
      <c r="DG234" s="12"/>
      <c r="DH234" s="12"/>
      <c r="DI234" s="12"/>
      <c r="DJ234" s="12"/>
      <c r="DK234" s="12"/>
      <c r="DL234" s="12"/>
      <c r="DM234" s="12"/>
      <c r="DN234" s="12"/>
      <c r="DO234" s="12"/>
      <c r="DP234" s="12"/>
      <c r="DQ234" s="12"/>
      <c r="DR234" s="12"/>
      <c r="DS234" s="12"/>
      <c r="DT234" s="12"/>
      <c r="DU234" s="12"/>
      <c r="DV234" s="12"/>
      <c r="DW234" s="12"/>
      <c r="DX234" s="12"/>
      <c r="DY234" s="12"/>
      <c r="DZ234" s="12"/>
      <c r="EA234" s="12"/>
      <c r="EB234" s="12"/>
      <c r="EC234" s="12"/>
      <c r="ED234" s="12"/>
      <c r="EE234" s="12"/>
      <c r="EF234" s="12"/>
      <c r="EG234" s="12"/>
      <c r="EH234" s="12"/>
      <c r="EI234" s="12"/>
      <c r="EJ234" s="12"/>
      <c r="EK234" s="12"/>
      <c r="EL234" s="12"/>
      <c r="EM234" s="12"/>
      <c r="EN234" s="12"/>
      <c r="EO234" s="12"/>
      <c r="EP234" s="12"/>
      <c r="EQ234" s="12"/>
      <c r="ER234" s="12"/>
      <c r="ES234" s="12"/>
      <c r="ET234" s="12"/>
      <c r="EU234" s="12"/>
      <c r="EV234" s="12"/>
      <c r="EW234" s="12"/>
      <c r="EX234" s="12"/>
      <c r="EY234" s="12"/>
      <c r="EZ234" s="12"/>
      <c r="FA234" s="12"/>
      <c r="FB234" s="12"/>
      <c r="FC234" s="12"/>
      <c r="FD234" s="12"/>
      <c r="FE234" s="12"/>
      <c r="FF234" s="12"/>
      <c r="FG234" s="12"/>
      <c r="FH234" s="12"/>
      <c r="FI234" s="12"/>
      <c r="FJ234" s="12"/>
      <c r="FK234" s="12"/>
      <c r="FL234" s="12"/>
      <c r="FM234" s="12"/>
      <c r="FN234" s="12"/>
      <c r="FO234" s="12"/>
      <c r="FP234" s="12"/>
      <c r="FQ234" s="12"/>
      <c r="FR234" s="12"/>
      <c r="FS234" s="12"/>
      <c r="FT234" s="12"/>
      <c r="FU234" s="12"/>
      <c r="FV234" s="12"/>
      <c r="FW234" s="12"/>
      <c r="FX234" s="12"/>
      <c r="FY234" s="12"/>
      <c r="FZ234" s="12"/>
      <c r="GA234" s="12"/>
      <c r="GB234" s="12"/>
      <c r="GC234" s="12"/>
      <c r="GD234" s="12"/>
      <c r="GE234" s="12"/>
      <c r="GF234" s="12"/>
      <c r="GG234" s="12"/>
      <c r="GH234" s="12"/>
      <c r="GI234" s="12"/>
      <c r="GJ234" s="12"/>
      <c r="GK234" s="12"/>
      <c r="GL234" s="12"/>
      <c r="GM234" s="12"/>
      <c r="GN234" s="12"/>
      <c r="GO234" s="12"/>
      <c r="GP234" s="12"/>
      <c r="GQ234" s="12"/>
      <c r="GR234" s="12"/>
      <c r="GS234" s="12"/>
      <c r="GT234" s="12"/>
      <c r="GU234" s="12"/>
      <c r="GV234" s="12"/>
      <c r="GW234" s="12"/>
      <c r="GX234" s="12"/>
      <c r="GY234" s="12"/>
      <c r="GZ234" s="12"/>
      <c r="HA234" s="12"/>
      <c r="HB234" s="12"/>
      <c r="HC234" s="12"/>
      <c r="HD234" s="12"/>
      <c r="HE234" s="12"/>
      <c r="HF234" s="12"/>
      <c r="HG234" s="12"/>
      <c r="HH234" s="12"/>
      <c r="HI234" s="12"/>
      <c r="HJ234" s="12"/>
      <c r="HK234" s="12"/>
      <c r="HL234" s="12"/>
      <c r="HM234" s="12"/>
      <c r="HN234" s="12"/>
      <c r="HO234" s="12"/>
      <c r="HP234" s="12"/>
      <c r="HQ234" s="12"/>
      <c r="HR234" s="12"/>
      <c r="HS234" s="12"/>
      <c r="HT234" s="12"/>
      <c r="HU234" s="12"/>
      <c r="HV234" s="12"/>
      <c r="HW234" s="12"/>
      <c r="HX234" s="12"/>
      <c r="HY234" s="12"/>
      <c r="HZ234" s="12"/>
      <c r="IA234" s="12"/>
      <c r="IB234" s="12"/>
      <c r="IC234" s="12"/>
      <c r="ID234" s="12"/>
      <c r="IE234" s="12"/>
      <c r="IF234" s="12"/>
      <c r="IG234" s="12"/>
      <c r="IH234" s="12"/>
      <c r="II234" s="12"/>
      <c r="IJ234" s="12"/>
      <c r="IK234" s="12"/>
      <c r="IL234" s="12"/>
      <c r="IM234" s="12"/>
      <c r="IN234" s="12"/>
      <c r="IO234" s="12"/>
      <c r="IP234" s="12"/>
      <c r="IQ234" s="12"/>
      <c r="IR234" s="12"/>
      <c r="IS234" s="12"/>
      <c r="IT234" s="12"/>
      <c r="IU234" s="12"/>
      <c r="IV234" s="12"/>
      <c r="IW234" s="12"/>
    </row>
    <row r="235" customFormat="false" ht="11.25" hidden="false" customHeight="false" outlineLevel="0" collapsed="false">
      <c r="A235" s="25" t="n">
        <f aca="false">DATE(YEAR(A234),MONTH(A234)+1,1)</f>
        <v>52871</v>
      </c>
      <c r="B235" s="21" t="n">
        <v>3.472</v>
      </c>
      <c r="C235" s="21" t="n">
        <v>3.572</v>
      </c>
      <c r="D235" s="25" t="n">
        <f aca="false">DATE(YEAR(D234),MONTH(D234)+1,1)</f>
        <v>52871</v>
      </c>
      <c r="E235" s="21" t="n">
        <v>20.826</v>
      </c>
      <c r="F235" s="21" t="n">
        <v>22.488</v>
      </c>
      <c r="G235" s="6"/>
      <c r="H235" s="22" t="n">
        <f aca="false">A235</f>
        <v>52871</v>
      </c>
      <c r="I235" s="23" t="n">
        <f aca="false">IF($J$1="bid",B235,C235)</f>
        <v>3.572</v>
      </c>
      <c r="J235" s="24" t="n">
        <f aca="false">D235</f>
        <v>52871</v>
      </c>
      <c r="K235" s="23" t="n">
        <f aca="false">IF($J$1="bid",E235,F235)</f>
        <v>22.488</v>
      </c>
      <c r="L235" s="11"/>
      <c r="M235" s="11"/>
      <c r="N235" s="11"/>
      <c r="O235" s="11"/>
      <c r="P235" s="11"/>
      <c r="Q235" s="11"/>
      <c r="R235" s="11"/>
      <c r="S235" s="11"/>
      <c r="T235" s="11"/>
      <c r="U235" s="11"/>
      <c r="V235" s="11"/>
      <c r="W235" s="11"/>
      <c r="X235" s="11"/>
      <c r="Y235" s="11"/>
      <c r="Z235" s="11"/>
      <c r="AA235" s="11"/>
      <c r="AB235" s="11"/>
      <c r="AC235" s="11"/>
      <c r="AD235" s="11"/>
      <c r="AE235" s="11"/>
      <c r="AF235" s="11"/>
      <c r="AG235" s="11"/>
      <c r="AH235" s="11"/>
      <c r="AI235" s="11"/>
      <c r="AJ235" s="11"/>
      <c r="AK235" s="11"/>
      <c r="AL235" s="11"/>
      <c r="AM235" s="11"/>
      <c r="AN235" s="11"/>
      <c r="AO235" s="11"/>
      <c r="AP235" s="11"/>
      <c r="AQ235" s="11"/>
      <c r="AR235" s="5"/>
      <c r="AS235" s="12"/>
      <c r="AT235" s="12"/>
      <c r="AU235" s="12"/>
      <c r="AV235" s="12"/>
      <c r="AW235" s="12"/>
      <c r="AX235" s="12"/>
      <c r="AY235" s="12"/>
      <c r="AZ235" s="12"/>
      <c r="BA235" s="12"/>
      <c r="BB235" s="12"/>
      <c r="BC235" s="12"/>
      <c r="BD235" s="12"/>
      <c r="BE235" s="12"/>
      <c r="BF235" s="12"/>
      <c r="BG235" s="12"/>
      <c r="BH235" s="12"/>
      <c r="BI235" s="12"/>
      <c r="BJ235" s="12"/>
      <c r="BK235" s="12"/>
      <c r="BL235" s="12"/>
      <c r="BM235" s="12"/>
      <c r="BN235" s="12"/>
      <c r="BO235" s="12"/>
      <c r="BP235" s="12"/>
      <c r="BQ235" s="12"/>
      <c r="BR235" s="12"/>
      <c r="BS235" s="12"/>
      <c r="BT235" s="12"/>
      <c r="BU235" s="12"/>
      <c r="BV235" s="12"/>
      <c r="BW235" s="12"/>
      <c r="BX235" s="12"/>
      <c r="BY235" s="12"/>
      <c r="BZ235" s="12"/>
      <c r="CA235" s="12"/>
      <c r="CB235" s="12"/>
      <c r="CC235" s="12"/>
      <c r="CD235" s="12"/>
      <c r="CE235" s="12"/>
      <c r="CF235" s="12"/>
      <c r="CG235" s="12"/>
      <c r="CH235" s="12"/>
      <c r="CI235" s="12"/>
      <c r="CJ235" s="12"/>
      <c r="CK235" s="12"/>
      <c r="CL235" s="12"/>
      <c r="CM235" s="12"/>
      <c r="CN235" s="12"/>
      <c r="CO235" s="12"/>
      <c r="CP235" s="12"/>
      <c r="CQ235" s="12"/>
      <c r="CR235" s="12"/>
      <c r="CS235" s="12"/>
      <c r="CT235" s="12"/>
      <c r="CU235" s="12"/>
      <c r="CV235" s="12"/>
      <c r="CW235" s="12"/>
      <c r="CX235" s="12"/>
      <c r="CY235" s="12"/>
      <c r="CZ235" s="12"/>
      <c r="DA235" s="12"/>
      <c r="DB235" s="12"/>
      <c r="DC235" s="12"/>
      <c r="DD235" s="12"/>
      <c r="DE235" s="12"/>
      <c r="DF235" s="12"/>
      <c r="DG235" s="12"/>
      <c r="DH235" s="12"/>
      <c r="DI235" s="12"/>
      <c r="DJ235" s="12"/>
      <c r="DK235" s="12"/>
      <c r="DL235" s="12"/>
      <c r="DM235" s="12"/>
      <c r="DN235" s="12"/>
      <c r="DO235" s="12"/>
      <c r="DP235" s="12"/>
      <c r="DQ235" s="12"/>
      <c r="DR235" s="12"/>
      <c r="DS235" s="12"/>
      <c r="DT235" s="12"/>
      <c r="DU235" s="12"/>
      <c r="DV235" s="12"/>
      <c r="DW235" s="12"/>
      <c r="DX235" s="12"/>
      <c r="DY235" s="12"/>
      <c r="DZ235" s="12"/>
      <c r="EA235" s="12"/>
      <c r="EB235" s="12"/>
      <c r="EC235" s="12"/>
      <c r="ED235" s="12"/>
      <c r="EE235" s="12"/>
      <c r="EF235" s="12"/>
      <c r="EG235" s="12"/>
      <c r="EH235" s="12"/>
      <c r="EI235" s="12"/>
      <c r="EJ235" s="12"/>
      <c r="EK235" s="12"/>
      <c r="EL235" s="12"/>
      <c r="EM235" s="12"/>
      <c r="EN235" s="12"/>
      <c r="EO235" s="12"/>
      <c r="EP235" s="12"/>
      <c r="EQ235" s="12"/>
      <c r="ER235" s="12"/>
      <c r="ES235" s="12"/>
      <c r="ET235" s="12"/>
      <c r="EU235" s="12"/>
      <c r="EV235" s="12"/>
      <c r="EW235" s="12"/>
      <c r="EX235" s="12"/>
      <c r="EY235" s="12"/>
      <c r="EZ235" s="12"/>
      <c r="FA235" s="12"/>
      <c r="FB235" s="12"/>
      <c r="FC235" s="12"/>
      <c r="FD235" s="12"/>
      <c r="FE235" s="12"/>
      <c r="FF235" s="12"/>
      <c r="FG235" s="12"/>
      <c r="FH235" s="12"/>
      <c r="FI235" s="12"/>
      <c r="FJ235" s="12"/>
      <c r="FK235" s="12"/>
      <c r="FL235" s="12"/>
      <c r="FM235" s="12"/>
      <c r="FN235" s="12"/>
      <c r="FO235" s="12"/>
      <c r="FP235" s="12"/>
      <c r="FQ235" s="12"/>
      <c r="FR235" s="12"/>
      <c r="FS235" s="12"/>
      <c r="FT235" s="12"/>
      <c r="FU235" s="12"/>
      <c r="FV235" s="12"/>
      <c r="FW235" s="12"/>
      <c r="FX235" s="12"/>
      <c r="FY235" s="12"/>
      <c r="FZ235" s="12"/>
      <c r="GA235" s="12"/>
      <c r="GB235" s="12"/>
      <c r="GC235" s="12"/>
      <c r="GD235" s="12"/>
      <c r="GE235" s="12"/>
      <c r="GF235" s="12"/>
      <c r="GG235" s="12"/>
      <c r="GH235" s="12"/>
      <c r="GI235" s="12"/>
      <c r="GJ235" s="12"/>
      <c r="GK235" s="12"/>
      <c r="GL235" s="12"/>
      <c r="GM235" s="12"/>
      <c r="GN235" s="12"/>
      <c r="GO235" s="12"/>
      <c r="GP235" s="12"/>
      <c r="GQ235" s="12"/>
      <c r="GR235" s="12"/>
      <c r="GS235" s="12"/>
      <c r="GT235" s="12"/>
      <c r="GU235" s="12"/>
      <c r="GV235" s="12"/>
      <c r="GW235" s="12"/>
      <c r="GX235" s="12"/>
      <c r="GY235" s="12"/>
      <c r="GZ235" s="12"/>
      <c r="HA235" s="12"/>
      <c r="HB235" s="12"/>
      <c r="HC235" s="12"/>
      <c r="HD235" s="12"/>
      <c r="HE235" s="12"/>
      <c r="HF235" s="12"/>
      <c r="HG235" s="12"/>
      <c r="HH235" s="12"/>
      <c r="HI235" s="12"/>
      <c r="HJ235" s="12"/>
      <c r="HK235" s="12"/>
      <c r="HL235" s="12"/>
      <c r="HM235" s="12"/>
      <c r="HN235" s="12"/>
      <c r="HO235" s="12"/>
      <c r="HP235" s="12"/>
      <c r="HQ235" s="12"/>
      <c r="HR235" s="12"/>
      <c r="HS235" s="12"/>
      <c r="HT235" s="12"/>
      <c r="HU235" s="12"/>
      <c r="HV235" s="12"/>
      <c r="HW235" s="12"/>
      <c r="HX235" s="12"/>
      <c r="HY235" s="12"/>
      <c r="HZ235" s="12"/>
      <c r="IA235" s="12"/>
      <c r="IB235" s="12"/>
      <c r="IC235" s="12"/>
      <c r="ID235" s="12"/>
      <c r="IE235" s="12"/>
      <c r="IF235" s="12"/>
      <c r="IG235" s="12"/>
      <c r="IH235" s="12"/>
      <c r="II235" s="12"/>
      <c r="IJ235" s="12"/>
      <c r="IK235" s="12"/>
      <c r="IL235" s="12"/>
      <c r="IM235" s="12"/>
      <c r="IN235" s="12"/>
      <c r="IO235" s="12"/>
      <c r="IP235" s="12"/>
      <c r="IQ235" s="12"/>
      <c r="IR235" s="12"/>
      <c r="IS235" s="12"/>
      <c r="IT235" s="12"/>
      <c r="IU235" s="12"/>
      <c r="IV235" s="12"/>
      <c r="IW235" s="12"/>
    </row>
    <row r="236" customFormat="false" ht="11.25" hidden="false" customHeight="false" outlineLevel="0" collapsed="false">
      <c r="A236" s="25" t="n">
        <f aca="false">DATE(YEAR(A235),MONTH(A235)+1,1)</f>
        <v>52902</v>
      </c>
      <c r="B236" s="21" t="n">
        <v>3.683</v>
      </c>
      <c r="C236" s="21" t="n">
        <v>3.783</v>
      </c>
      <c r="D236" s="25" t="n">
        <f aca="false">DATE(YEAR(D235),MONTH(D235)+1,1)</f>
        <v>52902</v>
      </c>
      <c r="E236" s="21" t="n">
        <v>20.843</v>
      </c>
      <c r="F236" s="21" t="n">
        <v>22.515</v>
      </c>
      <c r="G236" s="6"/>
      <c r="H236" s="22" t="n">
        <f aca="false">A236</f>
        <v>52902</v>
      </c>
      <c r="I236" s="23" t="n">
        <f aca="false">IF($J$1="bid",B236,C236)</f>
        <v>3.783</v>
      </c>
      <c r="J236" s="24" t="n">
        <f aca="false">D236</f>
        <v>52902</v>
      </c>
      <c r="K236" s="23" t="n">
        <f aca="false">IF($J$1="bid",E236,F236)</f>
        <v>22.515</v>
      </c>
      <c r="L236" s="11"/>
      <c r="M236" s="11"/>
      <c r="N236" s="11"/>
      <c r="O236" s="11"/>
      <c r="P236" s="11"/>
      <c r="Q236" s="11"/>
      <c r="R236" s="11"/>
      <c r="S236" s="11"/>
      <c r="T236" s="11"/>
      <c r="U236" s="11"/>
      <c r="V236" s="11"/>
      <c r="W236" s="11"/>
      <c r="X236" s="11"/>
      <c r="Y236" s="11"/>
      <c r="Z236" s="11"/>
      <c r="AA236" s="11"/>
      <c r="AB236" s="11"/>
      <c r="AC236" s="11"/>
      <c r="AD236" s="11"/>
      <c r="AE236" s="11"/>
      <c r="AF236" s="11"/>
      <c r="AG236" s="11"/>
      <c r="AH236" s="11"/>
      <c r="AI236" s="11"/>
      <c r="AJ236" s="11"/>
      <c r="AK236" s="11"/>
      <c r="AL236" s="11"/>
      <c r="AM236" s="11"/>
      <c r="AN236" s="11"/>
      <c r="AO236" s="11"/>
      <c r="AP236" s="11"/>
      <c r="AQ236" s="11"/>
      <c r="AR236" s="5"/>
      <c r="AS236" s="12"/>
      <c r="AT236" s="12"/>
      <c r="AU236" s="12"/>
      <c r="AV236" s="12"/>
      <c r="AW236" s="12"/>
      <c r="AX236" s="12"/>
      <c r="AY236" s="12"/>
      <c r="AZ236" s="12"/>
      <c r="BA236" s="12"/>
      <c r="BB236" s="12"/>
      <c r="BC236" s="12"/>
      <c r="BD236" s="12"/>
      <c r="BE236" s="12"/>
      <c r="BF236" s="12"/>
      <c r="BG236" s="12"/>
      <c r="BH236" s="12"/>
      <c r="BI236" s="12"/>
      <c r="BJ236" s="12"/>
      <c r="BK236" s="12"/>
      <c r="BL236" s="12"/>
      <c r="BM236" s="12"/>
      <c r="BN236" s="12"/>
      <c r="BO236" s="12"/>
      <c r="BP236" s="12"/>
      <c r="BQ236" s="12"/>
      <c r="BR236" s="12"/>
      <c r="BS236" s="12"/>
      <c r="BT236" s="12"/>
      <c r="BU236" s="12"/>
      <c r="BV236" s="12"/>
      <c r="BW236" s="12"/>
      <c r="BX236" s="12"/>
      <c r="BY236" s="12"/>
      <c r="BZ236" s="12"/>
      <c r="CA236" s="12"/>
      <c r="CB236" s="12"/>
      <c r="CC236" s="12"/>
      <c r="CD236" s="12"/>
      <c r="CE236" s="12"/>
      <c r="CF236" s="12"/>
      <c r="CG236" s="12"/>
      <c r="CH236" s="12"/>
      <c r="CI236" s="12"/>
      <c r="CJ236" s="12"/>
      <c r="CK236" s="12"/>
      <c r="CL236" s="12"/>
      <c r="CM236" s="12"/>
      <c r="CN236" s="12"/>
      <c r="CO236" s="12"/>
      <c r="CP236" s="12"/>
      <c r="CQ236" s="12"/>
      <c r="CR236" s="12"/>
      <c r="CS236" s="12"/>
      <c r="CT236" s="12"/>
      <c r="CU236" s="12"/>
      <c r="CV236" s="12"/>
      <c r="CW236" s="12"/>
      <c r="CX236" s="12"/>
      <c r="CY236" s="12"/>
      <c r="CZ236" s="12"/>
      <c r="DA236" s="12"/>
      <c r="DB236" s="12"/>
      <c r="DC236" s="12"/>
      <c r="DD236" s="12"/>
      <c r="DE236" s="12"/>
      <c r="DF236" s="12"/>
      <c r="DG236" s="12"/>
      <c r="DH236" s="12"/>
      <c r="DI236" s="12"/>
      <c r="DJ236" s="12"/>
      <c r="DK236" s="12"/>
      <c r="DL236" s="12"/>
      <c r="DM236" s="12"/>
      <c r="DN236" s="12"/>
      <c r="DO236" s="12"/>
      <c r="DP236" s="12"/>
      <c r="DQ236" s="12"/>
      <c r="DR236" s="12"/>
      <c r="DS236" s="12"/>
      <c r="DT236" s="12"/>
      <c r="DU236" s="12"/>
      <c r="DV236" s="12"/>
      <c r="DW236" s="12"/>
      <c r="DX236" s="12"/>
      <c r="DY236" s="12"/>
      <c r="DZ236" s="12"/>
      <c r="EA236" s="12"/>
      <c r="EB236" s="12"/>
      <c r="EC236" s="12"/>
      <c r="ED236" s="12"/>
      <c r="EE236" s="12"/>
      <c r="EF236" s="12"/>
      <c r="EG236" s="12"/>
      <c r="EH236" s="12"/>
      <c r="EI236" s="12"/>
      <c r="EJ236" s="12"/>
      <c r="EK236" s="12"/>
      <c r="EL236" s="12"/>
      <c r="EM236" s="12"/>
      <c r="EN236" s="12"/>
      <c r="EO236" s="12"/>
      <c r="EP236" s="12"/>
      <c r="EQ236" s="12"/>
      <c r="ER236" s="12"/>
      <c r="ES236" s="12"/>
      <c r="ET236" s="12"/>
      <c r="EU236" s="12"/>
      <c r="EV236" s="12"/>
      <c r="EW236" s="12"/>
      <c r="EX236" s="12"/>
      <c r="EY236" s="12"/>
      <c r="EZ236" s="12"/>
      <c r="FA236" s="12"/>
      <c r="FB236" s="12"/>
      <c r="FC236" s="12"/>
      <c r="FD236" s="12"/>
      <c r="FE236" s="12"/>
      <c r="FF236" s="12"/>
      <c r="FG236" s="12"/>
      <c r="FH236" s="12"/>
      <c r="FI236" s="12"/>
      <c r="FJ236" s="12"/>
      <c r="FK236" s="12"/>
      <c r="FL236" s="12"/>
      <c r="FM236" s="12"/>
      <c r="FN236" s="12"/>
      <c r="FO236" s="12"/>
      <c r="FP236" s="12"/>
      <c r="FQ236" s="12"/>
      <c r="FR236" s="12"/>
      <c r="FS236" s="12"/>
      <c r="FT236" s="12"/>
      <c r="FU236" s="12"/>
      <c r="FV236" s="12"/>
      <c r="FW236" s="12"/>
      <c r="FX236" s="12"/>
      <c r="FY236" s="12"/>
      <c r="FZ236" s="12"/>
      <c r="GA236" s="12"/>
      <c r="GB236" s="12"/>
      <c r="GC236" s="12"/>
      <c r="GD236" s="12"/>
      <c r="GE236" s="12"/>
      <c r="GF236" s="12"/>
      <c r="GG236" s="12"/>
      <c r="GH236" s="12"/>
      <c r="GI236" s="12"/>
      <c r="GJ236" s="12"/>
      <c r="GK236" s="12"/>
      <c r="GL236" s="12"/>
      <c r="GM236" s="12"/>
      <c r="GN236" s="12"/>
      <c r="GO236" s="12"/>
      <c r="GP236" s="12"/>
      <c r="GQ236" s="12"/>
      <c r="GR236" s="12"/>
      <c r="GS236" s="12"/>
      <c r="GT236" s="12"/>
      <c r="GU236" s="12"/>
      <c r="GV236" s="12"/>
      <c r="GW236" s="12"/>
      <c r="GX236" s="12"/>
      <c r="GY236" s="12"/>
      <c r="GZ236" s="12"/>
      <c r="HA236" s="12"/>
      <c r="HB236" s="12"/>
      <c r="HC236" s="12"/>
      <c r="HD236" s="12"/>
      <c r="HE236" s="12"/>
      <c r="HF236" s="12"/>
      <c r="HG236" s="12"/>
      <c r="HH236" s="12"/>
      <c r="HI236" s="12"/>
      <c r="HJ236" s="12"/>
      <c r="HK236" s="12"/>
      <c r="HL236" s="12"/>
      <c r="HM236" s="12"/>
      <c r="HN236" s="12"/>
      <c r="HO236" s="12"/>
      <c r="HP236" s="12"/>
      <c r="HQ236" s="12"/>
      <c r="HR236" s="12"/>
      <c r="HS236" s="12"/>
      <c r="HT236" s="12"/>
      <c r="HU236" s="12"/>
      <c r="HV236" s="12"/>
      <c r="HW236" s="12"/>
      <c r="HX236" s="12"/>
      <c r="HY236" s="12"/>
      <c r="HZ236" s="12"/>
      <c r="IA236" s="12"/>
      <c r="IB236" s="12"/>
      <c r="IC236" s="12"/>
      <c r="ID236" s="12"/>
      <c r="IE236" s="12"/>
      <c r="IF236" s="12"/>
      <c r="IG236" s="12"/>
      <c r="IH236" s="12"/>
      <c r="II236" s="12"/>
      <c r="IJ236" s="12"/>
      <c r="IK236" s="12"/>
      <c r="IL236" s="12"/>
      <c r="IM236" s="12"/>
      <c r="IN236" s="12"/>
      <c r="IO236" s="12"/>
      <c r="IP236" s="12"/>
      <c r="IQ236" s="12"/>
      <c r="IR236" s="12"/>
      <c r="IS236" s="12"/>
      <c r="IT236" s="12"/>
      <c r="IU236" s="12"/>
      <c r="IV236" s="12"/>
      <c r="IW236" s="12"/>
    </row>
    <row r="237" customFormat="false" ht="11.25" hidden="false" customHeight="false" outlineLevel="0" collapsed="false">
      <c r="A237" s="25" t="n">
        <f aca="false">DATE(YEAR(A236),MONTH(A236)+1,1)</f>
        <v>52932</v>
      </c>
      <c r="B237" s="21" t="n">
        <v>3.598</v>
      </c>
      <c r="C237" s="21" t="n">
        <v>3.698</v>
      </c>
      <c r="D237" s="25" t="n">
        <f aca="false">DATE(YEAR(D236),MONTH(D236)+1,1)</f>
        <v>52932</v>
      </c>
      <c r="E237" s="21" t="n">
        <v>0</v>
      </c>
      <c r="F237" s="21" t="n">
        <v>0</v>
      </c>
      <c r="G237" s="6"/>
      <c r="H237" s="22" t="n">
        <f aca="false">A237</f>
        <v>52932</v>
      </c>
      <c r="I237" s="23" t="n">
        <f aca="false">IF($J$1="bid",B237,C237)</f>
        <v>3.698</v>
      </c>
      <c r="J237" s="24" t="n">
        <f aca="false">D237</f>
        <v>52932</v>
      </c>
      <c r="K237" s="23" t="n">
        <f aca="false">IF($J$1="bid",E237,F237)</f>
        <v>0</v>
      </c>
      <c r="L237" s="11"/>
      <c r="M237" s="11"/>
      <c r="N237" s="11"/>
      <c r="O237" s="11"/>
      <c r="P237" s="11"/>
      <c r="Q237" s="11"/>
      <c r="R237" s="11"/>
      <c r="S237" s="11"/>
      <c r="T237" s="11"/>
      <c r="U237" s="11"/>
      <c r="V237" s="11"/>
      <c r="W237" s="11"/>
      <c r="X237" s="11"/>
      <c r="Y237" s="11"/>
      <c r="Z237" s="11"/>
      <c r="AA237" s="11"/>
      <c r="AB237" s="11"/>
      <c r="AC237" s="11"/>
      <c r="AD237" s="11"/>
      <c r="AE237" s="11"/>
      <c r="AF237" s="11"/>
      <c r="AG237" s="11"/>
      <c r="AH237" s="11"/>
      <c r="AI237" s="11"/>
      <c r="AJ237" s="11"/>
      <c r="AK237" s="11"/>
      <c r="AL237" s="11"/>
      <c r="AM237" s="11"/>
      <c r="AN237" s="11"/>
      <c r="AO237" s="11"/>
      <c r="AP237" s="11"/>
      <c r="AQ237" s="11"/>
      <c r="AR237" s="5"/>
      <c r="AS237" s="12"/>
      <c r="AT237" s="12"/>
      <c r="AU237" s="12"/>
      <c r="AV237" s="12"/>
      <c r="AW237" s="12"/>
      <c r="AX237" s="12"/>
      <c r="AY237" s="12"/>
      <c r="AZ237" s="12"/>
      <c r="BA237" s="12"/>
      <c r="BB237" s="12"/>
      <c r="BC237" s="12"/>
      <c r="BD237" s="12"/>
      <c r="BE237" s="12"/>
      <c r="BF237" s="12"/>
      <c r="BG237" s="12"/>
      <c r="BH237" s="12"/>
      <c r="BI237" s="12"/>
      <c r="BJ237" s="12"/>
      <c r="BK237" s="12"/>
      <c r="BL237" s="12"/>
      <c r="BM237" s="12"/>
      <c r="BN237" s="12"/>
      <c r="BO237" s="12"/>
      <c r="BP237" s="12"/>
      <c r="BQ237" s="12"/>
      <c r="BR237" s="12"/>
      <c r="BS237" s="12"/>
      <c r="BT237" s="12"/>
      <c r="BU237" s="12"/>
      <c r="BV237" s="12"/>
      <c r="BW237" s="12"/>
      <c r="BX237" s="12"/>
      <c r="BY237" s="12"/>
      <c r="BZ237" s="12"/>
      <c r="CA237" s="12"/>
      <c r="CB237" s="12"/>
      <c r="CC237" s="12"/>
      <c r="CD237" s="12"/>
      <c r="CE237" s="12"/>
      <c r="CF237" s="12"/>
      <c r="CG237" s="12"/>
      <c r="CH237" s="12"/>
      <c r="CI237" s="12"/>
      <c r="CJ237" s="12"/>
      <c r="CK237" s="12"/>
      <c r="CL237" s="12"/>
      <c r="CM237" s="12"/>
      <c r="CN237" s="12"/>
      <c r="CO237" s="12"/>
      <c r="CP237" s="12"/>
      <c r="CQ237" s="12"/>
      <c r="CR237" s="12"/>
      <c r="CS237" s="12"/>
      <c r="CT237" s="12"/>
      <c r="CU237" s="12"/>
      <c r="CV237" s="12"/>
      <c r="CW237" s="12"/>
      <c r="CX237" s="12"/>
      <c r="CY237" s="12"/>
      <c r="CZ237" s="12"/>
      <c r="DA237" s="12"/>
      <c r="DB237" s="12"/>
      <c r="DC237" s="12"/>
      <c r="DD237" s="12"/>
      <c r="DE237" s="12"/>
      <c r="DF237" s="12"/>
      <c r="DG237" s="12"/>
      <c r="DH237" s="12"/>
      <c r="DI237" s="12"/>
      <c r="DJ237" s="12"/>
      <c r="DK237" s="12"/>
      <c r="DL237" s="12"/>
      <c r="DM237" s="12"/>
      <c r="DN237" s="12"/>
      <c r="DO237" s="12"/>
      <c r="DP237" s="12"/>
      <c r="DQ237" s="12"/>
      <c r="DR237" s="12"/>
      <c r="DS237" s="12"/>
      <c r="DT237" s="12"/>
      <c r="DU237" s="12"/>
      <c r="DV237" s="12"/>
      <c r="DW237" s="12"/>
      <c r="DX237" s="12"/>
      <c r="DY237" s="12"/>
      <c r="DZ237" s="12"/>
      <c r="EA237" s="12"/>
      <c r="EB237" s="12"/>
      <c r="EC237" s="12"/>
      <c r="ED237" s="12"/>
      <c r="EE237" s="12"/>
      <c r="EF237" s="12"/>
      <c r="EG237" s="12"/>
      <c r="EH237" s="12"/>
      <c r="EI237" s="12"/>
      <c r="EJ237" s="12"/>
      <c r="EK237" s="12"/>
      <c r="EL237" s="12"/>
      <c r="EM237" s="12"/>
      <c r="EN237" s="12"/>
      <c r="EO237" s="12"/>
      <c r="EP237" s="12"/>
      <c r="EQ237" s="12"/>
      <c r="ER237" s="12"/>
      <c r="ES237" s="12"/>
      <c r="ET237" s="12"/>
      <c r="EU237" s="12"/>
      <c r="EV237" s="12"/>
      <c r="EW237" s="12"/>
      <c r="EX237" s="12"/>
      <c r="EY237" s="12"/>
      <c r="EZ237" s="12"/>
      <c r="FA237" s="12"/>
      <c r="FB237" s="12"/>
      <c r="FC237" s="12"/>
      <c r="FD237" s="12"/>
      <c r="FE237" s="12"/>
      <c r="FF237" s="12"/>
      <c r="FG237" s="12"/>
      <c r="FH237" s="12"/>
      <c r="FI237" s="12"/>
      <c r="FJ237" s="12"/>
      <c r="FK237" s="12"/>
      <c r="FL237" s="12"/>
      <c r="FM237" s="12"/>
      <c r="FN237" s="12"/>
      <c r="FO237" s="12"/>
      <c r="FP237" s="12"/>
      <c r="FQ237" s="12"/>
      <c r="FR237" s="12"/>
      <c r="FS237" s="12"/>
      <c r="FT237" s="12"/>
      <c r="FU237" s="12"/>
      <c r="FV237" s="12"/>
      <c r="FW237" s="12"/>
      <c r="FX237" s="12"/>
      <c r="FY237" s="12"/>
      <c r="FZ237" s="12"/>
      <c r="GA237" s="12"/>
      <c r="GB237" s="12"/>
      <c r="GC237" s="12"/>
      <c r="GD237" s="12"/>
      <c r="GE237" s="12"/>
      <c r="GF237" s="12"/>
      <c r="GG237" s="12"/>
      <c r="GH237" s="12"/>
      <c r="GI237" s="12"/>
      <c r="GJ237" s="12"/>
      <c r="GK237" s="12"/>
      <c r="GL237" s="12"/>
      <c r="GM237" s="12"/>
      <c r="GN237" s="12"/>
      <c r="GO237" s="12"/>
      <c r="GP237" s="12"/>
      <c r="GQ237" s="12"/>
      <c r="GR237" s="12"/>
      <c r="GS237" s="12"/>
      <c r="GT237" s="12"/>
      <c r="GU237" s="12"/>
      <c r="GV237" s="12"/>
      <c r="GW237" s="12"/>
      <c r="GX237" s="12"/>
      <c r="GY237" s="12"/>
      <c r="GZ237" s="12"/>
      <c r="HA237" s="12"/>
      <c r="HB237" s="12"/>
      <c r="HC237" s="12"/>
      <c r="HD237" s="12"/>
      <c r="HE237" s="12"/>
      <c r="HF237" s="12"/>
      <c r="HG237" s="12"/>
      <c r="HH237" s="12"/>
      <c r="HI237" s="12"/>
      <c r="HJ237" s="12"/>
      <c r="HK237" s="12"/>
      <c r="HL237" s="12"/>
      <c r="HM237" s="12"/>
      <c r="HN237" s="12"/>
      <c r="HO237" s="12"/>
      <c r="HP237" s="12"/>
      <c r="HQ237" s="12"/>
      <c r="HR237" s="12"/>
      <c r="HS237" s="12"/>
      <c r="HT237" s="12"/>
      <c r="HU237" s="12"/>
      <c r="HV237" s="12"/>
      <c r="HW237" s="12"/>
      <c r="HX237" s="12"/>
      <c r="HY237" s="12"/>
      <c r="HZ237" s="12"/>
      <c r="IA237" s="12"/>
      <c r="IB237" s="12"/>
      <c r="IC237" s="12"/>
      <c r="ID237" s="12"/>
      <c r="IE237" s="12"/>
      <c r="IF237" s="12"/>
      <c r="IG237" s="12"/>
      <c r="IH237" s="12"/>
      <c r="II237" s="12"/>
      <c r="IJ237" s="12"/>
      <c r="IK237" s="12"/>
      <c r="IL237" s="12"/>
      <c r="IM237" s="12"/>
      <c r="IN237" s="12"/>
      <c r="IO237" s="12"/>
      <c r="IP237" s="12"/>
      <c r="IQ237" s="12"/>
      <c r="IR237" s="12"/>
      <c r="IS237" s="12"/>
      <c r="IT237" s="12"/>
      <c r="IU237" s="12"/>
      <c r="IV237" s="12"/>
      <c r="IW237" s="12"/>
    </row>
    <row r="238" customFormat="false" ht="11.25" hidden="false" customHeight="false" outlineLevel="0" collapsed="false">
      <c r="A238" s="25" t="n">
        <f aca="false">DATE(YEAR(A237),MONTH(A237)+1,1)</f>
        <v>52963</v>
      </c>
      <c r="B238" s="21" t="n">
        <v>3.532</v>
      </c>
      <c r="C238" s="21" t="n">
        <v>3.632</v>
      </c>
      <c r="D238" s="25" t="n">
        <f aca="false">DATE(YEAR(D237),MONTH(D237)+1,1)</f>
        <v>52963</v>
      </c>
      <c r="E238" s="21" t="n">
        <v>0</v>
      </c>
      <c r="F238" s="21" t="n">
        <v>0</v>
      </c>
      <c r="G238" s="6"/>
      <c r="H238" s="22" t="n">
        <f aca="false">A238</f>
        <v>52963</v>
      </c>
      <c r="I238" s="23" t="n">
        <f aca="false">IF($J$1="bid",B238,C238)</f>
        <v>3.632</v>
      </c>
      <c r="J238" s="24" t="n">
        <f aca="false">D238</f>
        <v>52963</v>
      </c>
      <c r="K238" s="23" t="n">
        <f aca="false">IF($J$1="bid",E238,F238)</f>
        <v>0</v>
      </c>
      <c r="L238" s="11"/>
      <c r="M238" s="11"/>
      <c r="N238" s="11"/>
      <c r="O238" s="11"/>
      <c r="P238" s="11"/>
      <c r="Q238" s="11"/>
      <c r="R238" s="11"/>
      <c r="S238" s="11"/>
      <c r="T238" s="11"/>
      <c r="U238" s="11"/>
      <c r="V238" s="11"/>
      <c r="W238" s="11"/>
      <c r="X238" s="11"/>
      <c r="Y238" s="11"/>
      <c r="Z238" s="11"/>
      <c r="AA238" s="11"/>
      <c r="AB238" s="11"/>
      <c r="AC238" s="11"/>
      <c r="AD238" s="11"/>
      <c r="AE238" s="11"/>
      <c r="AF238" s="11"/>
      <c r="AG238" s="11"/>
      <c r="AH238" s="11"/>
      <c r="AI238" s="11"/>
      <c r="AJ238" s="11"/>
      <c r="AK238" s="11"/>
      <c r="AL238" s="11"/>
      <c r="AM238" s="11"/>
      <c r="AN238" s="11"/>
      <c r="AO238" s="11"/>
      <c r="AP238" s="11"/>
      <c r="AQ238" s="11"/>
      <c r="AR238" s="5"/>
      <c r="AS238" s="12"/>
      <c r="AT238" s="12"/>
      <c r="AU238" s="12"/>
      <c r="AV238" s="12"/>
      <c r="AW238" s="12"/>
      <c r="AX238" s="12"/>
      <c r="AY238" s="12"/>
      <c r="AZ238" s="12"/>
      <c r="BA238" s="12"/>
      <c r="BB238" s="12"/>
      <c r="BC238" s="12"/>
      <c r="BD238" s="12"/>
      <c r="BE238" s="12"/>
      <c r="BF238" s="12"/>
      <c r="BG238" s="12"/>
      <c r="BH238" s="12"/>
      <c r="BI238" s="12"/>
      <c r="BJ238" s="12"/>
      <c r="BK238" s="12"/>
      <c r="BL238" s="12"/>
      <c r="BM238" s="12"/>
      <c r="BN238" s="12"/>
      <c r="BO238" s="12"/>
      <c r="BP238" s="12"/>
      <c r="BQ238" s="12"/>
      <c r="BR238" s="12"/>
      <c r="BS238" s="12"/>
      <c r="BT238" s="12"/>
      <c r="BU238" s="12"/>
      <c r="BV238" s="12"/>
      <c r="BW238" s="12"/>
      <c r="BX238" s="12"/>
      <c r="BY238" s="12"/>
      <c r="BZ238" s="12"/>
      <c r="CA238" s="12"/>
      <c r="CB238" s="12"/>
      <c r="CC238" s="12"/>
      <c r="CD238" s="12"/>
      <c r="CE238" s="12"/>
      <c r="CF238" s="12"/>
      <c r="CG238" s="12"/>
      <c r="CH238" s="12"/>
      <c r="CI238" s="12"/>
      <c r="CJ238" s="12"/>
      <c r="CK238" s="12"/>
      <c r="CL238" s="12"/>
      <c r="CM238" s="12"/>
      <c r="CN238" s="12"/>
      <c r="CO238" s="12"/>
      <c r="CP238" s="12"/>
      <c r="CQ238" s="12"/>
      <c r="CR238" s="12"/>
      <c r="CS238" s="12"/>
      <c r="CT238" s="12"/>
      <c r="CU238" s="12"/>
      <c r="CV238" s="12"/>
      <c r="CW238" s="12"/>
      <c r="CX238" s="12"/>
      <c r="CY238" s="12"/>
      <c r="CZ238" s="12"/>
      <c r="DA238" s="12"/>
      <c r="DB238" s="12"/>
      <c r="DC238" s="12"/>
      <c r="DD238" s="12"/>
      <c r="DE238" s="12"/>
      <c r="DF238" s="12"/>
      <c r="DG238" s="12"/>
      <c r="DH238" s="12"/>
      <c r="DI238" s="12"/>
      <c r="DJ238" s="12"/>
      <c r="DK238" s="12"/>
      <c r="DL238" s="12"/>
      <c r="DM238" s="12"/>
      <c r="DN238" s="12"/>
      <c r="DO238" s="12"/>
      <c r="DP238" s="12"/>
      <c r="DQ238" s="12"/>
      <c r="DR238" s="12"/>
      <c r="DS238" s="12"/>
      <c r="DT238" s="12"/>
      <c r="DU238" s="12"/>
      <c r="DV238" s="12"/>
      <c r="DW238" s="12"/>
      <c r="DX238" s="12"/>
      <c r="DY238" s="12"/>
      <c r="DZ238" s="12"/>
      <c r="EA238" s="12"/>
      <c r="EB238" s="12"/>
      <c r="EC238" s="12"/>
      <c r="ED238" s="12"/>
      <c r="EE238" s="12"/>
      <c r="EF238" s="12"/>
      <c r="EG238" s="12"/>
      <c r="EH238" s="12"/>
      <c r="EI238" s="12"/>
      <c r="EJ238" s="12"/>
      <c r="EK238" s="12"/>
      <c r="EL238" s="12"/>
      <c r="EM238" s="12"/>
      <c r="EN238" s="12"/>
      <c r="EO238" s="12"/>
      <c r="EP238" s="12"/>
      <c r="EQ238" s="12"/>
      <c r="ER238" s="12"/>
      <c r="ES238" s="12"/>
      <c r="ET238" s="12"/>
      <c r="EU238" s="12"/>
      <c r="EV238" s="12"/>
      <c r="EW238" s="12"/>
      <c r="EX238" s="12"/>
      <c r="EY238" s="12"/>
      <c r="EZ238" s="12"/>
      <c r="FA238" s="12"/>
      <c r="FB238" s="12"/>
      <c r="FC238" s="12"/>
      <c r="FD238" s="12"/>
      <c r="FE238" s="12"/>
      <c r="FF238" s="12"/>
      <c r="FG238" s="12"/>
      <c r="FH238" s="12"/>
      <c r="FI238" s="12"/>
      <c r="FJ238" s="12"/>
      <c r="FK238" s="12"/>
      <c r="FL238" s="12"/>
      <c r="FM238" s="12"/>
      <c r="FN238" s="12"/>
      <c r="FO238" s="12"/>
      <c r="FP238" s="12"/>
      <c r="FQ238" s="12"/>
      <c r="FR238" s="12"/>
      <c r="FS238" s="12"/>
      <c r="FT238" s="12"/>
      <c r="FU238" s="12"/>
      <c r="FV238" s="12"/>
      <c r="FW238" s="12"/>
      <c r="FX238" s="12"/>
      <c r="FY238" s="12"/>
      <c r="FZ238" s="12"/>
      <c r="GA238" s="12"/>
      <c r="GB238" s="12"/>
      <c r="GC238" s="12"/>
      <c r="GD238" s="12"/>
      <c r="GE238" s="12"/>
      <c r="GF238" s="12"/>
      <c r="GG238" s="12"/>
      <c r="GH238" s="12"/>
      <c r="GI238" s="12"/>
      <c r="GJ238" s="12"/>
      <c r="GK238" s="12"/>
      <c r="GL238" s="12"/>
      <c r="GM238" s="12"/>
      <c r="GN238" s="12"/>
      <c r="GO238" s="12"/>
      <c r="GP238" s="12"/>
      <c r="GQ238" s="12"/>
      <c r="GR238" s="12"/>
      <c r="GS238" s="12"/>
      <c r="GT238" s="12"/>
      <c r="GU238" s="12"/>
      <c r="GV238" s="12"/>
      <c r="GW238" s="12"/>
      <c r="GX238" s="12"/>
      <c r="GY238" s="12"/>
      <c r="GZ238" s="12"/>
      <c r="HA238" s="12"/>
      <c r="HB238" s="12"/>
      <c r="HC238" s="12"/>
      <c r="HD238" s="12"/>
      <c r="HE238" s="12"/>
      <c r="HF238" s="12"/>
      <c r="HG238" s="12"/>
      <c r="HH238" s="12"/>
      <c r="HI238" s="12"/>
      <c r="HJ238" s="12"/>
      <c r="HK238" s="12"/>
      <c r="HL238" s="12"/>
      <c r="HM238" s="12"/>
      <c r="HN238" s="12"/>
      <c r="HO238" s="12"/>
      <c r="HP238" s="12"/>
      <c r="HQ238" s="12"/>
      <c r="HR238" s="12"/>
      <c r="HS238" s="12"/>
      <c r="HT238" s="12"/>
      <c r="HU238" s="12"/>
      <c r="HV238" s="12"/>
      <c r="HW238" s="12"/>
      <c r="HX238" s="12"/>
      <c r="HY238" s="12"/>
      <c r="HZ238" s="12"/>
      <c r="IA238" s="12"/>
      <c r="IB238" s="12"/>
      <c r="IC238" s="12"/>
      <c r="ID238" s="12"/>
      <c r="IE238" s="12"/>
      <c r="IF238" s="12"/>
      <c r="IG238" s="12"/>
      <c r="IH238" s="12"/>
      <c r="II238" s="12"/>
      <c r="IJ238" s="12"/>
      <c r="IK238" s="12"/>
      <c r="IL238" s="12"/>
      <c r="IM238" s="12"/>
      <c r="IN238" s="12"/>
      <c r="IO238" s="12"/>
      <c r="IP238" s="12"/>
      <c r="IQ238" s="12"/>
      <c r="IR238" s="12"/>
      <c r="IS238" s="12"/>
      <c r="IT238" s="12"/>
      <c r="IU238" s="12"/>
      <c r="IV238" s="12"/>
      <c r="IW238" s="12"/>
    </row>
    <row r="239" customFormat="false" ht="11.25" hidden="false" customHeight="false" outlineLevel="0" collapsed="false">
      <c r="A239" s="25" t="n">
        <f aca="false">DATE(YEAR(A238),MONTH(A238)+1,1)</f>
        <v>52994</v>
      </c>
      <c r="B239" s="21" t="n">
        <v>3.483</v>
      </c>
      <c r="C239" s="21" t="n">
        <v>3.583</v>
      </c>
      <c r="D239" s="25" t="n">
        <f aca="false">DATE(YEAR(D238),MONTH(D238)+1,1)</f>
        <v>52994</v>
      </c>
      <c r="E239" s="21" t="n">
        <v>0</v>
      </c>
      <c r="F239" s="21" t="n">
        <v>0</v>
      </c>
      <c r="G239" s="6"/>
      <c r="H239" s="22" t="n">
        <f aca="false">A239</f>
        <v>52994</v>
      </c>
      <c r="I239" s="23" t="n">
        <f aca="false">IF($J$1="bid",B239,C239)</f>
        <v>3.583</v>
      </c>
      <c r="J239" s="24" t="n">
        <f aca="false">D239</f>
        <v>52994</v>
      </c>
      <c r="K239" s="23" t="n">
        <f aca="false">IF($J$1="bid",E239,F239)</f>
        <v>0</v>
      </c>
      <c r="L239" s="11"/>
      <c r="M239" s="11"/>
      <c r="N239" s="11"/>
      <c r="O239" s="11"/>
      <c r="P239" s="11"/>
      <c r="Q239" s="11"/>
      <c r="R239" s="11"/>
      <c r="S239" s="11"/>
      <c r="T239" s="11"/>
      <c r="U239" s="11"/>
      <c r="V239" s="11"/>
      <c r="W239" s="11"/>
      <c r="X239" s="11"/>
      <c r="Y239" s="11"/>
      <c r="Z239" s="11"/>
      <c r="AA239" s="11"/>
      <c r="AB239" s="11"/>
      <c r="AC239" s="11"/>
      <c r="AD239" s="11"/>
      <c r="AE239" s="11"/>
      <c r="AF239" s="11"/>
      <c r="AG239" s="11"/>
      <c r="AH239" s="11"/>
      <c r="AI239" s="11"/>
      <c r="AJ239" s="11"/>
      <c r="AK239" s="11"/>
      <c r="AL239" s="11"/>
      <c r="AM239" s="11"/>
      <c r="AN239" s="11"/>
      <c r="AO239" s="11"/>
      <c r="AP239" s="11"/>
      <c r="AQ239" s="11"/>
      <c r="AR239" s="5"/>
      <c r="AS239" s="12"/>
      <c r="AT239" s="12"/>
      <c r="AU239" s="12"/>
      <c r="AV239" s="12"/>
      <c r="AW239" s="12"/>
      <c r="AX239" s="12"/>
      <c r="AY239" s="12"/>
      <c r="AZ239" s="12"/>
      <c r="BA239" s="12"/>
      <c r="BB239" s="12"/>
      <c r="BC239" s="12"/>
      <c r="BD239" s="12"/>
      <c r="BE239" s="12"/>
      <c r="BF239" s="12"/>
      <c r="BG239" s="12"/>
      <c r="BH239" s="12"/>
      <c r="BI239" s="12"/>
      <c r="BJ239" s="12"/>
      <c r="BK239" s="12"/>
      <c r="BL239" s="12"/>
      <c r="BM239" s="12"/>
      <c r="BN239" s="12"/>
      <c r="BO239" s="12"/>
      <c r="BP239" s="12"/>
      <c r="BQ239" s="12"/>
      <c r="BR239" s="12"/>
      <c r="BS239" s="12"/>
      <c r="BT239" s="12"/>
      <c r="BU239" s="12"/>
      <c r="BV239" s="12"/>
      <c r="BW239" s="12"/>
      <c r="BX239" s="12"/>
      <c r="BY239" s="12"/>
      <c r="BZ239" s="12"/>
      <c r="CA239" s="12"/>
      <c r="CB239" s="12"/>
      <c r="CC239" s="12"/>
      <c r="CD239" s="12"/>
      <c r="CE239" s="12"/>
      <c r="CF239" s="12"/>
      <c r="CG239" s="12"/>
      <c r="CH239" s="12"/>
      <c r="CI239" s="12"/>
      <c r="CJ239" s="12"/>
      <c r="CK239" s="12"/>
      <c r="CL239" s="12"/>
      <c r="CM239" s="12"/>
      <c r="CN239" s="12"/>
      <c r="CO239" s="12"/>
      <c r="CP239" s="12"/>
      <c r="CQ239" s="12"/>
      <c r="CR239" s="12"/>
      <c r="CS239" s="12"/>
      <c r="CT239" s="12"/>
      <c r="CU239" s="12"/>
      <c r="CV239" s="12"/>
      <c r="CW239" s="12"/>
      <c r="CX239" s="12"/>
      <c r="CY239" s="12"/>
      <c r="CZ239" s="12"/>
      <c r="DA239" s="12"/>
      <c r="DB239" s="12"/>
      <c r="DC239" s="12"/>
      <c r="DD239" s="12"/>
      <c r="DE239" s="12"/>
      <c r="DF239" s="12"/>
      <c r="DG239" s="12"/>
      <c r="DH239" s="12"/>
      <c r="DI239" s="12"/>
      <c r="DJ239" s="12"/>
      <c r="DK239" s="12"/>
      <c r="DL239" s="12"/>
      <c r="DM239" s="12"/>
      <c r="DN239" s="12"/>
      <c r="DO239" s="12"/>
      <c r="DP239" s="12"/>
      <c r="DQ239" s="12"/>
      <c r="DR239" s="12"/>
      <c r="DS239" s="12"/>
      <c r="DT239" s="12"/>
      <c r="DU239" s="12"/>
      <c r="DV239" s="12"/>
      <c r="DW239" s="12"/>
      <c r="DX239" s="12"/>
      <c r="DY239" s="12"/>
      <c r="DZ239" s="12"/>
      <c r="EA239" s="12"/>
      <c r="EB239" s="12"/>
      <c r="EC239" s="12"/>
      <c r="ED239" s="12"/>
      <c r="EE239" s="12"/>
      <c r="EF239" s="12"/>
      <c r="EG239" s="12"/>
      <c r="EH239" s="12"/>
      <c r="EI239" s="12"/>
      <c r="EJ239" s="12"/>
      <c r="EK239" s="12"/>
      <c r="EL239" s="12"/>
      <c r="EM239" s="12"/>
      <c r="EN239" s="12"/>
      <c r="EO239" s="12"/>
      <c r="EP239" s="12"/>
      <c r="EQ239" s="12"/>
      <c r="ER239" s="12"/>
      <c r="ES239" s="12"/>
      <c r="ET239" s="12"/>
      <c r="EU239" s="12"/>
      <c r="EV239" s="12"/>
      <c r="EW239" s="12"/>
      <c r="EX239" s="12"/>
      <c r="EY239" s="12"/>
      <c r="EZ239" s="12"/>
      <c r="FA239" s="12"/>
      <c r="FB239" s="12"/>
      <c r="FC239" s="12"/>
      <c r="FD239" s="12"/>
      <c r="FE239" s="12"/>
      <c r="FF239" s="12"/>
      <c r="FG239" s="12"/>
      <c r="FH239" s="12"/>
      <c r="FI239" s="12"/>
      <c r="FJ239" s="12"/>
      <c r="FK239" s="12"/>
      <c r="FL239" s="12"/>
      <c r="FM239" s="12"/>
      <c r="FN239" s="12"/>
      <c r="FO239" s="12"/>
      <c r="FP239" s="12"/>
      <c r="FQ239" s="12"/>
      <c r="FR239" s="12"/>
      <c r="FS239" s="12"/>
      <c r="FT239" s="12"/>
      <c r="FU239" s="12"/>
      <c r="FV239" s="12"/>
      <c r="FW239" s="12"/>
      <c r="FX239" s="12"/>
      <c r="FY239" s="12"/>
      <c r="FZ239" s="12"/>
      <c r="GA239" s="12"/>
      <c r="GB239" s="12"/>
      <c r="GC239" s="12"/>
      <c r="GD239" s="12"/>
      <c r="GE239" s="12"/>
      <c r="GF239" s="12"/>
      <c r="GG239" s="12"/>
      <c r="GH239" s="12"/>
      <c r="GI239" s="12"/>
      <c r="GJ239" s="12"/>
      <c r="GK239" s="12"/>
      <c r="GL239" s="12"/>
      <c r="GM239" s="12"/>
      <c r="GN239" s="12"/>
      <c r="GO239" s="12"/>
      <c r="GP239" s="12"/>
      <c r="GQ239" s="12"/>
      <c r="GR239" s="12"/>
      <c r="GS239" s="12"/>
      <c r="GT239" s="12"/>
      <c r="GU239" s="12"/>
      <c r="GV239" s="12"/>
      <c r="GW239" s="12"/>
      <c r="GX239" s="12"/>
      <c r="GY239" s="12"/>
      <c r="GZ239" s="12"/>
      <c r="HA239" s="12"/>
      <c r="HB239" s="12"/>
      <c r="HC239" s="12"/>
      <c r="HD239" s="12"/>
      <c r="HE239" s="12"/>
      <c r="HF239" s="12"/>
      <c r="HG239" s="12"/>
      <c r="HH239" s="12"/>
      <c r="HI239" s="12"/>
      <c r="HJ239" s="12"/>
      <c r="HK239" s="12"/>
      <c r="HL239" s="12"/>
      <c r="HM239" s="12"/>
      <c r="HN239" s="12"/>
      <c r="HO239" s="12"/>
      <c r="HP239" s="12"/>
      <c r="HQ239" s="12"/>
      <c r="HR239" s="12"/>
      <c r="HS239" s="12"/>
      <c r="HT239" s="12"/>
      <c r="HU239" s="12"/>
      <c r="HV239" s="12"/>
      <c r="HW239" s="12"/>
      <c r="HX239" s="12"/>
      <c r="HY239" s="12"/>
      <c r="HZ239" s="12"/>
      <c r="IA239" s="12"/>
      <c r="IB239" s="12"/>
      <c r="IC239" s="12"/>
      <c r="ID239" s="12"/>
      <c r="IE239" s="12"/>
      <c r="IF239" s="12"/>
      <c r="IG239" s="12"/>
      <c r="IH239" s="12"/>
      <c r="II239" s="12"/>
      <c r="IJ239" s="12"/>
      <c r="IK239" s="12"/>
      <c r="IL239" s="12"/>
      <c r="IM239" s="12"/>
      <c r="IN239" s="12"/>
      <c r="IO239" s="12"/>
      <c r="IP239" s="12"/>
      <c r="IQ239" s="12"/>
      <c r="IR239" s="12"/>
      <c r="IS239" s="12"/>
      <c r="IT239" s="12"/>
      <c r="IU239" s="12"/>
      <c r="IV239" s="12"/>
      <c r="IW239" s="12"/>
    </row>
    <row r="240" customFormat="false" ht="11.25" hidden="false" customHeight="false" outlineLevel="0" collapsed="false">
      <c r="A240" s="25" t="n">
        <f aca="false">DATE(YEAR(A239),MONTH(A239)+1,1)</f>
        <v>53022</v>
      </c>
      <c r="B240" s="21" t="n">
        <v>3.47</v>
      </c>
      <c r="C240" s="21" t="n">
        <v>3.57</v>
      </c>
      <c r="D240" s="25" t="n">
        <f aca="false">DATE(YEAR(D239),MONTH(D239)+1,1)</f>
        <v>53022</v>
      </c>
      <c r="E240" s="21" t="n">
        <v>0</v>
      </c>
      <c r="F240" s="21" t="n">
        <v>0</v>
      </c>
      <c r="G240" s="6"/>
      <c r="H240" s="22" t="n">
        <f aca="false">A240</f>
        <v>53022</v>
      </c>
      <c r="I240" s="23" t="n">
        <f aca="false">IF($J$1="bid",B240,C240)</f>
        <v>3.57</v>
      </c>
      <c r="J240" s="24" t="n">
        <f aca="false">D240</f>
        <v>53022</v>
      </c>
      <c r="K240" s="23" t="n">
        <f aca="false">IF($J$1="bid",E240,F240)</f>
        <v>0</v>
      </c>
      <c r="L240" s="11"/>
      <c r="M240" s="11"/>
      <c r="N240" s="11"/>
      <c r="O240" s="11"/>
      <c r="P240" s="11"/>
      <c r="Q240" s="11"/>
      <c r="R240" s="11"/>
      <c r="S240" s="11"/>
      <c r="T240" s="11"/>
      <c r="U240" s="11"/>
      <c r="V240" s="11"/>
      <c r="W240" s="11"/>
      <c r="X240" s="11"/>
      <c r="Y240" s="11"/>
      <c r="Z240" s="11"/>
      <c r="AA240" s="11"/>
      <c r="AB240" s="11"/>
      <c r="AC240" s="11"/>
      <c r="AD240" s="11"/>
      <c r="AE240" s="11"/>
      <c r="AF240" s="11"/>
      <c r="AG240" s="11"/>
      <c r="AH240" s="11"/>
      <c r="AI240" s="11"/>
      <c r="AJ240" s="11"/>
      <c r="AK240" s="11"/>
      <c r="AL240" s="11"/>
      <c r="AM240" s="11"/>
      <c r="AN240" s="11"/>
      <c r="AO240" s="11"/>
      <c r="AP240" s="11"/>
      <c r="AQ240" s="11"/>
      <c r="AR240" s="5"/>
      <c r="AS240" s="12"/>
      <c r="AT240" s="12"/>
      <c r="AU240" s="12"/>
      <c r="AV240" s="12"/>
      <c r="AW240" s="12"/>
      <c r="AX240" s="12"/>
      <c r="AY240" s="12"/>
      <c r="AZ240" s="12"/>
      <c r="BA240" s="12"/>
      <c r="BB240" s="12"/>
      <c r="BC240" s="12"/>
      <c r="BD240" s="12"/>
      <c r="BE240" s="12"/>
      <c r="BF240" s="12"/>
      <c r="BG240" s="12"/>
      <c r="BH240" s="12"/>
      <c r="BI240" s="12"/>
      <c r="BJ240" s="12"/>
      <c r="BK240" s="12"/>
      <c r="BL240" s="12"/>
      <c r="BM240" s="12"/>
      <c r="BN240" s="12"/>
      <c r="BO240" s="12"/>
      <c r="BP240" s="12"/>
      <c r="BQ240" s="12"/>
      <c r="BR240" s="12"/>
      <c r="BS240" s="12"/>
      <c r="BT240" s="12"/>
      <c r="BU240" s="12"/>
      <c r="BV240" s="12"/>
      <c r="BW240" s="12"/>
      <c r="BX240" s="12"/>
      <c r="BY240" s="12"/>
      <c r="BZ240" s="12"/>
      <c r="CA240" s="12"/>
      <c r="CB240" s="12"/>
      <c r="CC240" s="12"/>
      <c r="CD240" s="12"/>
      <c r="CE240" s="12"/>
      <c r="CF240" s="12"/>
      <c r="CG240" s="12"/>
      <c r="CH240" s="12"/>
      <c r="CI240" s="12"/>
      <c r="CJ240" s="12"/>
      <c r="CK240" s="12"/>
      <c r="CL240" s="12"/>
      <c r="CM240" s="12"/>
      <c r="CN240" s="12"/>
      <c r="CO240" s="12"/>
      <c r="CP240" s="12"/>
      <c r="CQ240" s="12"/>
      <c r="CR240" s="12"/>
      <c r="CS240" s="12"/>
      <c r="CT240" s="12"/>
      <c r="CU240" s="12"/>
      <c r="CV240" s="12"/>
      <c r="CW240" s="12"/>
      <c r="CX240" s="12"/>
      <c r="CY240" s="12"/>
      <c r="CZ240" s="12"/>
      <c r="DA240" s="12"/>
      <c r="DB240" s="12"/>
      <c r="DC240" s="12"/>
      <c r="DD240" s="12"/>
      <c r="DE240" s="12"/>
      <c r="DF240" s="12"/>
      <c r="DG240" s="12"/>
      <c r="DH240" s="12"/>
      <c r="DI240" s="12"/>
      <c r="DJ240" s="12"/>
      <c r="DK240" s="12"/>
      <c r="DL240" s="12"/>
      <c r="DM240" s="12"/>
      <c r="DN240" s="12"/>
      <c r="DO240" s="12"/>
      <c r="DP240" s="12"/>
      <c r="DQ240" s="12"/>
      <c r="DR240" s="12"/>
      <c r="DS240" s="12"/>
      <c r="DT240" s="12"/>
      <c r="DU240" s="12"/>
      <c r="DV240" s="12"/>
      <c r="DW240" s="12"/>
      <c r="DX240" s="12"/>
      <c r="DY240" s="12"/>
      <c r="DZ240" s="12"/>
      <c r="EA240" s="12"/>
      <c r="EB240" s="12"/>
      <c r="EC240" s="12"/>
      <c r="ED240" s="12"/>
      <c r="EE240" s="12"/>
      <c r="EF240" s="12"/>
      <c r="EG240" s="12"/>
      <c r="EH240" s="12"/>
      <c r="EI240" s="12"/>
      <c r="EJ240" s="12"/>
      <c r="EK240" s="12"/>
      <c r="EL240" s="12"/>
      <c r="EM240" s="12"/>
      <c r="EN240" s="12"/>
      <c r="EO240" s="12"/>
      <c r="EP240" s="12"/>
      <c r="EQ240" s="12"/>
      <c r="ER240" s="12"/>
      <c r="ES240" s="12"/>
      <c r="ET240" s="12"/>
      <c r="EU240" s="12"/>
      <c r="EV240" s="12"/>
      <c r="EW240" s="12"/>
      <c r="EX240" s="12"/>
      <c r="EY240" s="12"/>
      <c r="EZ240" s="12"/>
      <c r="FA240" s="12"/>
      <c r="FB240" s="12"/>
      <c r="FC240" s="12"/>
      <c r="FD240" s="12"/>
      <c r="FE240" s="12"/>
      <c r="FF240" s="12"/>
      <c r="FG240" s="12"/>
      <c r="FH240" s="12"/>
      <c r="FI240" s="12"/>
      <c r="FJ240" s="12"/>
      <c r="FK240" s="12"/>
      <c r="FL240" s="12"/>
      <c r="FM240" s="12"/>
      <c r="FN240" s="12"/>
      <c r="FO240" s="12"/>
      <c r="FP240" s="12"/>
      <c r="FQ240" s="12"/>
      <c r="FR240" s="12"/>
      <c r="FS240" s="12"/>
      <c r="FT240" s="12"/>
      <c r="FU240" s="12"/>
      <c r="FV240" s="12"/>
      <c r="FW240" s="12"/>
      <c r="FX240" s="12"/>
      <c r="FY240" s="12"/>
      <c r="FZ240" s="12"/>
      <c r="GA240" s="12"/>
      <c r="GB240" s="12"/>
      <c r="GC240" s="12"/>
      <c r="GD240" s="12"/>
      <c r="GE240" s="12"/>
      <c r="GF240" s="12"/>
      <c r="GG240" s="12"/>
      <c r="GH240" s="12"/>
      <c r="GI240" s="12"/>
      <c r="GJ240" s="12"/>
      <c r="GK240" s="12"/>
      <c r="GL240" s="12"/>
      <c r="GM240" s="12"/>
      <c r="GN240" s="12"/>
      <c r="GO240" s="12"/>
      <c r="GP240" s="12"/>
      <c r="GQ240" s="12"/>
      <c r="GR240" s="12"/>
      <c r="GS240" s="12"/>
      <c r="GT240" s="12"/>
      <c r="GU240" s="12"/>
      <c r="GV240" s="12"/>
      <c r="GW240" s="12"/>
      <c r="GX240" s="12"/>
      <c r="GY240" s="12"/>
      <c r="GZ240" s="12"/>
      <c r="HA240" s="12"/>
      <c r="HB240" s="12"/>
      <c r="HC240" s="12"/>
      <c r="HD240" s="12"/>
      <c r="HE240" s="12"/>
      <c r="HF240" s="12"/>
      <c r="HG240" s="12"/>
      <c r="HH240" s="12"/>
      <c r="HI240" s="12"/>
      <c r="HJ240" s="12"/>
      <c r="HK240" s="12"/>
      <c r="HL240" s="12"/>
      <c r="HM240" s="12"/>
      <c r="HN240" s="12"/>
      <c r="HO240" s="12"/>
      <c r="HP240" s="12"/>
      <c r="HQ240" s="12"/>
      <c r="HR240" s="12"/>
      <c r="HS240" s="12"/>
      <c r="HT240" s="12"/>
      <c r="HU240" s="12"/>
      <c r="HV240" s="12"/>
      <c r="HW240" s="12"/>
      <c r="HX240" s="12"/>
      <c r="HY240" s="12"/>
      <c r="HZ240" s="12"/>
      <c r="IA240" s="12"/>
      <c r="IB240" s="12"/>
      <c r="IC240" s="12"/>
      <c r="ID240" s="12"/>
      <c r="IE240" s="12"/>
      <c r="IF240" s="12"/>
      <c r="IG240" s="12"/>
      <c r="IH240" s="12"/>
      <c r="II240" s="12"/>
      <c r="IJ240" s="12"/>
      <c r="IK240" s="12"/>
      <c r="IL240" s="12"/>
      <c r="IM240" s="12"/>
      <c r="IN240" s="12"/>
      <c r="IO240" s="12"/>
      <c r="IP240" s="12"/>
      <c r="IQ240" s="12"/>
      <c r="IR240" s="12"/>
      <c r="IS240" s="12"/>
      <c r="IT240" s="12"/>
      <c r="IU240" s="12"/>
      <c r="IV240" s="12"/>
      <c r="IW240" s="12"/>
    </row>
    <row r="241" customFormat="false" ht="11.25" hidden="false" customHeight="false" outlineLevel="0" collapsed="false">
      <c r="A241" s="25" t="n">
        <f aca="false">DATE(YEAR(A240),MONTH(A240)+1,1)</f>
        <v>53053</v>
      </c>
      <c r="B241" s="21" t="n">
        <v>3.478</v>
      </c>
      <c r="C241" s="21" t="n">
        <v>3.578</v>
      </c>
      <c r="D241" s="25" t="n">
        <f aca="false">DATE(YEAR(D240),MONTH(D240)+1,1)</f>
        <v>53053</v>
      </c>
      <c r="E241" s="21" t="n">
        <v>0</v>
      </c>
      <c r="F241" s="21" t="n">
        <v>0</v>
      </c>
      <c r="G241" s="6"/>
      <c r="H241" s="22" t="n">
        <f aca="false">A241</f>
        <v>53053</v>
      </c>
      <c r="I241" s="23" t="n">
        <f aca="false">IF($J$1="bid",B241,C241)</f>
        <v>3.578</v>
      </c>
      <c r="J241" s="24" t="n">
        <f aca="false">D241</f>
        <v>53053</v>
      </c>
      <c r="K241" s="23" t="n">
        <f aca="false">IF($J$1="bid",E241,F241)</f>
        <v>0</v>
      </c>
      <c r="L241" s="11"/>
      <c r="M241" s="11"/>
      <c r="N241" s="11"/>
      <c r="O241" s="11"/>
      <c r="P241" s="11"/>
      <c r="Q241" s="11"/>
      <c r="R241" s="11"/>
      <c r="S241" s="11"/>
      <c r="T241" s="11"/>
      <c r="U241" s="11"/>
      <c r="V241" s="11"/>
      <c r="W241" s="11"/>
      <c r="X241" s="11"/>
      <c r="Y241" s="11"/>
      <c r="Z241" s="11"/>
      <c r="AA241" s="11"/>
      <c r="AB241" s="11"/>
      <c r="AC241" s="11"/>
      <c r="AD241" s="11"/>
      <c r="AE241" s="11"/>
      <c r="AF241" s="11"/>
      <c r="AG241" s="11"/>
      <c r="AH241" s="11"/>
      <c r="AI241" s="11"/>
      <c r="AJ241" s="11"/>
      <c r="AK241" s="11"/>
      <c r="AL241" s="11"/>
      <c r="AM241" s="11"/>
      <c r="AN241" s="11"/>
      <c r="AO241" s="11"/>
      <c r="AP241" s="11"/>
      <c r="AQ241" s="11"/>
      <c r="AR241" s="5"/>
      <c r="AS241" s="12"/>
      <c r="AT241" s="12"/>
      <c r="AU241" s="12"/>
      <c r="AV241" s="12"/>
      <c r="AW241" s="12"/>
      <c r="AX241" s="12"/>
      <c r="AY241" s="12"/>
      <c r="AZ241" s="12"/>
      <c r="BA241" s="12"/>
      <c r="BB241" s="12"/>
      <c r="BC241" s="12"/>
      <c r="BD241" s="12"/>
      <c r="BE241" s="12"/>
      <c r="BF241" s="12"/>
      <c r="BG241" s="12"/>
      <c r="BH241" s="12"/>
      <c r="BI241" s="12"/>
      <c r="BJ241" s="12"/>
      <c r="BK241" s="12"/>
      <c r="BL241" s="12"/>
      <c r="BM241" s="12"/>
      <c r="BN241" s="12"/>
      <c r="BO241" s="12"/>
      <c r="BP241" s="12"/>
      <c r="BQ241" s="12"/>
      <c r="BR241" s="12"/>
      <c r="BS241" s="12"/>
      <c r="BT241" s="12"/>
      <c r="BU241" s="12"/>
      <c r="BV241" s="12"/>
      <c r="BW241" s="12"/>
      <c r="BX241" s="12"/>
      <c r="BY241" s="12"/>
      <c r="BZ241" s="12"/>
      <c r="CA241" s="12"/>
      <c r="CB241" s="12"/>
      <c r="CC241" s="12"/>
      <c r="CD241" s="12"/>
      <c r="CE241" s="12"/>
      <c r="CF241" s="12"/>
      <c r="CG241" s="12"/>
      <c r="CH241" s="12"/>
      <c r="CI241" s="12"/>
      <c r="CJ241" s="12"/>
      <c r="CK241" s="12"/>
      <c r="CL241" s="12"/>
      <c r="CM241" s="12"/>
      <c r="CN241" s="12"/>
      <c r="CO241" s="12"/>
      <c r="CP241" s="12"/>
      <c r="CQ241" s="12"/>
      <c r="CR241" s="12"/>
      <c r="CS241" s="12"/>
      <c r="CT241" s="12"/>
      <c r="CU241" s="12"/>
      <c r="CV241" s="12"/>
      <c r="CW241" s="12"/>
      <c r="CX241" s="12"/>
      <c r="CY241" s="12"/>
      <c r="CZ241" s="12"/>
      <c r="DA241" s="12"/>
      <c r="DB241" s="12"/>
      <c r="DC241" s="12"/>
      <c r="DD241" s="12"/>
      <c r="DE241" s="12"/>
      <c r="DF241" s="12"/>
      <c r="DG241" s="12"/>
      <c r="DH241" s="12"/>
      <c r="DI241" s="12"/>
      <c r="DJ241" s="12"/>
      <c r="DK241" s="12"/>
      <c r="DL241" s="12"/>
      <c r="DM241" s="12"/>
      <c r="DN241" s="12"/>
      <c r="DO241" s="12"/>
      <c r="DP241" s="12"/>
      <c r="DQ241" s="12"/>
      <c r="DR241" s="12"/>
      <c r="DS241" s="12"/>
      <c r="DT241" s="12"/>
      <c r="DU241" s="12"/>
      <c r="DV241" s="12"/>
      <c r="DW241" s="12"/>
      <c r="DX241" s="12"/>
      <c r="DY241" s="12"/>
      <c r="DZ241" s="12"/>
      <c r="EA241" s="12"/>
      <c r="EB241" s="12"/>
      <c r="EC241" s="12"/>
      <c r="ED241" s="12"/>
      <c r="EE241" s="12"/>
      <c r="EF241" s="12"/>
      <c r="EG241" s="12"/>
      <c r="EH241" s="12"/>
      <c r="EI241" s="12"/>
      <c r="EJ241" s="12"/>
      <c r="EK241" s="12"/>
      <c r="EL241" s="12"/>
      <c r="EM241" s="12"/>
      <c r="EN241" s="12"/>
      <c r="EO241" s="12"/>
      <c r="EP241" s="12"/>
      <c r="EQ241" s="12"/>
      <c r="ER241" s="12"/>
      <c r="ES241" s="12"/>
      <c r="ET241" s="12"/>
      <c r="EU241" s="12"/>
      <c r="EV241" s="12"/>
      <c r="EW241" s="12"/>
      <c r="EX241" s="12"/>
      <c r="EY241" s="12"/>
      <c r="EZ241" s="12"/>
      <c r="FA241" s="12"/>
      <c r="FB241" s="12"/>
      <c r="FC241" s="12"/>
      <c r="FD241" s="12"/>
      <c r="FE241" s="12"/>
      <c r="FF241" s="12"/>
      <c r="FG241" s="12"/>
      <c r="FH241" s="12"/>
      <c r="FI241" s="12"/>
      <c r="FJ241" s="12"/>
      <c r="FK241" s="12"/>
      <c r="FL241" s="12"/>
      <c r="FM241" s="12"/>
      <c r="FN241" s="12"/>
      <c r="FO241" s="12"/>
      <c r="FP241" s="12"/>
      <c r="FQ241" s="12"/>
      <c r="FR241" s="12"/>
      <c r="FS241" s="12"/>
      <c r="FT241" s="12"/>
      <c r="FU241" s="12"/>
      <c r="FV241" s="12"/>
      <c r="FW241" s="12"/>
      <c r="FX241" s="12"/>
      <c r="FY241" s="12"/>
      <c r="FZ241" s="12"/>
      <c r="GA241" s="12"/>
      <c r="GB241" s="12"/>
      <c r="GC241" s="12"/>
      <c r="GD241" s="12"/>
      <c r="GE241" s="12"/>
      <c r="GF241" s="12"/>
      <c r="GG241" s="12"/>
      <c r="GH241" s="12"/>
      <c r="GI241" s="12"/>
      <c r="GJ241" s="12"/>
      <c r="GK241" s="12"/>
      <c r="GL241" s="12"/>
      <c r="GM241" s="12"/>
      <c r="GN241" s="12"/>
      <c r="GO241" s="12"/>
      <c r="GP241" s="12"/>
      <c r="GQ241" s="12"/>
      <c r="GR241" s="12"/>
      <c r="GS241" s="12"/>
      <c r="GT241" s="12"/>
      <c r="GU241" s="12"/>
      <c r="GV241" s="12"/>
      <c r="GW241" s="12"/>
      <c r="GX241" s="12"/>
      <c r="GY241" s="12"/>
      <c r="GZ241" s="12"/>
      <c r="HA241" s="12"/>
      <c r="HB241" s="12"/>
      <c r="HC241" s="12"/>
      <c r="HD241" s="12"/>
      <c r="HE241" s="12"/>
      <c r="HF241" s="12"/>
      <c r="HG241" s="12"/>
      <c r="HH241" s="12"/>
      <c r="HI241" s="12"/>
      <c r="HJ241" s="12"/>
      <c r="HK241" s="12"/>
      <c r="HL241" s="12"/>
      <c r="HM241" s="12"/>
      <c r="HN241" s="12"/>
      <c r="HO241" s="12"/>
      <c r="HP241" s="12"/>
      <c r="HQ241" s="12"/>
      <c r="HR241" s="12"/>
      <c r="HS241" s="12"/>
      <c r="HT241" s="12"/>
      <c r="HU241" s="12"/>
      <c r="HV241" s="12"/>
      <c r="HW241" s="12"/>
      <c r="HX241" s="12"/>
      <c r="HY241" s="12"/>
      <c r="HZ241" s="12"/>
      <c r="IA241" s="12"/>
      <c r="IB241" s="12"/>
      <c r="IC241" s="12"/>
      <c r="ID241" s="12"/>
      <c r="IE241" s="12"/>
      <c r="IF241" s="12"/>
      <c r="IG241" s="12"/>
      <c r="IH241" s="12"/>
      <c r="II241" s="12"/>
      <c r="IJ241" s="12"/>
      <c r="IK241" s="12"/>
      <c r="IL241" s="12"/>
      <c r="IM241" s="12"/>
      <c r="IN241" s="12"/>
      <c r="IO241" s="12"/>
      <c r="IP241" s="12"/>
      <c r="IQ241" s="12"/>
      <c r="IR241" s="12"/>
      <c r="IS241" s="12"/>
      <c r="IT241" s="12"/>
      <c r="IU241" s="12"/>
      <c r="IV241" s="12"/>
      <c r="IW241" s="12"/>
    </row>
    <row r="242" customFormat="false" ht="11.25" hidden="false" customHeight="false" outlineLevel="0" collapsed="false">
      <c r="A242" s="25" t="n">
        <f aca="false">DATE(YEAR(A241),MONTH(A241)+1,1)</f>
        <v>53083</v>
      </c>
      <c r="B242" s="21" t="n">
        <v>3.47</v>
      </c>
      <c r="C242" s="21" t="n">
        <v>3.57</v>
      </c>
      <c r="D242" s="25" t="n">
        <f aca="false">DATE(YEAR(D241),MONTH(D241)+1,1)</f>
        <v>53083</v>
      </c>
      <c r="E242" s="21" t="n">
        <v>0</v>
      </c>
      <c r="F242" s="21" t="n">
        <v>0</v>
      </c>
      <c r="G242" s="6"/>
      <c r="H242" s="22" t="n">
        <f aca="false">A242</f>
        <v>53083</v>
      </c>
      <c r="I242" s="23" t="n">
        <f aca="false">IF($J$1="bid",B242,C242)</f>
        <v>3.57</v>
      </c>
      <c r="J242" s="24" t="n">
        <f aca="false">D242</f>
        <v>53083</v>
      </c>
      <c r="K242" s="23" t="n">
        <f aca="false">IF($J$1="bid",E242,F242)</f>
        <v>0</v>
      </c>
      <c r="L242" s="11"/>
      <c r="M242" s="11"/>
      <c r="N242" s="11"/>
      <c r="O242" s="11"/>
      <c r="P242" s="11"/>
      <c r="Q242" s="11"/>
      <c r="R242" s="11"/>
      <c r="S242" s="11"/>
      <c r="T242" s="11"/>
      <c r="U242" s="11"/>
      <c r="V242" s="11"/>
      <c r="W242" s="11"/>
      <c r="X242" s="11"/>
      <c r="Y242" s="11"/>
      <c r="Z242" s="11"/>
      <c r="AA242" s="11"/>
      <c r="AB242" s="11"/>
      <c r="AC242" s="11"/>
      <c r="AD242" s="11"/>
      <c r="AE242" s="11"/>
      <c r="AF242" s="11"/>
      <c r="AG242" s="11"/>
      <c r="AH242" s="11"/>
      <c r="AI242" s="11"/>
      <c r="AJ242" s="11"/>
      <c r="AK242" s="11"/>
      <c r="AL242" s="11"/>
      <c r="AM242" s="11"/>
      <c r="AN242" s="11"/>
      <c r="AO242" s="11"/>
      <c r="AP242" s="11"/>
      <c r="AQ242" s="11"/>
      <c r="AR242" s="5"/>
      <c r="AS242" s="12"/>
      <c r="AT242" s="12"/>
      <c r="AU242" s="12"/>
      <c r="AV242" s="12"/>
      <c r="AW242" s="12"/>
      <c r="AX242" s="12"/>
      <c r="AY242" s="12"/>
      <c r="AZ242" s="12"/>
      <c r="BA242" s="12"/>
      <c r="BB242" s="12"/>
      <c r="BC242" s="12"/>
      <c r="BD242" s="12"/>
      <c r="BE242" s="12"/>
      <c r="BF242" s="12"/>
      <c r="BG242" s="12"/>
      <c r="BH242" s="12"/>
      <c r="BI242" s="12"/>
      <c r="BJ242" s="12"/>
      <c r="BK242" s="12"/>
      <c r="BL242" s="12"/>
      <c r="BM242" s="12"/>
      <c r="BN242" s="12"/>
      <c r="BO242" s="12"/>
      <c r="BP242" s="12"/>
      <c r="BQ242" s="12"/>
      <c r="BR242" s="12"/>
      <c r="BS242" s="12"/>
      <c r="BT242" s="12"/>
      <c r="BU242" s="12"/>
      <c r="BV242" s="12"/>
      <c r="BW242" s="12"/>
      <c r="BX242" s="12"/>
      <c r="BY242" s="12"/>
      <c r="BZ242" s="12"/>
      <c r="CA242" s="12"/>
      <c r="CB242" s="12"/>
      <c r="CC242" s="12"/>
      <c r="CD242" s="12"/>
      <c r="CE242" s="12"/>
      <c r="CF242" s="12"/>
      <c r="CG242" s="12"/>
      <c r="CH242" s="12"/>
      <c r="CI242" s="12"/>
      <c r="CJ242" s="12"/>
      <c r="CK242" s="12"/>
      <c r="CL242" s="12"/>
      <c r="CM242" s="12"/>
      <c r="CN242" s="12"/>
      <c r="CO242" s="12"/>
      <c r="CP242" s="12"/>
      <c r="CQ242" s="12"/>
      <c r="CR242" s="12"/>
      <c r="CS242" s="12"/>
      <c r="CT242" s="12"/>
      <c r="CU242" s="12"/>
      <c r="CV242" s="12"/>
      <c r="CW242" s="12"/>
      <c r="CX242" s="12"/>
      <c r="CY242" s="12"/>
      <c r="CZ242" s="12"/>
      <c r="DA242" s="12"/>
      <c r="DB242" s="12"/>
      <c r="DC242" s="12"/>
      <c r="DD242" s="12"/>
      <c r="DE242" s="12"/>
      <c r="DF242" s="12"/>
      <c r="DG242" s="12"/>
      <c r="DH242" s="12"/>
      <c r="DI242" s="12"/>
      <c r="DJ242" s="12"/>
      <c r="DK242" s="12"/>
      <c r="DL242" s="12"/>
      <c r="DM242" s="12"/>
      <c r="DN242" s="12"/>
      <c r="DO242" s="12"/>
      <c r="DP242" s="12"/>
      <c r="DQ242" s="12"/>
      <c r="DR242" s="12"/>
      <c r="DS242" s="12"/>
      <c r="DT242" s="12"/>
      <c r="DU242" s="12"/>
      <c r="DV242" s="12"/>
      <c r="DW242" s="12"/>
      <c r="DX242" s="12"/>
      <c r="DY242" s="12"/>
      <c r="DZ242" s="12"/>
      <c r="EA242" s="12"/>
      <c r="EB242" s="12"/>
      <c r="EC242" s="12"/>
      <c r="ED242" s="12"/>
      <c r="EE242" s="12"/>
      <c r="EF242" s="12"/>
      <c r="EG242" s="12"/>
      <c r="EH242" s="12"/>
      <c r="EI242" s="12"/>
      <c r="EJ242" s="12"/>
      <c r="EK242" s="12"/>
      <c r="EL242" s="12"/>
      <c r="EM242" s="12"/>
      <c r="EN242" s="12"/>
      <c r="EO242" s="12"/>
      <c r="EP242" s="12"/>
      <c r="EQ242" s="12"/>
      <c r="ER242" s="12"/>
      <c r="ES242" s="12"/>
      <c r="ET242" s="12"/>
      <c r="EU242" s="12"/>
      <c r="EV242" s="12"/>
      <c r="EW242" s="12"/>
      <c r="EX242" s="12"/>
      <c r="EY242" s="12"/>
      <c r="EZ242" s="12"/>
      <c r="FA242" s="12"/>
      <c r="FB242" s="12"/>
      <c r="FC242" s="12"/>
      <c r="FD242" s="12"/>
      <c r="FE242" s="12"/>
      <c r="FF242" s="12"/>
      <c r="FG242" s="12"/>
      <c r="FH242" s="12"/>
      <c r="FI242" s="12"/>
      <c r="FJ242" s="12"/>
      <c r="FK242" s="12"/>
      <c r="FL242" s="12"/>
      <c r="FM242" s="12"/>
      <c r="FN242" s="12"/>
      <c r="FO242" s="12"/>
      <c r="FP242" s="12"/>
      <c r="FQ242" s="12"/>
      <c r="FR242" s="12"/>
      <c r="FS242" s="12"/>
      <c r="FT242" s="12"/>
      <c r="FU242" s="12"/>
      <c r="FV242" s="12"/>
      <c r="FW242" s="12"/>
      <c r="FX242" s="12"/>
      <c r="FY242" s="12"/>
      <c r="FZ242" s="12"/>
      <c r="GA242" s="12"/>
      <c r="GB242" s="12"/>
      <c r="GC242" s="12"/>
      <c r="GD242" s="12"/>
      <c r="GE242" s="12"/>
      <c r="GF242" s="12"/>
      <c r="GG242" s="12"/>
      <c r="GH242" s="12"/>
      <c r="GI242" s="12"/>
      <c r="GJ242" s="12"/>
      <c r="GK242" s="12"/>
      <c r="GL242" s="12"/>
      <c r="GM242" s="12"/>
      <c r="GN242" s="12"/>
      <c r="GO242" s="12"/>
      <c r="GP242" s="12"/>
      <c r="GQ242" s="12"/>
      <c r="GR242" s="12"/>
      <c r="GS242" s="12"/>
      <c r="GT242" s="12"/>
      <c r="GU242" s="12"/>
      <c r="GV242" s="12"/>
      <c r="GW242" s="12"/>
      <c r="GX242" s="12"/>
      <c r="GY242" s="12"/>
      <c r="GZ242" s="12"/>
      <c r="HA242" s="12"/>
      <c r="HB242" s="12"/>
      <c r="HC242" s="12"/>
      <c r="HD242" s="12"/>
      <c r="HE242" s="12"/>
      <c r="HF242" s="12"/>
      <c r="HG242" s="12"/>
      <c r="HH242" s="12"/>
      <c r="HI242" s="12"/>
      <c r="HJ242" s="12"/>
      <c r="HK242" s="12"/>
      <c r="HL242" s="12"/>
      <c r="HM242" s="12"/>
      <c r="HN242" s="12"/>
      <c r="HO242" s="12"/>
      <c r="HP242" s="12"/>
      <c r="HQ242" s="12"/>
      <c r="HR242" s="12"/>
      <c r="HS242" s="12"/>
      <c r="HT242" s="12"/>
      <c r="HU242" s="12"/>
      <c r="HV242" s="12"/>
      <c r="HW242" s="12"/>
      <c r="HX242" s="12"/>
      <c r="HY242" s="12"/>
      <c r="HZ242" s="12"/>
      <c r="IA242" s="12"/>
      <c r="IB242" s="12"/>
      <c r="IC242" s="12"/>
      <c r="ID242" s="12"/>
      <c r="IE242" s="12"/>
      <c r="IF242" s="12"/>
      <c r="IG242" s="12"/>
      <c r="IH242" s="12"/>
      <c r="II242" s="12"/>
      <c r="IJ242" s="12"/>
      <c r="IK242" s="12"/>
      <c r="IL242" s="12"/>
      <c r="IM242" s="12"/>
      <c r="IN242" s="12"/>
      <c r="IO242" s="12"/>
      <c r="IP242" s="12"/>
      <c r="IQ242" s="12"/>
      <c r="IR242" s="12"/>
      <c r="IS242" s="12"/>
      <c r="IT242" s="12"/>
      <c r="IU242" s="12"/>
      <c r="IV242" s="12"/>
      <c r="IW242" s="12"/>
    </row>
    <row r="243" customFormat="false" ht="11.25" hidden="false" customHeight="false" outlineLevel="0" collapsed="false">
      <c r="A243" s="25" t="n">
        <f aca="false">DATE(YEAR(A242),MONTH(A242)+1,1)</f>
        <v>53114</v>
      </c>
      <c r="B243" s="21" t="n">
        <v>3.47</v>
      </c>
      <c r="C243" s="21" t="n">
        <v>3.57</v>
      </c>
      <c r="D243" s="25" t="n">
        <f aca="false">DATE(YEAR(D242),MONTH(D242)+1,1)</f>
        <v>53114</v>
      </c>
      <c r="E243" s="21" t="n">
        <v>0</v>
      </c>
      <c r="F243" s="21" t="n">
        <v>0</v>
      </c>
      <c r="G243" s="6"/>
      <c r="H243" s="22" t="n">
        <f aca="false">A243</f>
        <v>53114</v>
      </c>
      <c r="I243" s="23" t="n">
        <f aca="false">IF($J$1="bid",B243,C243)</f>
        <v>3.57</v>
      </c>
      <c r="J243" s="24" t="n">
        <f aca="false">D243</f>
        <v>53114</v>
      </c>
      <c r="K243" s="23" t="n">
        <f aca="false">IF($J$1="bid",E243,F243)</f>
        <v>0</v>
      </c>
      <c r="L243" s="11"/>
      <c r="M243" s="11"/>
      <c r="N243" s="11"/>
      <c r="O243" s="11"/>
      <c r="P243" s="11"/>
      <c r="Q243" s="11"/>
      <c r="R243" s="11"/>
      <c r="S243" s="11"/>
      <c r="T243" s="11"/>
      <c r="U243" s="11"/>
      <c r="V243" s="11"/>
      <c r="W243" s="11"/>
      <c r="X243" s="11"/>
      <c r="Y243" s="11"/>
      <c r="Z243" s="11"/>
      <c r="AA243" s="11"/>
      <c r="AB243" s="11"/>
      <c r="AC243" s="11"/>
      <c r="AD243" s="11"/>
      <c r="AE243" s="11"/>
      <c r="AF243" s="11"/>
      <c r="AG243" s="11"/>
      <c r="AH243" s="11"/>
      <c r="AI243" s="11"/>
      <c r="AJ243" s="11"/>
      <c r="AK243" s="11"/>
      <c r="AL243" s="11"/>
      <c r="AM243" s="11"/>
      <c r="AN243" s="11"/>
      <c r="AO243" s="11"/>
      <c r="AP243" s="11"/>
      <c r="AQ243" s="11"/>
      <c r="AR243" s="5"/>
      <c r="AS243" s="12"/>
      <c r="AT243" s="12"/>
      <c r="AU243" s="12"/>
      <c r="AV243" s="12"/>
      <c r="AW243" s="12"/>
      <c r="AX243" s="12"/>
      <c r="AY243" s="12"/>
      <c r="AZ243" s="12"/>
      <c r="BA243" s="12"/>
      <c r="BB243" s="12"/>
      <c r="BC243" s="12"/>
      <c r="BD243" s="12"/>
      <c r="BE243" s="12"/>
      <c r="BF243" s="12"/>
      <c r="BG243" s="12"/>
      <c r="BH243" s="12"/>
      <c r="BI243" s="12"/>
      <c r="BJ243" s="12"/>
      <c r="BK243" s="12"/>
      <c r="BL243" s="12"/>
      <c r="BM243" s="12"/>
      <c r="BN243" s="12"/>
      <c r="BO243" s="12"/>
      <c r="BP243" s="12"/>
      <c r="BQ243" s="12"/>
      <c r="BR243" s="12"/>
      <c r="BS243" s="12"/>
      <c r="BT243" s="12"/>
      <c r="BU243" s="12"/>
      <c r="BV243" s="12"/>
      <c r="BW243" s="12"/>
      <c r="BX243" s="12"/>
      <c r="BY243" s="12"/>
      <c r="BZ243" s="12"/>
      <c r="CA243" s="12"/>
      <c r="CB243" s="12"/>
      <c r="CC243" s="12"/>
      <c r="CD243" s="12"/>
      <c r="CE243" s="12"/>
      <c r="CF243" s="12"/>
      <c r="CG243" s="12"/>
      <c r="CH243" s="12"/>
      <c r="CI243" s="12"/>
      <c r="CJ243" s="12"/>
      <c r="CK243" s="12"/>
      <c r="CL243" s="12"/>
      <c r="CM243" s="12"/>
      <c r="CN243" s="12"/>
      <c r="CO243" s="12"/>
      <c r="CP243" s="12"/>
      <c r="CQ243" s="12"/>
      <c r="CR243" s="12"/>
      <c r="CS243" s="12"/>
      <c r="CT243" s="12"/>
      <c r="CU243" s="12"/>
      <c r="CV243" s="12"/>
      <c r="CW243" s="12"/>
      <c r="CX243" s="12"/>
      <c r="CY243" s="12"/>
      <c r="CZ243" s="12"/>
      <c r="DA243" s="12"/>
      <c r="DB243" s="12"/>
      <c r="DC243" s="12"/>
      <c r="DD243" s="12"/>
      <c r="DE243" s="12"/>
      <c r="DF243" s="12"/>
      <c r="DG243" s="12"/>
      <c r="DH243" s="12"/>
      <c r="DI243" s="12"/>
      <c r="DJ243" s="12"/>
      <c r="DK243" s="12"/>
      <c r="DL243" s="12"/>
      <c r="DM243" s="12"/>
      <c r="DN243" s="12"/>
      <c r="DO243" s="12"/>
      <c r="DP243" s="12"/>
      <c r="DQ243" s="12"/>
      <c r="DR243" s="12"/>
      <c r="DS243" s="12"/>
      <c r="DT243" s="12"/>
      <c r="DU243" s="12"/>
      <c r="DV243" s="12"/>
      <c r="DW243" s="12"/>
      <c r="DX243" s="12"/>
      <c r="DY243" s="12"/>
      <c r="DZ243" s="12"/>
      <c r="EA243" s="12"/>
      <c r="EB243" s="12"/>
      <c r="EC243" s="12"/>
      <c r="ED243" s="12"/>
      <c r="EE243" s="12"/>
      <c r="EF243" s="12"/>
      <c r="EG243" s="12"/>
      <c r="EH243" s="12"/>
      <c r="EI243" s="12"/>
      <c r="EJ243" s="12"/>
      <c r="EK243" s="12"/>
      <c r="EL243" s="12"/>
      <c r="EM243" s="12"/>
      <c r="EN243" s="12"/>
      <c r="EO243" s="12"/>
      <c r="EP243" s="12"/>
      <c r="EQ243" s="12"/>
      <c r="ER243" s="12"/>
      <c r="ES243" s="12"/>
      <c r="ET243" s="12"/>
      <c r="EU243" s="12"/>
      <c r="EV243" s="12"/>
      <c r="EW243" s="12"/>
      <c r="EX243" s="12"/>
      <c r="EY243" s="12"/>
      <c r="EZ243" s="12"/>
      <c r="FA243" s="12"/>
      <c r="FB243" s="12"/>
      <c r="FC243" s="12"/>
      <c r="FD243" s="12"/>
      <c r="FE243" s="12"/>
      <c r="FF243" s="12"/>
      <c r="FG243" s="12"/>
      <c r="FH243" s="12"/>
      <c r="FI243" s="12"/>
      <c r="FJ243" s="12"/>
      <c r="FK243" s="12"/>
      <c r="FL243" s="12"/>
      <c r="FM243" s="12"/>
      <c r="FN243" s="12"/>
      <c r="FO243" s="12"/>
      <c r="FP243" s="12"/>
      <c r="FQ243" s="12"/>
      <c r="FR243" s="12"/>
      <c r="FS243" s="12"/>
      <c r="FT243" s="12"/>
      <c r="FU243" s="12"/>
      <c r="FV243" s="12"/>
      <c r="FW243" s="12"/>
      <c r="FX243" s="12"/>
      <c r="FY243" s="12"/>
      <c r="FZ243" s="12"/>
      <c r="GA243" s="12"/>
      <c r="GB243" s="12"/>
      <c r="GC243" s="12"/>
      <c r="GD243" s="12"/>
      <c r="GE243" s="12"/>
      <c r="GF243" s="12"/>
      <c r="GG243" s="12"/>
      <c r="GH243" s="12"/>
      <c r="GI243" s="12"/>
      <c r="GJ243" s="12"/>
      <c r="GK243" s="12"/>
      <c r="GL243" s="12"/>
      <c r="GM243" s="12"/>
      <c r="GN243" s="12"/>
      <c r="GO243" s="12"/>
      <c r="GP243" s="12"/>
      <c r="GQ243" s="12"/>
      <c r="GR243" s="12"/>
      <c r="GS243" s="12"/>
      <c r="GT243" s="12"/>
      <c r="GU243" s="12"/>
      <c r="GV243" s="12"/>
      <c r="GW243" s="12"/>
      <c r="GX243" s="12"/>
      <c r="GY243" s="12"/>
      <c r="GZ243" s="12"/>
      <c r="HA243" s="12"/>
      <c r="HB243" s="12"/>
      <c r="HC243" s="12"/>
      <c r="HD243" s="12"/>
      <c r="HE243" s="12"/>
      <c r="HF243" s="12"/>
      <c r="HG243" s="12"/>
      <c r="HH243" s="12"/>
      <c r="HI243" s="12"/>
      <c r="HJ243" s="12"/>
      <c r="HK243" s="12"/>
      <c r="HL243" s="12"/>
      <c r="HM243" s="12"/>
      <c r="HN243" s="12"/>
      <c r="HO243" s="12"/>
      <c r="HP243" s="12"/>
      <c r="HQ243" s="12"/>
      <c r="HR243" s="12"/>
      <c r="HS243" s="12"/>
      <c r="HT243" s="12"/>
      <c r="HU243" s="12"/>
      <c r="HV243" s="12"/>
      <c r="HW243" s="12"/>
      <c r="HX243" s="12"/>
      <c r="HY243" s="12"/>
      <c r="HZ243" s="12"/>
      <c r="IA243" s="12"/>
      <c r="IB243" s="12"/>
      <c r="IC243" s="12"/>
      <c r="ID243" s="12"/>
      <c r="IE243" s="12"/>
      <c r="IF243" s="12"/>
      <c r="IG243" s="12"/>
      <c r="IH243" s="12"/>
      <c r="II243" s="12"/>
      <c r="IJ243" s="12"/>
      <c r="IK243" s="12"/>
      <c r="IL243" s="12"/>
      <c r="IM243" s="12"/>
      <c r="IN243" s="12"/>
      <c r="IO243" s="12"/>
      <c r="IP243" s="12"/>
      <c r="IQ243" s="12"/>
      <c r="IR243" s="12"/>
      <c r="IS243" s="12"/>
      <c r="IT243" s="12"/>
      <c r="IU243" s="12"/>
      <c r="IV243" s="12"/>
      <c r="IW243" s="12"/>
    </row>
    <row r="244" customFormat="false" ht="11.25" hidden="false" customHeight="false" outlineLevel="0" collapsed="false">
      <c r="A244" s="25" t="n">
        <f aca="false">DATE(YEAR(A243),MONTH(A243)+1,1)</f>
        <v>53144</v>
      </c>
      <c r="B244" s="21" t="n">
        <v>3.47</v>
      </c>
      <c r="C244" s="21" t="n">
        <v>3.57</v>
      </c>
      <c r="D244" s="25" t="n">
        <f aca="false">DATE(YEAR(D243),MONTH(D243)+1,1)</f>
        <v>53144</v>
      </c>
      <c r="E244" s="21" t="n">
        <v>0</v>
      </c>
      <c r="F244" s="21" t="n">
        <v>0</v>
      </c>
      <c r="G244" s="6"/>
      <c r="H244" s="22" t="n">
        <f aca="false">A244</f>
        <v>53144</v>
      </c>
      <c r="I244" s="23" t="n">
        <f aca="false">IF($J$1="bid",B244,C244)</f>
        <v>3.57</v>
      </c>
      <c r="J244" s="24" t="n">
        <f aca="false">D244</f>
        <v>53144</v>
      </c>
      <c r="K244" s="23" t="n">
        <f aca="false">IF($J$1="bid",E244,F244)</f>
        <v>0</v>
      </c>
      <c r="L244" s="11"/>
      <c r="M244" s="11"/>
      <c r="N244" s="11"/>
      <c r="O244" s="11"/>
      <c r="P244" s="11"/>
      <c r="Q244" s="11"/>
      <c r="R244" s="11"/>
      <c r="S244" s="11"/>
      <c r="T244" s="11"/>
      <c r="U244" s="11"/>
      <c r="V244" s="11"/>
      <c r="W244" s="11"/>
      <c r="X244" s="11"/>
      <c r="Y244" s="11"/>
      <c r="Z244" s="11"/>
      <c r="AA244" s="11"/>
      <c r="AB244" s="11"/>
      <c r="AC244" s="11"/>
      <c r="AD244" s="11"/>
      <c r="AE244" s="11"/>
      <c r="AF244" s="11"/>
      <c r="AG244" s="11"/>
      <c r="AH244" s="11"/>
      <c r="AI244" s="11"/>
      <c r="AJ244" s="11"/>
      <c r="AK244" s="11"/>
      <c r="AL244" s="11"/>
      <c r="AM244" s="11"/>
      <c r="AN244" s="11"/>
      <c r="AO244" s="11"/>
      <c r="AP244" s="11"/>
      <c r="AQ244" s="11"/>
      <c r="AR244" s="5"/>
      <c r="AS244" s="12"/>
      <c r="AT244" s="12"/>
      <c r="AU244" s="12"/>
      <c r="AV244" s="12"/>
      <c r="AW244" s="12"/>
      <c r="AX244" s="12"/>
      <c r="AY244" s="12"/>
      <c r="AZ244" s="12"/>
      <c r="BA244" s="12"/>
      <c r="BB244" s="12"/>
      <c r="BC244" s="12"/>
      <c r="BD244" s="12"/>
      <c r="BE244" s="12"/>
      <c r="BF244" s="12"/>
      <c r="BG244" s="12"/>
      <c r="BH244" s="12"/>
      <c r="BI244" s="12"/>
      <c r="BJ244" s="12"/>
      <c r="BK244" s="12"/>
      <c r="BL244" s="12"/>
      <c r="BM244" s="12"/>
      <c r="BN244" s="12"/>
      <c r="BO244" s="12"/>
      <c r="BP244" s="12"/>
      <c r="BQ244" s="12"/>
      <c r="BR244" s="12"/>
      <c r="BS244" s="12"/>
      <c r="BT244" s="12"/>
      <c r="BU244" s="12"/>
      <c r="BV244" s="12"/>
      <c r="BW244" s="12"/>
      <c r="BX244" s="12"/>
      <c r="BY244" s="12"/>
      <c r="BZ244" s="12"/>
      <c r="CA244" s="12"/>
      <c r="CB244" s="12"/>
      <c r="CC244" s="12"/>
      <c r="CD244" s="12"/>
      <c r="CE244" s="12"/>
      <c r="CF244" s="12"/>
      <c r="CG244" s="12"/>
      <c r="CH244" s="12"/>
      <c r="CI244" s="12"/>
      <c r="CJ244" s="12"/>
      <c r="CK244" s="12"/>
      <c r="CL244" s="12"/>
      <c r="CM244" s="12"/>
      <c r="CN244" s="12"/>
      <c r="CO244" s="12"/>
      <c r="CP244" s="12"/>
      <c r="CQ244" s="12"/>
      <c r="CR244" s="12"/>
      <c r="CS244" s="12"/>
      <c r="CT244" s="12"/>
      <c r="CU244" s="12"/>
      <c r="CV244" s="12"/>
      <c r="CW244" s="12"/>
      <c r="CX244" s="12"/>
      <c r="CY244" s="12"/>
      <c r="CZ244" s="12"/>
      <c r="DA244" s="12"/>
      <c r="DB244" s="12"/>
      <c r="DC244" s="12"/>
      <c r="DD244" s="12"/>
      <c r="DE244" s="12"/>
      <c r="DF244" s="12"/>
      <c r="DG244" s="12"/>
      <c r="DH244" s="12"/>
      <c r="DI244" s="12"/>
      <c r="DJ244" s="12"/>
      <c r="DK244" s="12"/>
      <c r="DL244" s="12"/>
      <c r="DM244" s="12"/>
      <c r="DN244" s="12"/>
      <c r="DO244" s="12"/>
      <c r="DP244" s="12"/>
      <c r="DQ244" s="12"/>
      <c r="DR244" s="12"/>
      <c r="DS244" s="12"/>
      <c r="DT244" s="12"/>
      <c r="DU244" s="12"/>
      <c r="DV244" s="12"/>
      <c r="DW244" s="12"/>
      <c r="DX244" s="12"/>
      <c r="DY244" s="12"/>
      <c r="DZ244" s="12"/>
      <c r="EA244" s="12"/>
      <c r="EB244" s="12"/>
      <c r="EC244" s="12"/>
      <c r="ED244" s="12"/>
      <c r="EE244" s="12"/>
      <c r="EF244" s="12"/>
      <c r="EG244" s="12"/>
      <c r="EH244" s="12"/>
      <c r="EI244" s="12"/>
      <c r="EJ244" s="12"/>
      <c r="EK244" s="12"/>
      <c r="EL244" s="12"/>
      <c r="EM244" s="12"/>
      <c r="EN244" s="12"/>
      <c r="EO244" s="12"/>
      <c r="EP244" s="12"/>
      <c r="EQ244" s="12"/>
      <c r="ER244" s="12"/>
      <c r="ES244" s="12"/>
      <c r="ET244" s="12"/>
      <c r="EU244" s="12"/>
      <c r="EV244" s="12"/>
      <c r="EW244" s="12"/>
      <c r="EX244" s="12"/>
      <c r="EY244" s="12"/>
      <c r="EZ244" s="12"/>
      <c r="FA244" s="12"/>
      <c r="FB244" s="12"/>
      <c r="FC244" s="12"/>
      <c r="FD244" s="12"/>
      <c r="FE244" s="12"/>
      <c r="FF244" s="12"/>
      <c r="FG244" s="12"/>
      <c r="FH244" s="12"/>
      <c r="FI244" s="12"/>
      <c r="FJ244" s="12"/>
      <c r="FK244" s="12"/>
      <c r="FL244" s="12"/>
      <c r="FM244" s="12"/>
      <c r="FN244" s="12"/>
      <c r="FO244" s="12"/>
      <c r="FP244" s="12"/>
      <c r="FQ244" s="12"/>
      <c r="FR244" s="12"/>
      <c r="FS244" s="12"/>
      <c r="FT244" s="12"/>
      <c r="FU244" s="12"/>
      <c r="FV244" s="12"/>
      <c r="FW244" s="12"/>
      <c r="FX244" s="12"/>
      <c r="FY244" s="12"/>
      <c r="FZ244" s="12"/>
      <c r="GA244" s="12"/>
      <c r="GB244" s="12"/>
      <c r="GC244" s="12"/>
      <c r="GD244" s="12"/>
      <c r="GE244" s="12"/>
      <c r="GF244" s="12"/>
      <c r="GG244" s="12"/>
      <c r="GH244" s="12"/>
      <c r="GI244" s="12"/>
      <c r="GJ244" s="12"/>
      <c r="GK244" s="12"/>
      <c r="GL244" s="12"/>
      <c r="GM244" s="12"/>
      <c r="GN244" s="12"/>
      <c r="GO244" s="12"/>
      <c r="GP244" s="12"/>
      <c r="GQ244" s="12"/>
      <c r="GR244" s="12"/>
      <c r="GS244" s="12"/>
      <c r="GT244" s="12"/>
      <c r="GU244" s="12"/>
      <c r="GV244" s="12"/>
      <c r="GW244" s="12"/>
      <c r="GX244" s="12"/>
      <c r="GY244" s="12"/>
      <c r="GZ244" s="12"/>
      <c r="HA244" s="12"/>
      <c r="HB244" s="12"/>
      <c r="HC244" s="12"/>
      <c r="HD244" s="12"/>
      <c r="HE244" s="12"/>
      <c r="HF244" s="12"/>
      <c r="HG244" s="12"/>
      <c r="HH244" s="12"/>
      <c r="HI244" s="12"/>
      <c r="HJ244" s="12"/>
      <c r="HK244" s="12"/>
      <c r="HL244" s="12"/>
      <c r="HM244" s="12"/>
      <c r="HN244" s="12"/>
      <c r="HO244" s="12"/>
      <c r="HP244" s="12"/>
      <c r="HQ244" s="12"/>
      <c r="HR244" s="12"/>
      <c r="HS244" s="12"/>
      <c r="HT244" s="12"/>
      <c r="HU244" s="12"/>
      <c r="HV244" s="12"/>
      <c r="HW244" s="12"/>
      <c r="HX244" s="12"/>
      <c r="HY244" s="12"/>
      <c r="HZ244" s="12"/>
      <c r="IA244" s="12"/>
      <c r="IB244" s="12"/>
      <c r="IC244" s="12"/>
      <c r="ID244" s="12"/>
      <c r="IE244" s="12"/>
      <c r="IF244" s="12"/>
      <c r="IG244" s="12"/>
      <c r="IH244" s="12"/>
      <c r="II244" s="12"/>
      <c r="IJ244" s="12"/>
      <c r="IK244" s="12"/>
      <c r="IL244" s="12"/>
      <c r="IM244" s="12"/>
      <c r="IN244" s="12"/>
      <c r="IO244" s="12"/>
      <c r="IP244" s="12"/>
      <c r="IQ244" s="12"/>
      <c r="IR244" s="12"/>
      <c r="IS244" s="12"/>
      <c r="IT244" s="12"/>
      <c r="IU244" s="12"/>
      <c r="IV244" s="12"/>
      <c r="IW244" s="12"/>
    </row>
    <row r="245" customFormat="false" ht="11.25" hidden="false" customHeight="false" outlineLevel="0" collapsed="false">
      <c r="A245" s="25" t="n">
        <f aca="false">DATE(YEAR(A244),MONTH(A244)+1,1)</f>
        <v>53175</v>
      </c>
      <c r="B245" s="21" t="n">
        <v>3.47</v>
      </c>
      <c r="C245" s="21" t="n">
        <v>3.57</v>
      </c>
      <c r="D245" s="25" t="n">
        <f aca="false">DATE(YEAR(D244),MONTH(D244)+1,1)</f>
        <v>53175</v>
      </c>
      <c r="E245" s="21" t="n">
        <v>0</v>
      </c>
      <c r="F245" s="21" t="n">
        <v>0</v>
      </c>
      <c r="G245" s="6"/>
      <c r="H245" s="22" t="n">
        <f aca="false">A245</f>
        <v>53175</v>
      </c>
      <c r="I245" s="23" t="n">
        <f aca="false">IF($J$1="bid",B245,C245)</f>
        <v>3.57</v>
      </c>
      <c r="J245" s="24" t="n">
        <f aca="false">D245</f>
        <v>53175</v>
      </c>
      <c r="K245" s="23" t="n">
        <f aca="false">IF($J$1="bid",E245,F245)</f>
        <v>0</v>
      </c>
      <c r="L245" s="11"/>
      <c r="M245" s="11"/>
      <c r="N245" s="11"/>
      <c r="O245" s="11"/>
      <c r="P245" s="11"/>
      <c r="Q245" s="11"/>
      <c r="R245" s="11"/>
      <c r="S245" s="11"/>
      <c r="T245" s="11"/>
      <c r="U245" s="11"/>
      <c r="V245" s="11"/>
      <c r="W245" s="11"/>
      <c r="X245" s="11"/>
      <c r="Y245" s="11"/>
      <c r="Z245" s="11"/>
      <c r="AA245" s="11"/>
      <c r="AB245" s="11"/>
      <c r="AC245" s="11"/>
      <c r="AD245" s="11"/>
      <c r="AE245" s="11"/>
      <c r="AF245" s="11"/>
      <c r="AG245" s="11"/>
      <c r="AH245" s="11"/>
      <c r="AI245" s="11"/>
      <c r="AJ245" s="11"/>
      <c r="AK245" s="11"/>
      <c r="AL245" s="11"/>
      <c r="AM245" s="11"/>
      <c r="AN245" s="11"/>
      <c r="AO245" s="11"/>
      <c r="AP245" s="11"/>
      <c r="AQ245" s="11"/>
      <c r="AR245" s="5"/>
      <c r="AS245" s="12"/>
      <c r="AT245" s="12"/>
      <c r="AU245" s="12"/>
      <c r="AV245" s="12"/>
      <c r="AW245" s="12"/>
      <c r="AX245" s="12"/>
      <c r="AY245" s="12"/>
      <c r="AZ245" s="12"/>
      <c r="BA245" s="12"/>
      <c r="BB245" s="12"/>
      <c r="BC245" s="12"/>
      <c r="BD245" s="12"/>
      <c r="BE245" s="12"/>
      <c r="BF245" s="12"/>
      <c r="BG245" s="12"/>
      <c r="BH245" s="12"/>
      <c r="BI245" s="12"/>
      <c r="BJ245" s="12"/>
      <c r="BK245" s="12"/>
      <c r="BL245" s="12"/>
      <c r="BM245" s="12"/>
      <c r="BN245" s="12"/>
      <c r="BO245" s="12"/>
      <c r="BP245" s="12"/>
      <c r="BQ245" s="12"/>
      <c r="BR245" s="12"/>
      <c r="BS245" s="12"/>
      <c r="BT245" s="12"/>
      <c r="BU245" s="12"/>
      <c r="BV245" s="12"/>
      <c r="BW245" s="12"/>
      <c r="BX245" s="12"/>
      <c r="BY245" s="12"/>
      <c r="BZ245" s="12"/>
      <c r="CA245" s="12"/>
      <c r="CB245" s="12"/>
      <c r="CC245" s="12"/>
      <c r="CD245" s="12"/>
      <c r="CE245" s="12"/>
      <c r="CF245" s="12"/>
      <c r="CG245" s="12"/>
      <c r="CH245" s="12"/>
      <c r="CI245" s="12"/>
      <c r="CJ245" s="12"/>
      <c r="CK245" s="12"/>
      <c r="CL245" s="12"/>
      <c r="CM245" s="12"/>
      <c r="CN245" s="12"/>
      <c r="CO245" s="12"/>
      <c r="CP245" s="12"/>
      <c r="CQ245" s="12"/>
      <c r="CR245" s="12"/>
      <c r="CS245" s="12"/>
      <c r="CT245" s="12"/>
      <c r="CU245" s="12"/>
      <c r="CV245" s="12"/>
      <c r="CW245" s="12"/>
      <c r="CX245" s="12"/>
      <c r="CY245" s="12"/>
      <c r="CZ245" s="12"/>
      <c r="DA245" s="12"/>
      <c r="DB245" s="12"/>
      <c r="DC245" s="12"/>
      <c r="DD245" s="12"/>
      <c r="DE245" s="12"/>
      <c r="DF245" s="12"/>
      <c r="DG245" s="12"/>
      <c r="DH245" s="12"/>
      <c r="DI245" s="12"/>
      <c r="DJ245" s="12"/>
      <c r="DK245" s="12"/>
      <c r="DL245" s="12"/>
      <c r="DM245" s="12"/>
      <c r="DN245" s="12"/>
      <c r="DO245" s="12"/>
      <c r="DP245" s="12"/>
      <c r="DQ245" s="12"/>
      <c r="DR245" s="12"/>
      <c r="DS245" s="12"/>
      <c r="DT245" s="12"/>
      <c r="DU245" s="12"/>
      <c r="DV245" s="12"/>
      <c r="DW245" s="12"/>
      <c r="DX245" s="12"/>
      <c r="DY245" s="12"/>
      <c r="DZ245" s="12"/>
      <c r="EA245" s="12"/>
      <c r="EB245" s="12"/>
      <c r="EC245" s="12"/>
      <c r="ED245" s="12"/>
      <c r="EE245" s="12"/>
      <c r="EF245" s="12"/>
      <c r="EG245" s="12"/>
      <c r="EH245" s="12"/>
      <c r="EI245" s="12"/>
      <c r="EJ245" s="12"/>
      <c r="EK245" s="12"/>
      <c r="EL245" s="12"/>
      <c r="EM245" s="12"/>
      <c r="EN245" s="12"/>
      <c r="EO245" s="12"/>
      <c r="EP245" s="12"/>
      <c r="EQ245" s="12"/>
      <c r="ER245" s="12"/>
      <c r="ES245" s="12"/>
      <c r="ET245" s="12"/>
      <c r="EU245" s="12"/>
      <c r="EV245" s="12"/>
      <c r="EW245" s="12"/>
      <c r="EX245" s="12"/>
      <c r="EY245" s="12"/>
      <c r="EZ245" s="12"/>
      <c r="FA245" s="12"/>
      <c r="FB245" s="12"/>
      <c r="FC245" s="12"/>
      <c r="FD245" s="12"/>
      <c r="FE245" s="12"/>
      <c r="FF245" s="12"/>
      <c r="FG245" s="12"/>
      <c r="FH245" s="12"/>
      <c r="FI245" s="12"/>
      <c r="FJ245" s="12"/>
      <c r="FK245" s="12"/>
      <c r="FL245" s="12"/>
      <c r="FM245" s="12"/>
      <c r="FN245" s="12"/>
      <c r="FO245" s="12"/>
      <c r="FP245" s="12"/>
      <c r="FQ245" s="12"/>
      <c r="FR245" s="12"/>
      <c r="FS245" s="12"/>
      <c r="FT245" s="12"/>
      <c r="FU245" s="12"/>
      <c r="FV245" s="12"/>
      <c r="FW245" s="12"/>
      <c r="FX245" s="12"/>
      <c r="FY245" s="12"/>
      <c r="FZ245" s="12"/>
      <c r="GA245" s="12"/>
      <c r="GB245" s="12"/>
      <c r="GC245" s="12"/>
      <c r="GD245" s="12"/>
      <c r="GE245" s="12"/>
      <c r="GF245" s="12"/>
      <c r="GG245" s="12"/>
      <c r="GH245" s="12"/>
      <c r="GI245" s="12"/>
      <c r="GJ245" s="12"/>
      <c r="GK245" s="12"/>
      <c r="GL245" s="12"/>
      <c r="GM245" s="12"/>
      <c r="GN245" s="12"/>
      <c r="GO245" s="12"/>
      <c r="GP245" s="12"/>
      <c r="GQ245" s="12"/>
      <c r="GR245" s="12"/>
      <c r="GS245" s="12"/>
      <c r="GT245" s="12"/>
      <c r="GU245" s="12"/>
      <c r="GV245" s="12"/>
      <c r="GW245" s="12"/>
      <c r="GX245" s="12"/>
      <c r="GY245" s="12"/>
      <c r="GZ245" s="12"/>
      <c r="HA245" s="12"/>
      <c r="HB245" s="12"/>
      <c r="HC245" s="12"/>
      <c r="HD245" s="12"/>
      <c r="HE245" s="12"/>
      <c r="HF245" s="12"/>
      <c r="HG245" s="12"/>
      <c r="HH245" s="12"/>
      <c r="HI245" s="12"/>
      <c r="HJ245" s="12"/>
      <c r="HK245" s="12"/>
      <c r="HL245" s="12"/>
      <c r="HM245" s="12"/>
      <c r="HN245" s="12"/>
      <c r="HO245" s="12"/>
      <c r="HP245" s="12"/>
      <c r="HQ245" s="12"/>
      <c r="HR245" s="12"/>
      <c r="HS245" s="12"/>
      <c r="HT245" s="12"/>
      <c r="HU245" s="12"/>
      <c r="HV245" s="12"/>
      <c r="HW245" s="12"/>
      <c r="HX245" s="12"/>
      <c r="HY245" s="12"/>
      <c r="HZ245" s="12"/>
      <c r="IA245" s="12"/>
      <c r="IB245" s="12"/>
      <c r="IC245" s="12"/>
      <c r="ID245" s="12"/>
      <c r="IE245" s="12"/>
      <c r="IF245" s="12"/>
      <c r="IG245" s="12"/>
      <c r="IH245" s="12"/>
      <c r="II245" s="12"/>
      <c r="IJ245" s="12"/>
      <c r="IK245" s="12"/>
      <c r="IL245" s="12"/>
      <c r="IM245" s="12"/>
      <c r="IN245" s="12"/>
      <c r="IO245" s="12"/>
      <c r="IP245" s="12"/>
      <c r="IQ245" s="12"/>
      <c r="IR245" s="12"/>
      <c r="IS245" s="12"/>
      <c r="IT245" s="12"/>
      <c r="IU245" s="12"/>
      <c r="IV245" s="12"/>
      <c r="IW245" s="12"/>
    </row>
    <row r="246" customFormat="false" ht="11.25" hidden="false" customHeight="false" outlineLevel="0" collapsed="false">
      <c r="A246" s="25" t="n">
        <f aca="false">DATE(YEAR(A245),MONTH(A245)+1,1)</f>
        <v>53206</v>
      </c>
      <c r="B246" s="21" t="n">
        <v>3.544</v>
      </c>
      <c r="C246" s="21" t="n">
        <v>3.644</v>
      </c>
      <c r="D246" s="25" t="n">
        <f aca="false">DATE(YEAR(D245),MONTH(D245)+1,1)</f>
        <v>53206</v>
      </c>
      <c r="E246" s="21" t="n">
        <v>0</v>
      </c>
      <c r="F246" s="21" t="n">
        <v>0</v>
      </c>
      <c r="G246" s="6"/>
      <c r="H246" s="22" t="n">
        <f aca="false">A246</f>
        <v>53206</v>
      </c>
      <c r="I246" s="23" t="n">
        <f aca="false">IF($J$1="bid",B246,C246)</f>
        <v>3.644</v>
      </c>
      <c r="J246" s="24" t="n">
        <f aca="false">D246</f>
        <v>53206</v>
      </c>
      <c r="K246" s="23" t="n">
        <f aca="false">IF($J$1="bid",E246,F246)</f>
        <v>0</v>
      </c>
      <c r="L246" s="11"/>
      <c r="M246" s="11"/>
      <c r="N246" s="11"/>
      <c r="O246" s="11"/>
      <c r="P246" s="11"/>
      <c r="Q246" s="11"/>
      <c r="R246" s="11"/>
      <c r="S246" s="11"/>
      <c r="T246" s="11"/>
      <c r="U246" s="11"/>
      <c r="V246" s="11"/>
      <c r="W246" s="11"/>
      <c r="X246" s="11"/>
      <c r="Y246" s="11"/>
      <c r="Z246" s="11"/>
      <c r="AA246" s="11"/>
      <c r="AB246" s="11"/>
      <c r="AC246" s="11"/>
      <c r="AD246" s="11"/>
      <c r="AE246" s="11"/>
      <c r="AF246" s="11"/>
      <c r="AG246" s="11"/>
      <c r="AH246" s="11"/>
      <c r="AI246" s="11"/>
      <c r="AJ246" s="11"/>
      <c r="AK246" s="11"/>
      <c r="AL246" s="11"/>
      <c r="AM246" s="11"/>
      <c r="AN246" s="11"/>
      <c r="AO246" s="11"/>
      <c r="AP246" s="11"/>
      <c r="AQ246" s="11"/>
      <c r="AR246" s="5"/>
      <c r="AS246" s="12"/>
      <c r="AT246" s="12"/>
      <c r="AU246" s="12"/>
      <c r="AV246" s="12"/>
      <c r="AW246" s="12"/>
      <c r="AX246" s="12"/>
      <c r="AY246" s="12"/>
      <c r="AZ246" s="12"/>
      <c r="BA246" s="12"/>
      <c r="BB246" s="12"/>
      <c r="BC246" s="12"/>
      <c r="BD246" s="12"/>
      <c r="BE246" s="12"/>
      <c r="BF246" s="12"/>
      <c r="BG246" s="12"/>
      <c r="BH246" s="12"/>
      <c r="BI246" s="12"/>
      <c r="BJ246" s="12"/>
      <c r="BK246" s="12"/>
      <c r="BL246" s="12"/>
      <c r="BM246" s="12"/>
      <c r="BN246" s="12"/>
      <c r="BO246" s="12"/>
      <c r="BP246" s="12"/>
      <c r="BQ246" s="12"/>
      <c r="BR246" s="12"/>
      <c r="BS246" s="12"/>
      <c r="BT246" s="12"/>
      <c r="BU246" s="12"/>
      <c r="BV246" s="12"/>
      <c r="BW246" s="12"/>
      <c r="BX246" s="12"/>
      <c r="BY246" s="12"/>
      <c r="BZ246" s="12"/>
      <c r="CA246" s="12"/>
      <c r="CB246" s="12"/>
      <c r="CC246" s="12"/>
      <c r="CD246" s="12"/>
      <c r="CE246" s="12"/>
      <c r="CF246" s="12"/>
      <c r="CG246" s="12"/>
      <c r="CH246" s="12"/>
      <c r="CI246" s="12"/>
      <c r="CJ246" s="12"/>
      <c r="CK246" s="12"/>
      <c r="CL246" s="12"/>
      <c r="CM246" s="12"/>
      <c r="CN246" s="12"/>
      <c r="CO246" s="12"/>
      <c r="CP246" s="12"/>
      <c r="CQ246" s="12"/>
      <c r="CR246" s="12"/>
      <c r="CS246" s="12"/>
      <c r="CT246" s="12"/>
      <c r="CU246" s="12"/>
      <c r="CV246" s="12"/>
      <c r="CW246" s="12"/>
      <c r="CX246" s="12"/>
      <c r="CY246" s="12"/>
      <c r="CZ246" s="12"/>
      <c r="DA246" s="12"/>
      <c r="DB246" s="12"/>
      <c r="DC246" s="12"/>
      <c r="DD246" s="12"/>
      <c r="DE246" s="12"/>
      <c r="DF246" s="12"/>
      <c r="DG246" s="12"/>
      <c r="DH246" s="12"/>
      <c r="DI246" s="12"/>
      <c r="DJ246" s="12"/>
      <c r="DK246" s="12"/>
      <c r="DL246" s="12"/>
      <c r="DM246" s="12"/>
      <c r="DN246" s="12"/>
      <c r="DO246" s="12"/>
      <c r="DP246" s="12"/>
      <c r="DQ246" s="12"/>
      <c r="DR246" s="12"/>
      <c r="DS246" s="12"/>
      <c r="DT246" s="12"/>
      <c r="DU246" s="12"/>
      <c r="DV246" s="12"/>
      <c r="DW246" s="12"/>
      <c r="DX246" s="12"/>
      <c r="DY246" s="12"/>
      <c r="DZ246" s="12"/>
      <c r="EA246" s="12"/>
      <c r="EB246" s="12"/>
      <c r="EC246" s="12"/>
      <c r="ED246" s="12"/>
      <c r="EE246" s="12"/>
      <c r="EF246" s="12"/>
      <c r="EG246" s="12"/>
      <c r="EH246" s="12"/>
      <c r="EI246" s="12"/>
      <c r="EJ246" s="12"/>
      <c r="EK246" s="12"/>
      <c r="EL246" s="12"/>
      <c r="EM246" s="12"/>
      <c r="EN246" s="12"/>
      <c r="EO246" s="12"/>
      <c r="EP246" s="12"/>
      <c r="EQ246" s="12"/>
      <c r="ER246" s="12"/>
      <c r="ES246" s="12"/>
      <c r="ET246" s="12"/>
      <c r="EU246" s="12"/>
      <c r="EV246" s="12"/>
      <c r="EW246" s="12"/>
      <c r="EX246" s="12"/>
      <c r="EY246" s="12"/>
      <c r="EZ246" s="12"/>
      <c r="FA246" s="12"/>
      <c r="FB246" s="12"/>
      <c r="FC246" s="12"/>
      <c r="FD246" s="12"/>
      <c r="FE246" s="12"/>
      <c r="FF246" s="12"/>
      <c r="FG246" s="12"/>
      <c r="FH246" s="12"/>
      <c r="FI246" s="12"/>
      <c r="FJ246" s="12"/>
      <c r="FK246" s="12"/>
      <c r="FL246" s="12"/>
      <c r="FM246" s="12"/>
      <c r="FN246" s="12"/>
      <c r="FO246" s="12"/>
      <c r="FP246" s="12"/>
      <c r="FQ246" s="12"/>
      <c r="FR246" s="12"/>
      <c r="FS246" s="12"/>
      <c r="FT246" s="12"/>
      <c r="FU246" s="12"/>
      <c r="FV246" s="12"/>
      <c r="FW246" s="12"/>
      <c r="FX246" s="12"/>
      <c r="FY246" s="12"/>
      <c r="FZ246" s="12"/>
      <c r="GA246" s="12"/>
      <c r="GB246" s="12"/>
      <c r="GC246" s="12"/>
      <c r="GD246" s="12"/>
      <c r="GE246" s="12"/>
      <c r="GF246" s="12"/>
      <c r="GG246" s="12"/>
      <c r="GH246" s="12"/>
      <c r="GI246" s="12"/>
      <c r="GJ246" s="12"/>
      <c r="GK246" s="12"/>
      <c r="GL246" s="12"/>
      <c r="GM246" s="12"/>
      <c r="GN246" s="12"/>
      <c r="GO246" s="12"/>
      <c r="GP246" s="12"/>
      <c r="GQ246" s="12"/>
      <c r="GR246" s="12"/>
      <c r="GS246" s="12"/>
      <c r="GT246" s="12"/>
      <c r="GU246" s="12"/>
      <c r="GV246" s="12"/>
      <c r="GW246" s="12"/>
      <c r="GX246" s="12"/>
      <c r="GY246" s="12"/>
      <c r="GZ246" s="12"/>
      <c r="HA246" s="12"/>
      <c r="HB246" s="12"/>
      <c r="HC246" s="12"/>
      <c r="HD246" s="12"/>
      <c r="HE246" s="12"/>
      <c r="HF246" s="12"/>
      <c r="HG246" s="12"/>
      <c r="HH246" s="12"/>
      <c r="HI246" s="12"/>
      <c r="HJ246" s="12"/>
      <c r="HK246" s="12"/>
      <c r="HL246" s="12"/>
      <c r="HM246" s="12"/>
      <c r="HN246" s="12"/>
      <c r="HO246" s="12"/>
      <c r="HP246" s="12"/>
      <c r="HQ246" s="12"/>
      <c r="HR246" s="12"/>
      <c r="HS246" s="12"/>
      <c r="HT246" s="12"/>
      <c r="HU246" s="12"/>
      <c r="HV246" s="12"/>
      <c r="HW246" s="12"/>
      <c r="HX246" s="12"/>
      <c r="HY246" s="12"/>
      <c r="HZ246" s="12"/>
      <c r="IA246" s="12"/>
      <c r="IB246" s="12"/>
      <c r="IC246" s="12"/>
      <c r="ID246" s="12"/>
      <c r="IE246" s="12"/>
      <c r="IF246" s="12"/>
      <c r="IG246" s="12"/>
      <c r="IH246" s="12"/>
      <c r="II246" s="12"/>
      <c r="IJ246" s="12"/>
      <c r="IK246" s="12"/>
      <c r="IL246" s="12"/>
      <c r="IM246" s="12"/>
      <c r="IN246" s="12"/>
      <c r="IO246" s="12"/>
      <c r="IP246" s="12"/>
      <c r="IQ246" s="12"/>
      <c r="IR246" s="12"/>
      <c r="IS246" s="12"/>
      <c r="IT246" s="12"/>
      <c r="IU246" s="12"/>
      <c r="IV246" s="12"/>
      <c r="IW246" s="12"/>
    </row>
    <row r="247" customFormat="false" ht="11.25" hidden="false" customHeight="false" outlineLevel="0" collapsed="false">
      <c r="A247" s="25" t="n">
        <f aca="false">DATE(YEAR(A246),MONTH(A246)+1,1)</f>
        <v>53236</v>
      </c>
      <c r="B247" s="21" t="n">
        <v>3.662</v>
      </c>
      <c r="C247" s="21" t="n">
        <v>3.762</v>
      </c>
      <c r="D247" s="25" t="n">
        <f aca="false">DATE(YEAR(D246),MONTH(D246)+1,1)</f>
        <v>53236</v>
      </c>
      <c r="E247" s="21" t="n">
        <v>0</v>
      </c>
      <c r="F247" s="21" t="n">
        <v>0</v>
      </c>
      <c r="G247" s="6"/>
      <c r="H247" s="22" t="n">
        <f aca="false">A247</f>
        <v>53236</v>
      </c>
      <c r="I247" s="23" t="n">
        <f aca="false">IF($J$1="bid",B247,C247)</f>
        <v>3.762</v>
      </c>
      <c r="J247" s="24" t="n">
        <f aca="false">D247</f>
        <v>53236</v>
      </c>
      <c r="K247" s="23" t="n">
        <f aca="false">IF($J$1="bid",E247,F247)</f>
        <v>0</v>
      </c>
      <c r="L247" s="11"/>
      <c r="M247" s="11"/>
      <c r="N247" s="11"/>
      <c r="O247" s="11"/>
      <c r="P247" s="11"/>
      <c r="Q247" s="11"/>
      <c r="R247" s="11"/>
      <c r="S247" s="11"/>
      <c r="T247" s="11"/>
      <c r="U247" s="11"/>
      <c r="V247" s="11"/>
      <c r="W247" s="11"/>
      <c r="X247" s="11"/>
      <c r="Y247" s="11"/>
      <c r="Z247" s="11"/>
      <c r="AA247" s="11"/>
      <c r="AB247" s="11"/>
      <c r="AC247" s="11"/>
      <c r="AD247" s="11"/>
      <c r="AE247" s="11"/>
      <c r="AF247" s="11"/>
      <c r="AG247" s="11"/>
      <c r="AH247" s="11"/>
      <c r="AI247" s="11"/>
      <c r="AJ247" s="11"/>
      <c r="AK247" s="11"/>
      <c r="AL247" s="11"/>
      <c r="AM247" s="11"/>
      <c r="AN247" s="11"/>
      <c r="AO247" s="11"/>
      <c r="AP247" s="11"/>
      <c r="AQ247" s="11"/>
      <c r="AR247" s="5"/>
      <c r="AS247" s="12"/>
      <c r="AT247" s="12"/>
      <c r="AU247" s="12"/>
      <c r="AV247" s="12"/>
      <c r="AW247" s="12"/>
      <c r="AX247" s="12"/>
      <c r="AY247" s="12"/>
      <c r="AZ247" s="12"/>
      <c r="BA247" s="12"/>
      <c r="BB247" s="12"/>
      <c r="BC247" s="12"/>
      <c r="BD247" s="12"/>
      <c r="BE247" s="12"/>
      <c r="BF247" s="12"/>
      <c r="BG247" s="12"/>
      <c r="BH247" s="12"/>
      <c r="BI247" s="12"/>
      <c r="BJ247" s="12"/>
      <c r="BK247" s="12"/>
      <c r="BL247" s="12"/>
      <c r="BM247" s="12"/>
      <c r="BN247" s="12"/>
      <c r="BO247" s="12"/>
      <c r="BP247" s="12"/>
      <c r="BQ247" s="12"/>
      <c r="BR247" s="12"/>
      <c r="BS247" s="12"/>
      <c r="BT247" s="12"/>
      <c r="BU247" s="12"/>
      <c r="BV247" s="12"/>
      <c r="BW247" s="12"/>
      <c r="BX247" s="12"/>
      <c r="BY247" s="12"/>
      <c r="BZ247" s="12"/>
      <c r="CA247" s="12"/>
      <c r="CB247" s="12"/>
      <c r="CC247" s="12"/>
      <c r="CD247" s="12"/>
      <c r="CE247" s="12"/>
      <c r="CF247" s="12"/>
      <c r="CG247" s="12"/>
      <c r="CH247" s="12"/>
      <c r="CI247" s="12"/>
      <c r="CJ247" s="12"/>
      <c r="CK247" s="12"/>
      <c r="CL247" s="12"/>
      <c r="CM247" s="12"/>
      <c r="CN247" s="12"/>
      <c r="CO247" s="12"/>
      <c r="CP247" s="12"/>
      <c r="CQ247" s="12"/>
      <c r="CR247" s="12"/>
      <c r="CS247" s="12"/>
      <c r="CT247" s="12"/>
      <c r="CU247" s="12"/>
      <c r="CV247" s="12"/>
      <c r="CW247" s="12"/>
      <c r="CX247" s="12"/>
      <c r="CY247" s="12"/>
      <c r="CZ247" s="12"/>
      <c r="DA247" s="12"/>
      <c r="DB247" s="12"/>
      <c r="DC247" s="12"/>
      <c r="DD247" s="12"/>
      <c r="DE247" s="12"/>
      <c r="DF247" s="12"/>
      <c r="DG247" s="12"/>
      <c r="DH247" s="12"/>
      <c r="DI247" s="12"/>
      <c r="DJ247" s="12"/>
      <c r="DK247" s="12"/>
      <c r="DL247" s="12"/>
      <c r="DM247" s="12"/>
      <c r="DN247" s="12"/>
      <c r="DO247" s="12"/>
      <c r="DP247" s="12"/>
      <c r="DQ247" s="12"/>
      <c r="DR247" s="12"/>
      <c r="DS247" s="12"/>
      <c r="DT247" s="12"/>
      <c r="DU247" s="12"/>
      <c r="DV247" s="12"/>
      <c r="DW247" s="12"/>
      <c r="DX247" s="12"/>
      <c r="DY247" s="12"/>
      <c r="DZ247" s="12"/>
      <c r="EA247" s="12"/>
      <c r="EB247" s="12"/>
      <c r="EC247" s="12"/>
      <c r="ED247" s="12"/>
      <c r="EE247" s="12"/>
      <c r="EF247" s="12"/>
      <c r="EG247" s="12"/>
      <c r="EH247" s="12"/>
      <c r="EI247" s="12"/>
      <c r="EJ247" s="12"/>
      <c r="EK247" s="12"/>
      <c r="EL247" s="12"/>
      <c r="EM247" s="12"/>
      <c r="EN247" s="12"/>
      <c r="EO247" s="12"/>
      <c r="EP247" s="12"/>
      <c r="EQ247" s="12"/>
      <c r="ER247" s="12"/>
      <c r="ES247" s="12"/>
      <c r="ET247" s="12"/>
      <c r="EU247" s="12"/>
      <c r="EV247" s="12"/>
      <c r="EW247" s="12"/>
      <c r="EX247" s="12"/>
      <c r="EY247" s="12"/>
      <c r="EZ247" s="12"/>
      <c r="FA247" s="12"/>
      <c r="FB247" s="12"/>
      <c r="FC247" s="12"/>
      <c r="FD247" s="12"/>
      <c r="FE247" s="12"/>
      <c r="FF247" s="12"/>
      <c r="FG247" s="12"/>
      <c r="FH247" s="12"/>
      <c r="FI247" s="12"/>
      <c r="FJ247" s="12"/>
      <c r="FK247" s="12"/>
      <c r="FL247" s="12"/>
      <c r="FM247" s="12"/>
      <c r="FN247" s="12"/>
      <c r="FO247" s="12"/>
      <c r="FP247" s="12"/>
      <c r="FQ247" s="12"/>
      <c r="FR247" s="12"/>
      <c r="FS247" s="12"/>
      <c r="FT247" s="12"/>
      <c r="FU247" s="12"/>
      <c r="FV247" s="12"/>
      <c r="FW247" s="12"/>
      <c r="FX247" s="12"/>
      <c r="FY247" s="12"/>
      <c r="FZ247" s="12"/>
      <c r="GA247" s="12"/>
      <c r="GB247" s="12"/>
      <c r="GC247" s="12"/>
      <c r="GD247" s="12"/>
      <c r="GE247" s="12"/>
      <c r="GF247" s="12"/>
      <c r="GG247" s="12"/>
      <c r="GH247" s="12"/>
      <c r="GI247" s="12"/>
      <c r="GJ247" s="12"/>
      <c r="GK247" s="12"/>
      <c r="GL247" s="12"/>
      <c r="GM247" s="12"/>
      <c r="GN247" s="12"/>
      <c r="GO247" s="12"/>
      <c r="GP247" s="12"/>
      <c r="GQ247" s="12"/>
      <c r="GR247" s="12"/>
      <c r="GS247" s="12"/>
      <c r="GT247" s="12"/>
      <c r="GU247" s="12"/>
      <c r="GV247" s="12"/>
      <c r="GW247" s="12"/>
      <c r="GX247" s="12"/>
      <c r="GY247" s="12"/>
      <c r="GZ247" s="12"/>
      <c r="HA247" s="12"/>
      <c r="HB247" s="12"/>
      <c r="HC247" s="12"/>
      <c r="HD247" s="12"/>
      <c r="HE247" s="12"/>
      <c r="HF247" s="12"/>
      <c r="HG247" s="12"/>
      <c r="HH247" s="12"/>
      <c r="HI247" s="12"/>
      <c r="HJ247" s="12"/>
      <c r="HK247" s="12"/>
      <c r="HL247" s="12"/>
      <c r="HM247" s="12"/>
      <c r="HN247" s="12"/>
      <c r="HO247" s="12"/>
      <c r="HP247" s="12"/>
      <c r="HQ247" s="12"/>
      <c r="HR247" s="12"/>
      <c r="HS247" s="12"/>
      <c r="HT247" s="12"/>
      <c r="HU247" s="12"/>
      <c r="HV247" s="12"/>
      <c r="HW247" s="12"/>
      <c r="HX247" s="12"/>
      <c r="HY247" s="12"/>
      <c r="HZ247" s="12"/>
      <c r="IA247" s="12"/>
      <c r="IB247" s="12"/>
      <c r="IC247" s="12"/>
      <c r="ID247" s="12"/>
      <c r="IE247" s="12"/>
      <c r="IF247" s="12"/>
      <c r="IG247" s="12"/>
      <c r="IH247" s="12"/>
      <c r="II247" s="12"/>
      <c r="IJ247" s="12"/>
      <c r="IK247" s="12"/>
      <c r="IL247" s="12"/>
      <c r="IM247" s="12"/>
      <c r="IN247" s="12"/>
      <c r="IO247" s="12"/>
      <c r="IP247" s="12"/>
      <c r="IQ247" s="12"/>
      <c r="IR247" s="12"/>
      <c r="IS247" s="12"/>
      <c r="IT247" s="12"/>
      <c r="IU247" s="12"/>
      <c r="IV247" s="12"/>
      <c r="IW247" s="12"/>
    </row>
    <row r="248" customFormat="false" ht="11.25" hidden="false" customHeight="false" outlineLevel="0" collapsed="false">
      <c r="A248" s="25" t="n">
        <f aca="false">DATE(YEAR(A247),MONTH(A247)+1,1)</f>
        <v>53267</v>
      </c>
      <c r="B248" s="21" t="n">
        <v>3.828</v>
      </c>
      <c r="C248" s="21" t="n">
        <v>3.928</v>
      </c>
      <c r="D248" s="25" t="n">
        <f aca="false">DATE(YEAR(D247),MONTH(D247)+1,1)</f>
        <v>53267</v>
      </c>
      <c r="E248" s="21" t="n">
        <v>0</v>
      </c>
      <c r="F248" s="21" t="n">
        <v>0</v>
      </c>
      <c r="G248" s="6"/>
      <c r="H248" s="22" t="n">
        <f aca="false">A248</f>
        <v>53267</v>
      </c>
      <c r="I248" s="23" t="n">
        <f aca="false">IF($J$1="bid",B248,C248)</f>
        <v>3.928</v>
      </c>
      <c r="J248" s="24" t="n">
        <f aca="false">D248</f>
        <v>53267</v>
      </c>
      <c r="K248" s="23" t="n">
        <f aca="false">IF($J$1="bid",E248,F248)</f>
        <v>0</v>
      </c>
      <c r="L248" s="11"/>
      <c r="M248" s="11"/>
      <c r="N248" s="11"/>
      <c r="O248" s="11"/>
      <c r="P248" s="11"/>
      <c r="Q248" s="11"/>
      <c r="R248" s="11"/>
      <c r="S248" s="11"/>
      <c r="T248" s="11"/>
      <c r="U248" s="11"/>
      <c r="V248" s="11"/>
      <c r="W248" s="11"/>
      <c r="X248" s="11"/>
      <c r="Y248" s="11"/>
      <c r="Z248" s="11"/>
      <c r="AA248" s="11"/>
      <c r="AB248" s="11"/>
      <c r="AC248" s="11"/>
      <c r="AD248" s="11"/>
      <c r="AE248" s="11"/>
      <c r="AF248" s="11"/>
      <c r="AG248" s="11"/>
      <c r="AH248" s="11"/>
      <c r="AI248" s="11"/>
      <c r="AJ248" s="11"/>
      <c r="AK248" s="11"/>
      <c r="AL248" s="11"/>
      <c r="AM248" s="11"/>
      <c r="AN248" s="11"/>
      <c r="AO248" s="11"/>
      <c r="AP248" s="11"/>
      <c r="AQ248" s="11"/>
      <c r="AR248" s="5"/>
      <c r="AS248" s="12"/>
      <c r="AT248" s="12"/>
      <c r="AU248" s="12"/>
      <c r="AV248" s="12"/>
      <c r="AW248" s="12"/>
      <c r="AX248" s="12"/>
      <c r="AY248" s="12"/>
      <c r="AZ248" s="12"/>
      <c r="BA248" s="12"/>
      <c r="BB248" s="12"/>
      <c r="BC248" s="12"/>
      <c r="BD248" s="12"/>
      <c r="BE248" s="12"/>
      <c r="BF248" s="12"/>
      <c r="BG248" s="12"/>
      <c r="BH248" s="12"/>
      <c r="BI248" s="12"/>
      <c r="BJ248" s="12"/>
      <c r="BK248" s="12"/>
      <c r="BL248" s="12"/>
      <c r="BM248" s="12"/>
      <c r="BN248" s="12"/>
      <c r="BO248" s="12"/>
      <c r="BP248" s="12"/>
      <c r="BQ248" s="12"/>
      <c r="BR248" s="12"/>
      <c r="BS248" s="12"/>
      <c r="BT248" s="12"/>
      <c r="BU248" s="12"/>
      <c r="BV248" s="12"/>
      <c r="BW248" s="12"/>
      <c r="BX248" s="12"/>
      <c r="BY248" s="12"/>
      <c r="BZ248" s="12"/>
      <c r="CA248" s="12"/>
      <c r="CB248" s="12"/>
      <c r="CC248" s="12"/>
      <c r="CD248" s="12"/>
      <c r="CE248" s="12"/>
      <c r="CF248" s="12"/>
      <c r="CG248" s="12"/>
      <c r="CH248" s="12"/>
      <c r="CI248" s="12"/>
      <c r="CJ248" s="12"/>
      <c r="CK248" s="12"/>
      <c r="CL248" s="12"/>
      <c r="CM248" s="12"/>
      <c r="CN248" s="12"/>
      <c r="CO248" s="12"/>
      <c r="CP248" s="12"/>
      <c r="CQ248" s="12"/>
      <c r="CR248" s="12"/>
      <c r="CS248" s="12"/>
      <c r="CT248" s="12"/>
      <c r="CU248" s="12"/>
      <c r="CV248" s="12"/>
      <c r="CW248" s="12"/>
      <c r="CX248" s="12"/>
      <c r="CY248" s="12"/>
      <c r="CZ248" s="12"/>
      <c r="DA248" s="12"/>
      <c r="DB248" s="12"/>
      <c r="DC248" s="12"/>
      <c r="DD248" s="12"/>
      <c r="DE248" s="12"/>
      <c r="DF248" s="12"/>
      <c r="DG248" s="12"/>
      <c r="DH248" s="12"/>
      <c r="DI248" s="12"/>
      <c r="DJ248" s="12"/>
      <c r="DK248" s="12"/>
      <c r="DL248" s="12"/>
      <c r="DM248" s="12"/>
      <c r="DN248" s="12"/>
      <c r="DO248" s="12"/>
      <c r="DP248" s="12"/>
      <c r="DQ248" s="12"/>
      <c r="DR248" s="12"/>
      <c r="DS248" s="12"/>
      <c r="DT248" s="12"/>
      <c r="DU248" s="12"/>
      <c r="DV248" s="12"/>
      <c r="DW248" s="12"/>
      <c r="DX248" s="12"/>
      <c r="DY248" s="12"/>
      <c r="DZ248" s="12"/>
      <c r="EA248" s="12"/>
      <c r="EB248" s="12"/>
      <c r="EC248" s="12"/>
      <c r="ED248" s="12"/>
      <c r="EE248" s="12"/>
      <c r="EF248" s="12"/>
      <c r="EG248" s="12"/>
      <c r="EH248" s="12"/>
      <c r="EI248" s="12"/>
      <c r="EJ248" s="12"/>
      <c r="EK248" s="12"/>
      <c r="EL248" s="12"/>
      <c r="EM248" s="12"/>
      <c r="EN248" s="12"/>
      <c r="EO248" s="12"/>
      <c r="EP248" s="12"/>
      <c r="EQ248" s="12"/>
      <c r="ER248" s="12"/>
      <c r="ES248" s="12"/>
      <c r="ET248" s="12"/>
      <c r="EU248" s="12"/>
      <c r="EV248" s="12"/>
      <c r="EW248" s="12"/>
      <c r="EX248" s="12"/>
      <c r="EY248" s="12"/>
      <c r="EZ248" s="12"/>
      <c r="FA248" s="12"/>
      <c r="FB248" s="12"/>
      <c r="FC248" s="12"/>
      <c r="FD248" s="12"/>
      <c r="FE248" s="12"/>
      <c r="FF248" s="12"/>
      <c r="FG248" s="12"/>
      <c r="FH248" s="12"/>
      <c r="FI248" s="12"/>
      <c r="FJ248" s="12"/>
      <c r="FK248" s="12"/>
      <c r="FL248" s="12"/>
      <c r="FM248" s="12"/>
      <c r="FN248" s="12"/>
      <c r="FO248" s="12"/>
      <c r="FP248" s="12"/>
      <c r="FQ248" s="12"/>
      <c r="FR248" s="12"/>
      <c r="FS248" s="12"/>
      <c r="FT248" s="12"/>
      <c r="FU248" s="12"/>
      <c r="FV248" s="12"/>
      <c r="FW248" s="12"/>
      <c r="FX248" s="12"/>
      <c r="FY248" s="12"/>
      <c r="FZ248" s="12"/>
      <c r="GA248" s="12"/>
      <c r="GB248" s="12"/>
      <c r="GC248" s="12"/>
      <c r="GD248" s="12"/>
      <c r="GE248" s="12"/>
      <c r="GF248" s="12"/>
      <c r="GG248" s="12"/>
      <c r="GH248" s="12"/>
      <c r="GI248" s="12"/>
      <c r="GJ248" s="12"/>
      <c r="GK248" s="12"/>
      <c r="GL248" s="12"/>
      <c r="GM248" s="12"/>
      <c r="GN248" s="12"/>
      <c r="GO248" s="12"/>
      <c r="GP248" s="12"/>
      <c r="GQ248" s="12"/>
      <c r="GR248" s="12"/>
      <c r="GS248" s="12"/>
      <c r="GT248" s="12"/>
      <c r="GU248" s="12"/>
      <c r="GV248" s="12"/>
      <c r="GW248" s="12"/>
      <c r="GX248" s="12"/>
      <c r="GY248" s="12"/>
      <c r="GZ248" s="12"/>
      <c r="HA248" s="12"/>
      <c r="HB248" s="12"/>
      <c r="HC248" s="12"/>
      <c r="HD248" s="12"/>
      <c r="HE248" s="12"/>
      <c r="HF248" s="12"/>
      <c r="HG248" s="12"/>
      <c r="HH248" s="12"/>
      <c r="HI248" s="12"/>
      <c r="HJ248" s="12"/>
      <c r="HK248" s="12"/>
      <c r="HL248" s="12"/>
      <c r="HM248" s="12"/>
      <c r="HN248" s="12"/>
      <c r="HO248" s="12"/>
      <c r="HP248" s="12"/>
      <c r="HQ248" s="12"/>
      <c r="HR248" s="12"/>
      <c r="HS248" s="12"/>
      <c r="HT248" s="12"/>
      <c r="HU248" s="12"/>
      <c r="HV248" s="12"/>
      <c r="HW248" s="12"/>
      <c r="HX248" s="12"/>
      <c r="HY248" s="12"/>
      <c r="HZ248" s="12"/>
      <c r="IA248" s="12"/>
      <c r="IB248" s="12"/>
      <c r="IC248" s="12"/>
      <c r="ID248" s="12"/>
      <c r="IE248" s="12"/>
      <c r="IF248" s="12"/>
      <c r="IG248" s="12"/>
      <c r="IH248" s="12"/>
      <c r="II248" s="12"/>
      <c r="IJ248" s="12"/>
      <c r="IK248" s="12"/>
      <c r="IL248" s="12"/>
      <c r="IM248" s="12"/>
      <c r="IN248" s="12"/>
      <c r="IO248" s="12"/>
      <c r="IP248" s="12"/>
      <c r="IQ248" s="12"/>
      <c r="IR248" s="12"/>
      <c r="IS248" s="12"/>
      <c r="IT248" s="12"/>
      <c r="IU248" s="12"/>
      <c r="IV248" s="12"/>
      <c r="IW248" s="12"/>
    </row>
    <row r="249" customFormat="false" ht="11.25" hidden="false" customHeight="false" outlineLevel="0" collapsed="false">
      <c r="A249" s="25" t="n">
        <f aca="false">DATE(YEAR(A248),MONTH(A248)+1,1)</f>
        <v>53297</v>
      </c>
      <c r="B249" s="21" t="n">
        <v>3.743</v>
      </c>
      <c r="C249" s="21" t="n">
        <v>3.843</v>
      </c>
      <c r="D249" s="25" t="n">
        <f aca="false">DATE(YEAR(D248),MONTH(D248)+1,1)</f>
        <v>53297</v>
      </c>
      <c r="E249" s="21" t="n">
        <v>0</v>
      </c>
      <c r="F249" s="21" t="n">
        <v>0</v>
      </c>
      <c r="G249" s="6"/>
      <c r="H249" s="22" t="n">
        <f aca="false">A249</f>
        <v>53297</v>
      </c>
      <c r="I249" s="23" t="n">
        <f aca="false">IF($J$1="bid",B249,C249)</f>
        <v>3.843</v>
      </c>
      <c r="J249" s="22"/>
      <c r="K249" s="23"/>
      <c r="L249" s="11"/>
      <c r="M249" s="11"/>
      <c r="N249" s="11"/>
      <c r="O249" s="11"/>
      <c r="P249" s="11"/>
      <c r="Q249" s="11"/>
      <c r="R249" s="11"/>
      <c r="S249" s="11"/>
      <c r="T249" s="11"/>
      <c r="U249" s="11"/>
      <c r="V249" s="11"/>
      <c r="W249" s="11"/>
      <c r="X249" s="11"/>
      <c r="Y249" s="11"/>
      <c r="Z249" s="11"/>
      <c r="AA249" s="11"/>
      <c r="AB249" s="11"/>
      <c r="AC249" s="11"/>
      <c r="AD249" s="11"/>
      <c r="AE249" s="11"/>
      <c r="AF249" s="11"/>
      <c r="AG249" s="11"/>
      <c r="AH249" s="11"/>
      <c r="AI249" s="11"/>
      <c r="AJ249" s="11"/>
      <c r="AK249" s="11"/>
      <c r="AL249" s="11"/>
      <c r="AM249" s="11"/>
      <c r="AN249" s="11"/>
      <c r="AO249" s="11"/>
      <c r="AP249" s="11"/>
      <c r="AQ249" s="11"/>
      <c r="AR249" s="5"/>
      <c r="AS249" s="12"/>
      <c r="AT249" s="12"/>
      <c r="AU249" s="12"/>
      <c r="AV249" s="12"/>
      <c r="AW249" s="12"/>
      <c r="AX249" s="12"/>
      <c r="AY249" s="12"/>
      <c r="AZ249" s="12"/>
      <c r="BA249" s="12"/>
      <c r="BB249" s="12"/>
      <c r="BC249" s="12"/>
      <c r="BD249" s="12"/>
      <c r="BE249" s="12"/>
      <c r="BF249" s="12"/>
      <c r="BG249" s="12"/>
      <c r="BH249" s="12"/>
      <c r="BI249" s="12"/>
      <c r="BJ249" s="12"/>
      <c r="BK249" s="12"/>
      <c r="BL249" s="12"/>
      <c r="BM249" s="12"/>
      <c r="BN249" s="12"/>
      <c r="BO249" s="12"/>
      <c r="BP249" s="12"/>
      <c r="BQ249" s="12"/>
      <c r="BR249" s="12"/>
      <c r="BS249" s="12"/>
      <c r="BT249" s="12"/>
      <c r="BU249" s="12"/>
      <c r="BV249" s="12"/>
      <c r="BW249" s="12"/>
      <c r="BX249" s="12"/>
      <c r="BY249" s="12"/>
      <c r="BZ249" s="12"/>
      <c r="CA249" s="12"/>
      <c r="CB249" s="12"/>
      <c r="CC249" s="12"/>
      <c r="CD249" s="12"/>
      <c r="CE249" s="12"/>
      <c r="CF249" s="12"/>
      <c r="CG249" s="12"/>
      <c r="CH249" s="12"/>
      <c r="CI249" s="12"/>
      <c r="CJ249" s="12"/>
      <c r="CK249" s="12"/>
      <c r="CL249" s="12"/>
      <c r="CM249" s="12"/>
      <c r="CN249" s="12"/>
      <c r="CO249" s="12"/>
      <c r="CP249" s="12"/>
      <c r="CQ249" s="12"/>
      <c r="CR249" s="12"/>
      <c r="CS249" s="12"/>
      <c r="CT249" s="12"/>
      <c r="CU249" s="12"/>
      <c r="CV249" s="12"/>
      <c r="CW249" s="12"/>
      <c r="CX249" s="12"/>
      <c r="CY249" s="12"/>
      <c r="CZ249" s="12"/>
      <c r="DA249" s="12"/>
      <c r="DB249" s="12"/>
      <c r="DC249" s="12"/>
      <c r="DD249" s="12"/>
      <c r="DE249" s="12"/>
      <c r="DF249" s="12"/>
      <c r="DG249" s="12"/>
      <c r="DH249" s="12"/>
      <c r="DI249" s="12"/>
      <c r="DJ249" s="12"/>
      <c r="DK249" s="12"/>
      <c r="DL249" s="12"/>
      <c r="DM249" s="12"/>
      <c r="DN249" s="12"/>
      <c r="DO249" s="12"/>
      <c r="DP249" s="12"/>
      <c r="DQ249" s="12"/>
      <c r="DR249" s="12"/>
      <c r="DS249" s="12"/>
      <c r="DT249" s="12"/>
      <c r="DU249" s="12"/>
      <c r="DV249" s="12"/>
      <c r="DW249" s="12"/>
      <c r="DX249" s="12"/>
      <c r="DY249" s="12"/>
      <c r="DZ249" s="12"/>
      <c r="EA249" s="12"/>
      <c r="EB249" s="12"/>
      <c r="EC249" s="12"/>
      <c r="ED249" s="12"/>
      <c r="EE249" s="12"/>
      <c r="EF249" s="12"/>
      <c r="EG249" s="12"/>
      <c r="EH249" s="12"/>
      <c r="EI249" s="12"/>
      <c r="EJ249" s="12"/>
      <c r="EK249" s="12"/>
      <c r="EL249" s="12"/>
      <c r="EM249" s="12"/>
      <c r="EN249" s="12"/>
      <c r="EO249" s="12"/>
      <c r="EP249" s="12"/>
      <c r="EQ249" s="12"/>
      <c r="ER249" s="12"/>
      <c r="ES249" s="12"/>
      <c r="ET249" s="12"/>
      <c r="EU249" s="12"/>
      <c r="EV249" s="12"/>
      <c r="EW249" s="12"/>
      <c r="EX249" s="12"/>
      <c r="EY249" s="12"/>
      <c r="EZ249" s="12"/>
      <c r="FA249" s="12"/>
      <c r="FB249" s="12"/>
      <c r="FC249" s="12"/>
      <c r="FD249" s="12"/>
      <c r="FE249" s="12"/>
      <c r="FF249" s="12"/>
      <c r="FG249" s="12"/>
      <c r="FH249" s="12"/>
      <c r="FI249" s="12"/>
      <c r="FJ249" s="12"/>
      <c r="FK249" s="12"/>
      <c r="FL249" s="12"/>
      <c r="FM249" s="12"/>
      <c r="FN249" s="12"/>
      <c r="FO249" s="12"/>
      <c r="FP249" s="12"/>
      <c r="FQ249" s="12"/>
      <c r="FR249" s="12"/>
      <c r="FS249" s="12"/>
      <c r="FT249" s="12"/>
      <c r="FU249" s="12"/>
      <c r="FV249" s="12"/>
      <c r="FW249" s="12"/>
      <c r="FX249" s="12"/>
      <c r="FY249" s="12"/>
      <c r="FZ249" s="12"/>
      <c r="GA249" s="12"/>
      <c r="GB249" s="12"/>
      <c r="GC249" s="12"/>
      <c r="GD249" s="12"/>
      <c r="GE249" s="12"/>
      <c r="GF249" s="12"/>
      <c r="GG249" s="12"/>
      <c r="GH249" s="12"/>
      <c r="GI249" s="12"/>
      <c r="GJ249" s="12"/>
      <c r="GK249" s="12"/>
      <c r="GL249" s="12"/>
      <c r="GM249" s="12"/>
      <c r="GN249" s="12"/>
      <c r="GO249" s="12"/>
      <c r="GP249" s="12"/>
      <c r="GQ249" s="12"/>
      <c r="GR249" s="12"/>
      <c r="GS249" s="12"/>
      <c r="GT249" s="12"/>
      <c r="GU249" s="12"/>
      <c r="GV249" s="12"/>
      <c r="GW249" s="12"/>
      <c r="GX249" s="12"/>
      <c r="GY249" s="12"/>
      <c r="GZ249" s="12"/>
      <c r="HA249" s="12"/>
      <c r="HB249" s="12"/>
      <c r="HC249" s="12"/>
      <c r="HD249" s="12"/>
      <c r="HE249" s="12"/>
      <c r="HF249" s="12"/>
      <c r="HG249" s="12"/>
      <c r="HH249" s="12"/>
      <c r="HI249" s="12"/>
      <c r="HJ249" s="12"/>
      <c r="HK249" s="12"/>
      <c r="HL249" s="12"/>
      <c r="HM249" s="12"/>
      <c r="HN249" s="12"/>
      <c r="HO249" s="12"/>
      <c r="HP249" s="12"/>
      <c r="HQ249" s="12"/>
      <c r="HR249" s="12"/>
      <c r="HS249" s="12"/>
      <c r="HT249" s="12"/>
      <c r="HU249" s="12"/>
      <c r="HV249" s="12"/>
      <c r="HW249" s="12"/>
      <c r="HX249" s="12"/>
      <c r="HY249" s="12"/>
      <c r="HZ249" s="12"/>
      <c r="IA249" s="12"/>
      <c r="IB249" s="12"/>
      <c r="IC249" s="12"/>
      <c r="ID249" s="12"/>
      <c r="IE249" s="12"/>
      <c r="IF249" s="12"/>
      <c r="IG249" s="12"/>
      <c r="IH249" s="12"/>
      <c r="II249" s="12"/>
      <c r="IJ249" s="12"/>
      <c r="IK249" s="12"/>
      <c r="IL249" s="12"/>
      <c r="IM249" s="12"/>
      <c r="IN249" s="12"/>
      <c r="IO249" s="12"/>
      <c r="IP249" s="12"/>
      <c r="IQ249" s="12"/>
      <c r="IR249" s="12"/>
      <c r="IS249" s="12"/>
      <c r="IT249" s="12"/>
      <c r="IU249" s="12"/>
      <c r="IV249" s="12"/>
      <c r="IW249" s="12"/>
    </row>
    <row r="250" customFormat="false" ht="11.25" hidden="false" customHeight="false" outlineLevel="0" collapsed="false">
      <c r="A250" s="25" t="n">
        <f aca="false">DATE(YEAR(A249),MONTH(A249)+1,1)</f>
        <v>53328</v>
      </c>
      <c r="B250" s="21" t="n">
        <v>3.677</v>
      </c>
      <c r="C250" s="21" t="n">
        <v>3.777</v>
      </c>
      <c r="D250" s="25" t="n">
        <f aca="false">DATE(YEAR(D249),MONTH(D249)+1,1)</f>
        <v>53328</v>
      </c>
      <c r="E250" s="21" t="n">
        <v>0</v>
      </c>
      <c r="F250" s="21" t="n">
        <v>0</v>
      </c>
      <c r="G250" s="6"/>
      <c r="H250" s="22" t="n">
        <f aca="false">A250</f>
        <v>53328</v>
      </c>
      <c r="I250" s="23" t="n">
        <f aca="false">IF($J$1="bid",B250,C250)</f>
        <v>3.777</v>
      </c>
      <c r="J250" s="22"/>
      <c r="K250" s="23"/>
      <c r="L250" s="11"/>
      <c r="M250" s="11"/>
      <c r="N250" s="11"/>
      <c r="O250" s="11"/>
      <c r="P250" s="11"/>
      <c r="Q250" s="11"/>
      <c r="R250" s="11"/>
      <c r="S250" s="11"/>
      <c r="T250" s="11"/>
      <c r="U250" s="11"/>
      <c r="V250" s="11"/>
      <c r="W250" s="11"/>
      <c r="X250" s="11"/>
      <c r="Y250" s="11"/>
      <c r="Z250" s="11"/>
      <c r="AA250" s="11"/>
      <c r="AB250" s="11"/>
      <c r="AC250" s="11"/>
      <c r="AD250" s="11"/>
      <c r="AE250" s="11"/>
      <c r="AF250" s="11"/>
      <c r="AG250" s="11"/>
      <c r="AH250" s="11"/>
      <c r="AI250" s="11"/>
      <c r="AJ250" s="11"/>
      <c r="AK250" s="11"/>
      <c r="AL250" s="11"/>
      <c r="AM250" s="11"/>
      <c r="AN250" s="11"/>
      <c r="AO250" s="11"/>
      <c r="AP250" s="11"/>
      <c r="AQ250" s="11"/>
      <c r="AR250" s="5"/>
      <c r="AS250" s="12"/>
      <c r="AT250" s="12"/>
      <c r="AU250" s="12"/>
      <c r="AV250" s="12"/>
      <c r="AW250" s="12"/>
      <c r="AX250" s="12"/>
      <c r="AY250" s="12"/>
      <c r="AZ250" s="12"/>
      <c r="BA250" s="12"/>
      <c r="BB250" s="12"/>
      <c r="BC250" s="12"/>
      <c r="BD250" s="12"/>
      <c r="BE250" s="12"/>
      <c r="BF250" s="12"/>
      <c r="BG250" s="12"/>
      <c r="BH250" s="12"/>
      <c r="BI250" s="12"/>
      <c r="BJ250" s="12"/>
      <c r="BK250" s="12"/>
      <c r="BL250" s="12"/>
      <c r="BM250" s="12"/>
      <c r="BN250" s="12"/>
      <c r="BO250" s="12"/>
      <c r="BP250" s="12"/>
      <c r="BQ250" s="12"/>
      <c r="BR250" s="12"/>
      <c r="BS250" s="12"/>
      <c r="BT250" s="12"/>
      <c r="BU250" s="12"/>
      <c r="BV250" s="12"/>
      <c r="BW250" s="12"/>
      <c r="BX250" s="12"/>
      <c r="BY250" s="12"/>
      <c r="BZ250" s="12"/>
      <c r="CA250" s="12"/>
      <c r="CB250" s="12"/>
      <c r="CC250" s="12"/>
      <c r="CD250" s="12"/>
      <c r="CE250" s="12"/>
      <c r="CF250" s="12"/>
      <c r="CG250" s="12"/>
      <c r="CH250" s="12"/>
      <c r="CI250" s="12"/>
      <c r="CJ250" s="12"/>
      <c r="CK250" s="12"/>
      <c r="CL250" s="12"/>
      <c r="CM250" s="12"/>
      <c r="CN250" s="12"/>
      <c r="CO250" s="12"/>
      <c r="CP250" s="12"/>
      <c r="CQ250" s="12"/>
      <c r="CR250" s="12"/>
      <c r="CS250" s="12"/>
      <c r="CT250" s="12"/>
      <c r="CU250" s="12"/>
      <c r="CV250" s="12"/>
      <c r="CW250" s="12"/>
      <c r="CX250" s="12"/>
      <c r="CY250" s="12"/>
      <c r="CZ250" s="12"/>
      <c r="DA250" s="12"/>
      <c r="DB250" s="12"/>
      <c r="DC250" s="12"/>
      <c r="DD250" s="12"/>
      <c r="DE250" s="12"/>
      <c r="DF250" s="12"/>
      <c r="DG250" s="12"/>
      <c r="DH250" s="12"/>
      <c r="DI250" s="12"/>
      <c r="DJ250" s="12"/>
      <c r="DK250" s="12"/>
      <c r="DL250" s="12"/>
      <c r="DM250" s="12"/>
      <c r="DN250" s="12"/>
      <c r="DO250" s="12"/>
      <c r="DP250" s="12"/>
      <c r="DQ250" s="12"/>
      <c r="DR250" s="12"/>
      <c r="DS250" s="12"/>
      <c r="DT250" s="12"/>
      <c r="DU250" s="12"/>
      <c r="DV250" s="12"/>
      <c r="DW250" s="12"/>
      <c r="DX250" s="12"/>
      <c r="DY250" s="12"/>
      <c r="DZ250" s="12"/>
      <c r="EA250" s="12"/>
      <c r="EB250" s="12"/>
      <c r="EC250" s="12"/>
      <c r="ED250" s="12"/>
      <c r="EE250" s="12"/>
      <c r="EF250" s="12"/>
      <c r="EG250" s="12"/>
      <c r="EH250" s="12"/>
      <c r="EI250" s="12"/>
      <c r="EJ250" s="12"/>
      <c r="EK250" s="12"/>
      <c r="EL250" s="12"/>
      <c r="EM250" s="12"/>
      <c r="EN250" s="12"/>
      <c r="EO250" s="12"/>
      <c r="EP250" s="12"/>
      <c r="EQ250" s="12"/>
      <c r="ER250" s="12"/>
      <c r="ES250" s="12"/>
      <c r="ET250" s="12"/>
      <c r="EU250" s="12"/>
      <c r="EV250" s="12"/>
      <c r="EW250" s="12"/>
      <c r="EX250" s="12"/>
      <c r="EY250" s="12"/>
      <c r="EZ250" s="12"/>
      <c r="FA250" s="12"/>
      <c r="FB250" s="12"/>
      <c r="FC250" s="12"/>
      <c r="FD250" s="12"/>
      <c r="FE250" s="12"/>
      <c r="FF250" s="12"/>
      <c r="FG250" s="12"/>
      <c r="FH250" s="12"/>
      <c r="FI250" s="12"/>
      <c r="FJ250" s="12"/>
      <c r="FK250" s="12"/>
      <c r="FL250" s="12"/>
      <c r="FM250" s="12"/>
      <c r="FN250" s="12"/>
      <c r="FO250" s="12"/>
      <c r="FP250" s="12"/>
      <c r="FQ250" s="12"/>
      <c r="FR250" s="12"/>
      <c r="FS250" s="12"/>
      <c r="FT250" s="12"/>
      <c r="FU250" s="12"/>
      <c r="FV250" s="12"/>
      <c r="FW250" s="12"/>
      <c r="FX250" s="12"/>
      <c r="FY250" s="12"/>
      <c r="FZ250" s="12"/>
      <c r="GA250" s="12"/>
      <c r="GB250" s="12"/>
      <c r="GC250" s="12"/>
      <c r="GD250" s="12"/>
      <c r="GE250" s="12"/>
      <c r="GF250" s="12"/>
      <c r="GG250" s="12"/>
      <c r="GH250" s="12"/>
      <c r="GI250" s="12"/>
      <c r="GJ250" s="12"/>
      <c r="GK250" s="12"/>
      <c r="GL250" s="12"/>
      <c r="GM250" s="12"/>
      <c r="GN250" s="12"/>
      <c r="GO250" s="12"/>
      <c r="GP250" s="12"/>
      <c r="GQ250" s="12"/>
      <c r="GR250" s="12"/>
      <c r="GS250" s="12"/>
      <c r="GT250" s="12"/>
      <c r="GU250" s="12"/>
      <c r="GV250" s="12"/>
      <c r="GW250" s="12"/>
      <c r="GX250" s="12"/>
      <c r="GY250" s="12"/>
      <c r="GZ250" s="12"/>
      <c r="HA250" s="12"/>
      <c r="HB250" s="12"/>
      <c r="HC250" s="12"/>
      <c r="HD250" s="12"/>
      <c r="HE250" s="12"/>
      <c r="HF250" s="12"/>
      <c r="HG250" s="12"/>
      <c r="HH250" s="12"/>
      <c r="HI250" s="12"/>
      <c r="HJ250" s="12"/>
      <c r="HK250" s="12"/>
      <c r="HL250" s="12"/>
      <c r="HM250" s="12"/>
      <c r="HN250" s="12"/>
      <c r="HO250" s="12"/>
      <c r="HP250" s="12"/>
      <c r="HQ250" s="12"/>
      <c r="HR250" s="12"/>
      <c r="HS250" s="12"/>
      <c r="HT250" s="12"/>
      <c r="HU250" s="12"/>
      <c r="HV250" s="12"/>
      <c r="HW250" s="12"/>
      <c r="HX250" s="12"/>
      <c r="HY250" s="12"/>
      <c r="HZ250" s="12"/>
      <c r="IA250" s="12"/>
      <c r="IB250" s="12"/>
      <c r="IC250" s="12"/>
      <c r="ID250" s="12"/>
      <c r="IE250" s="12"/>
      <c r="IF250" s="12"/>
      <c r="IG250" s="12"/>
      <c r="IH250" s="12"/>
      <c r="II250" s="12"/>
      <c r="IJ250" s="12"/>
      <c r="IK250" s="12"/>
      <c r="IL250" s="12"/>
      <c r="IM250" s="12"/>
      <c r="IN250" s="12"/>
      <c r="IO250" s="12"/>
      <c r="IP250" s="12"/>
      <c r="IQ250" s="12"/>
      <c r="IR250" s="12"/>
      <c r="IS250" s="12"/>
      <c r="IT250" s="12"/>
      <c r="IU250" s="12"/>
      <c r="IV250" s="12"/>
      <c r="IW250" s="12"/>
    </row>
    <row r="251" customFormat="false" ht="11.25" hidden="false" customHeight="false" outlineLevel="0" collapsed="false">
      <c r="A251" s="25" t="n">
        <f aca="false">DATE(YEAR(A250),MONTH(A250)+1,1)</f>
        <v>53359</v>
      </c>
      <c r="B251" s="21" t="n">
        <v>3.628</v>
      </c>
      <c r="C251" s="21" t="n">
        <v>3.728</v>
      </c>
      <c r="D251" s="25" t="n">
        <f aca="false">DATE(YEAR(D250),MONTH(D250)+1,1)</f>
        <v>53359</v>
      </c>
      <c r="E251" s="21" t="n">
        <v>0</v>
      </c>
      <c r="F251" s="21" t="n">
        <v>0</v>
      </c>
      <c r="G251" s="6"/>
      <c r="H251" s="22" t="n">
        <f aca="false">A251</f>
        <v>53359</v>
      </c>
      <c r="I251" s="23" t="n">
        <f aca="false">IF($J$1="bid",B251,C251)</f>
        <v>3.728</v>
      </c>
      <c r="J251" s="22"/>
      <c r="K251" s="23"/>
      <c r="L251" s="11"/>
      <c r="M251" s="11"/>
      <c r="N251" s="11"/>
      <c r="O251" s="11"/>
      <c r="P251" s="11"/>
      <c r="Q251" s="11"/>
      <c r="R251" s="11"/>
      <c r="S251" s="11"/>
      <c r="T251" s="11"/>
      <c r="U251" s="11"/>
      <c r="V251" s="11"/>
      <c r="W251" s="11"/>
      <c r="X251" s="11"/>
      <c r="Y251" s="11"/>
      <c r="Z251" s="11"/>
      <c r="AA251" s="11"/>
      <c r="AB251" s="11"/>
      <c r="AC251" s="11"/>
      <c r="AD251" s="11"/>
      <c r="AE251" s="11"/>
      <c r="AF251" s="11"/>
      <c r="AG251" s="11"/>
      <c r="AH251" s="11"/>
      <c r="AI251" s="11"/>
      <c r="AJ251" s="11"/>
      <c r="AK251" s="11"/>
      <c r="AL251" s="11"/>
      <c r="AM251" s="11"/>
      <c r="AN251" s="11"/>
      <c r="AO251" s="11"/>
      <c r="AP251" s="11"/>
      <c r="AQ251" s="11"/>
      <c r="AR251" s="5"/>
      <c r="AS251" s="12"/>
      <c r="AT251" s="12"/>
      <c r="AU251" s="12"/>
      <c r="AV251" s="12"/>
      <c r="AW251" s="12"/>
      <c r="AX251" s="12"/>
      <c r="AY251" s="12"/>
      <c r="AZ251" s="12"/>
      <c r="BA251" s="12"/>
      <c r="BB251" s="12"/>
      <c r="BC251" s="12"/>
      <c r="BD251" s="12"/>
      <c r="BE251" s="12"/>
      <c r="BF251" s="12"/>
      <c r="BG251" s="12"/>
      <c r="BH251" s="12"/>
      <c r="BI251" s="12"/>
      <c r="BJ251" s="12"/>
      <c r="BK251" s="12"/>
      <c r="BL251" s="12"/>
      <c r="BM251" s="12"/>
      <c r="BN251" s="12"/>
      <c r="BO251" s="12"/>
      <c r="BP251" s="12"/>
      <c r="BQ251" s="12"/>
      <c r="BR251" s="12"/>
      <c r="BS251" s="12"/>
      <c r="BT251" s="12"/>
      <c r="BU251" s="12"/>
      <c r="BV251" s="12"/>
      <c r="BW251" s="12"/>
      <c r="BX251" s="12"/>
      <c r="BY251" s="12"/>
      <c r="BZ251" s="12"/>
      <c r="CA251" s="12"/>
      <c r="CB251" s="12"/>
      <c r="CC251" s="12"/>
      <c r="CD251" s="12"/>
      <c r="CE251" s="12"/>
      <c r="CF251" s="12"/>
      <c r="CG251" s="12"/>
      <c r="CH251" s="12"/>
      <c r="CI251" s="12"/>
      <c r="CJ251" s="12"/>
      <c r="CK251" s="12"/>
      <c r="CL251" s="12"/>
      <c r="CM251" s="12"/>
      <c r="CN251" s="12"/>
      <c r="CO251" s="12"/>
      <c r="CP251" s="12"/>
      <c r="CQ251" s="12"/>
      <c r="CR251" s="12"/>
      <c r="CS251" s="12"/>
      <c r="CT251" s="12"/>
      <c r="CU251" s="12"/>
      <c r="CV251" s="12"/>
      <c r="CW251" s="12"/>
      <c r="CX251" s="12"/>
      <c r="CY251" s="12"/>
      <c r="CZ251" s="12"/>
      <c r="DA251" s="12"/>
      <c r="DB251" s="12"/>
      <c r="DC251" s="12"/>
      <c r="DD251" s="12"/>
      <c r="DE251" s="12"/>
      <c r="DF251" s="12"/>
      <c r="DG251" s="12"/>
      <c r="DH251" s="12"/>
      <c r="DI251" s="12"/>
      <c r="DJ251" s="12"/>
      <c r="DK251" s="12"/>
      <c r="DL251" s="12"/>
      <c r="DM251" s="12"/>
      <c r="DN251" s="12"/>
      <c r="DO251" s="12"/>
      <c r="DP251" s="12"/>
      <c r="DQ251" s="12"/>
      <c r="DR251" s="12"/>
      <c r="DS251" s="12"/>
      <c r="DT251" s="12"/>
      <c r="DU251" s="12"/>
      <c r="DV251" s="12"/>
      <c r="DW251" s="12"/>
      <c r="DX251" s="12"/>
      <c r="DY251" s="12"/>
      <c r="DZ251" s="12"/>
      <c r="EA251" s="12"/>
      <c r="EB251" s="12"/>
      <c r="EC251" s="12"/>
      <c r="ED251" s="12"/>
      <c r="EE251" s="12"/>
      <c r="EF251" s="12"/>
      <c r="EG251" s="12"/>
      <c r="EH251" s="12"/>
      <c r="EI251" s="12"/>
      <c r="EJ251" s="12"/>
      <c r="EK251" s="12"/>
      <c r="EL251" s="12"/>
      <c r="EM251" s="12"/>
      <c r="EN251" s="12"/>
      <c r="EO251" s="12"/>
      <c r="EP251" s="12"/>
      <c r="EQ251" s="12"/>
      <c r="ER251" s="12"/>
      <c r="ES251" s="12"/>
      <c r="ET251" s="12"/>
      <c r="EU251" s="12"/>
      <c r="EV251" s="12"/>
      <c r="EW251" s="12"/>
      <c r="EX251" s="12"/>
      <c r="EY251" s="12"/>
      <c r="EZ251" s="12"/>
      <c r="FA251" s="12"/>
      <c r="FB251" s="12"/>
      <c r="FC251" s="12"/>
      <c r="FD251" s="12"/>
      <c r="FE251" s="12"/>
      <c r="FF251" s="12"/>
      <c r="FG251" s="12"/>
      <c r="FH251" s="12"/>
      <c r="FI251" s="12"/>
      <c r="FJ251" s="12"/>
      <c r="FK251" s="12"/>
      <c r="FL251" s="12"/>
      <c r="FM251" s="12"/>
      <c r="FN251" s="12"/>
      <c r="FO251" s="12"/>
      <c r="FP251" s="12"/>
      <c r="FQ251" s="12"/>
      <c r="FR251" s="12"/>
      <c r="FS251" s="12"/>
      <c r="FT251" s="12"/>
      <c r="FU251" s="12"/>
      <c r="FV251" s="12"/>
      <c r="FW251" s="12"/>
      <c r="FX251" s="12"/>
      <c r="FY251" s="12"/>
      <c r="FZ251" s="12"/>
      <c r="GA251" s="12"/>
      <c r="GB251" s="12"/>
      <c r="GC251" s="12"/>
      <c r="GD251" s="12"/>
      <c r="GE251" s="12"/>
      <c r="GF251" s="12"/>
      <c r="GG251" s="12"/>
      <c r="GH251" s="12"/>
      <c r="GI251" s="12"/>
      <c r="GJ251" s="12"/>
      <c r="GK251" s="12"/>
      <c r="GL251" s="12"/>
      <c r="GM251" s="12"/>
      <c r="GN251" s="12"/>
      <c r="GO251" s="12"/>
      <c r="GP251" s="12"/>
      <c r="GQ251" s="12"/>
      <c r="GR251" s="12"/>
      <c r="GS251" s="12"/>
      <c r="GT251" s="12"/>
      <c r="GU251" s="12"/>
      <c r="GV251" s="12"/>
      <c r="GW251" s="12"/>
      <c r="GX251" s="12"/>
      <c r="GY251" s="12"/>
      <c r="GZ251" s="12"/>
      <c r="HA251" s="12"/>
      <c r="HB251" s="12"/>
      <c r="HC251" s="12"/>
      <c r="HD251" s="12"/>
      <c r="HE251" s="12"/>
      <c r="HF251" s="12"/>
      <c r="HG251" s="12"/>
      <c r="HH251" s="12"/>
      <c r="HI251" s="12"/>
      <c r="HJ251" s="12"/>
      <c r="HK251" s="12"/>
      <c r="HL251" s="12"/>
      <c r="HM251" s="12"/>
      <c r="HN251" s="12"/>
      <c r="HO251" s="12"/>
      <c r="HP251" s="12"/>
      <c r="HQ251" s="12"/>
      <c r="HR251" s="12"/>
      <c r="HS251" s="12"/>
      <c r="HT251" s="12"/>
      <c r="HU251" s="12"/>
      <c r="HV251" s="12"/>
      <c r="HW251" s="12"/>
      <c r="HX251" s="12"/>
      <c r="HY251" s="12"/>
      <c r="HZ251" s="12"/>
      <c r="IA251" s="12"/>
      <c r="IB251" s="12"/>
      <c r="IC251" s="12"/>
      <c r="ID251" s="12"/>
      <c r="IE251" s="12"/>
      <c r="IF251" s="12"/>
      <c r="IG251" s="12"/>
      <c r="IH251" s="12"/>
      <c r="II251" s="12"/>
      <c r="IJ251" s="12"/>
      <c r="IK251" s="12"/>
      <c r="IL251" s="12"/>
      <c r="IM251" s="12"/>
      <c r="IN251" s="12"/>
      <c r="IO251" s="12"/>
      <c r="IP251" s="12"/>
      <c r="IQ251" s="12"/>
      <c r="IR251" s="12"/>
      <c r="IS251" s="12"/>
      <c r="IT251" s="12"/>
      <c r="IU251" s="12"/>
      <c r="IV251" s="12"/>
      <c r="IW251" s="12"/>
    </row>
    <row r="252" customFormat="false" ht="11.25" hidden="false" customHeight="false" outlineLevel="0" collapsed="false">
      <c r="A252" s="25" t="n">
        <f aca="false">DATE(YEAR(A251),MONTH(A251)+1,1)</f>
        <v>53387</v>
      </c>
      <c r="B252" s="21" t="n">
        <v>3.615</v>
      </c>
      <c r="C252" s="21" t="n">
        <v>3.715</v>
      </c>
      <c r="D252" s="25" t="n">
        <f aca="false">DATE(YEAR(D251),MONTH(D251)+1,1)</f>
        <v>53387</v>
      </c>
      <c r="E252" s="21" t="n">
        <v>0</v>
      </c>
      <c r="F252" s="21" t="n">
        <v>0</v>
      </c>
      <c r="G252" s="6"/>
      <c r="H252" s="22" t="n">
        <f aca="false">A252</f>
        <v>53387</v>
      </c>
      <c r="I252" s="23" t="n">
        <f aca="false">IF($J$1="bid",B252,C252)</f>
        <v>3.715</v>
      </c>
      <c r="J252" s="22"/>
      <c r="K252" s="23"/>
      <c r="L252" s="11"/>
      <c r="M252" s="11"/>
      <c r="N252" s="11"/>
      <c r="O252" s="11"/>
      <c r="P252" s="11"/>
      <c r="Q252" s="11"/>
      <c r="R252" s="11"/>
      <c r="S252" s="11"/>
      <c r="T252" s="11"/>
      <c r="U252" s="11"/>
      <c r="V252" s="11"/>
      <c r="W252" s="11"/>
      <c r="X252" s="11"/>
      <c r="Y252" s="11"/>
      <c r="Z252" s="11"/>
      <c r="AA252" s="11"/>
      <c r="AB252" s="11"/>
      <c r="AC252" s="11"/>
      <c r="AD252" s="11"/>
      <c r="AE252" s="11"/>
      <c r="AF252" s="11"/>
      <c r="AG252" s="11"/>
      <c r="AH252" s="11"/>
      <c r="AI252" s="11"/>
      <c r="AJ252" s="11"/>
      <c r="AK252" s="11"/>
      <c r="AL252" s="11"/>
      <c r="AM252" s="11"/>
      <c r="AN252" s="11"/>
      <c r="AO252" s="11"/>
      <c r="AP252" s="11"/>
      <c r="AQ252" s="11"/>
      <c r="AR252" s="5"/>
      <c r="AS252" s="12"/>
      <c r="AT252" s="12"/>
      <c r="AU252" s="12"/>
      <c r="AV252" s="12"/>
      <c r="AW252" s="12"/>
      <c r="AX252" s="12"/>
      <c r="AY252" s="12"/>
      <c r="AZ252" s="12"/>
      <c r="BA252" s="12"/>
      <c r="BB252" s="12"/>
      <c r="BC252" s="12"/>
      <c r="BD252" s="12"/>
      <c r="BE252" s="12"/>
      <c r="BF252" s="12"/>
      <c r="BG252" s="12"/>
      <c r="BH252" s="12"/>
      <c r="BI252" s="12"/>
      <c r="BJ252" s="12"/>
      <c r="BK252" s="12"/>
      <c r="BL252" s="12"/>
      <c r="BM252" s="12"/>
      <c r="BN252" s="12"/>
      <c r="BO252" s="12"/>
      <c r="BP252" s="12"/>
      <c r="BQ252" s="12"/>
      <c r="BR252" s="12"/>
      <c r="BS252" s="12"/>
      <c r="BT252" s="12"/>
      <c r="BU252" s="12"/>
      <c r="BV252" s="12"/>
      <c r="BW252" s="12"/>
      <c r="BX252" s="12"/>
      <c r="BY252" s="12"/>
      <c r="BZ252" s="12"/>
      <c r="CA252" s="12"/>
      <c r="CB252" s="12"/>
      <c r="CC252" s="12"/>
      <c r="CD252" s="12"/>
      <c r="CE252" s="12"/>
      <c r="CF252" s="12"/>
      <c r="CG252" s="12"/>
      <c r="CH252" s="12"/>
      <c r="CI252" s="12"/>
      <c r="CJ252" s="12"/>
      <c r="CK252" s="12"/>
      <c r="CL252" s="12"/>
      <c r="CM252" s="12"/>
      <c r="CN252" s="12"/>
      <c r="CO252" s="12"/>
      <c r="CP252" s="12"/>
      <c r="CQ252" s="12"/>
      <c r="CR252" s="12"/>
      <c r="CS252" s="12"/>
      <c r="CT252" s="12"/>
      <c r="CU252" s="12"/>
      <c r="CV252" s="12"/>
      <c r="CW252" s="12"/>
      <c r="CX252" s="12"/>
      <c r="CY252" s="12"/>
      <c r="CZ252" s="12"/>
      <c r="DA252" s="12"/>
      <c r="DB252" s="12"/>
      <c r="DC252" s="12"/>
      <c r="DD252" s="12"/>
      <c r="DE252" s="12"/>
      <c r="DF252" s="12"/>
      <c r="DG252" s="12"/>
      <c r="DH252" s="12"/>
      <c r="DI252" s="12"/>
      <c r="DJ252" s="12"/>
      <c r="DK252" s="12"/>
      <c r="DL252" s="12"/>
      <c r="DM252" s="12"/>
      <c r="DN252" s="12"/>
      <c r="DO252" s="12"/>
      <c r="DP252" s="12"/>
      <c r="DQ252" s="12"/>
      <c r="DR252" s="12"/>
      <c r="DS252" s="12"/>
      <c r="DT252" s="12"/>
      <c r="DU252" s="12"/>
      <c r="DV252" s="12"/>
      <c r="DW252" s="12"/>
      <c r="DX252" s="12"/>
      <c r="DY252" s="12"/>
      <c r="DZ252" s="12"/>
      <c r="EA252" s="12"/>
      <c r="EB252" s="12"/>
      <c r="EC252" s="12"/>
      <c r="ED252" s="12"/>
      <c r="EE252" s="12"/>
      <c r="EF252" s="12"/>
      <c r="EG252" s="12"/>
      <c r="EH252" s="12"/>
      <c r="EI252" s="12"/>
      <c r="EJ252" s="12"/>
      <c r="EK252" s="12"/>
      <c r="EL252" s="12"/>
      <c r="EM252" s="12"/>
      <c r="EN252" s="12"/>
      <c r="EO252" s="12"/>
      <c r="EP252" s="12"/>
      <c r="EQ252" s="12"/>
      <c r="ER252" s="12"/>
      <c r="ES252" s="12"/>
      <c r="ET252" s="12"/>
      <c r="EU252" s="12"/>
      <c r="EV252" s="12"/>
      <c r="EW252" s="12"/>
      <c r="EX252" s="12"/>
      <c r="EY252" s="12"/>
      <c r="EZ252" s="12"/>
      <c r="FA252" s="12"/>
      <c r="FB252" s="12"/>
      <c r="FC252" s="12"/>
      <c r="FD252" s="12"/>
      <c r="FE252" s="12"/>
      <c r="FF252" s="12"/>
      <c r="FG252" s="12"/>
      <c r="FH252" s="12"/>
      <c r="FI252" s="12"/>
      <c r="FJ252" s="12"/>
      <c r="FK252" s="12"/>
      <c r="FL252" s="12"/>
      <c r="FM252" s="12"/>
      <c r="FN252" s="12"/>
      <c r="FO252" s="12"/>
      <c r="FP252" s="12"/>
      <c r="FQ252" s="12"/>
      <c r="FR252" s="12"/>
      <c r="FS252" s="12"/>
      <c r="FT252" s="12"/>
      <c r="FU252" s="12"/>
      <c r="FV252" s="12"/>
      <c r="FW252" s="12"/>
      <c r="FX252" s="12"/>
      <c r="FY252" s="12"/>
      <c r="FZ252" s="12"/>
      <c r="GA252" s="12"/>
      <c r="GB252" s="12"/>
      <c r="GC252" s="12"/>
      <c r="GD252" s="12"/>
      <c r="GE252" s="12"/>
      <c r="GF252" s="12"/>
      <c r="GG252" s="12"/>
      <c r="GH252" s="12"/>
      <c r="GI252" s="12"/>
      <c r="GJ252" s="12"/>
      <c r="GK252" s="12"/>
      <c r="GL252" s="12"/>
      <c r="GM252" s="12"/>
      <c r="GN252" s="12"/>
      <c r="GO252" s="12"/>
      <c r="GP252" s="12"/>
      <c r="GQ252" s="12"/>
      <c r="GR252" s="12"/>
      <c r="GS252" s="12"/>
      <c r="GT252" s="12"/>
      <c r="GU252" s="12"/>
      <c r="GV252" s="12"/>
      <c r="GW252" s="12"/>
      <c r="GX252" s="12"/>
      <c r="GY252" s="12"/>
      <c r="GZ252" s="12"/>
      <c r="HA252" s="12"/>
      <c r="HB252" s="12"/>
      <c r="HC252" s="12"/>
      <c r="HD252" s="12"/>
      <c r="HE252" s="12"/>
      <c r="HF252" s="12"/>
      <c r="HG252" s="12"/>
      <c r="HH252" s="12"/>
      <c r="HI252" s="12"/>
      <c r="HJ252" s="12"/>
      <c r="HK252" s="12"/>
      <c r="HL252" s="12"/>
      <c r="HM252" s="12"/>
      <c r="HN252" s="12"/>
      <c r="HO252" s="12"/>
      <c r="HP252" s="12"/>
      <c r="HQ252" s="12"/>
      <c r="HR252" s="12"/>
      <c r="HS252" s="12"/>
      <c r="HT252" s="12"/>
      <c r="HU252" s="12"/>
      <c r="HV252" s="12"/>
      <c r="HW252" s="12"/>
      <c r="HX252" s="12"/>
      <c r="HY252" s="12"/>
      <c r="HZ252" s="12"/>
      <c r="IA252" s="12"/>
      <c r="IB252" s="12"/>
      <c r="IC252" s="12"/>
      <c r="ID252" s="12"/>
      <c r="IE252" s="12"/>
      <c r="IF252" s="12"/>
      <c r="IG252" s="12"/>
      <c r="IH252" s="12"/>
      <c r="II252" s="12"/>
      <c r="IJ252" s="12"/>
      <c r="IK252" s="12"/>
      <c r="IL252" s="12"/>
      <c r="IM252" s="12"/>
      <c r="IN252" s="12"/>
      <c r="IO252" s="12"/>
      <c r="IP252" s="12"/>
      <c r="IQ252" s="12"/>
      <c r="IR252" s="12"/>
      <c r="IS252" s="12"/>
      <c r="IT252" s="12"/>
      <c r="IU252" s="12"/>
      <c r="IV252" s="12"/>
      <c r="IW252" s="12"/>
    </row>
    <row r="253" customFormat="false" ht="11.25" hidden="false" customHeight="false" outlineLevel="0" collapsed="false">
      <c r="A253" s="25" t="n">
        <f aca="false">DATE(YEAR(A252),MONTH(A252)+1,1)</f>
        <v>53418</v>
      </c>
      <c r="B253" s="21" t="n">
        <v>3.623</v>
      </c>
      <c r="C253" s="21" t="n">
        <v>3.723</v>
      </c>
      <c r="D253" s="25" t="n">
        <f aca="false">DATE(YEAR(D252),MONTH(D252)+1,1)</f>
        <v>53418</v>
      </c>
      <c r="E253" s="21" t="n">
        <v>0</v>
      </c>
      <c r="F253" s="21" t="n">
        <v>0</v>
      </c>
      <c r="G253" s="6"/>
      <c r="H253" s="22" t="n">
        <f aca="false">A253</f>
        <v>53418</v>
      </c>
      <c r="I253" s="23" t="n">
        <f aca="false">IF($J$1="bid",B253,C253)</f>
        <v>3.723</v>
      </c>
      <c r="J253" s="22"/>
      <c r="K253" s="23"/>
      <c r="L253" s="11"/>
      <c r="M253" s="11"/>
      <c r="N253" s="11"/>
      <c r="O253" s="11"/>
      <c r="P253" s="11"/>
      <c r="Q253" s="11"/>
      <c r="R253" s="11"/>
      <c r="S253" s="11"/>
      <c r="T253" s="11"/>
      <c r="U253" s="11"/>
      <c r="V253" s="11"/>
      <c r="W253" s="11"/>
      <c r="X253" s="11"/>
      <c r="Y253" s="11"/>
      <c r="Z253" s="11"/>
      <c r="AA253" s="11"/>
      <c r="AB253" s="11"/>
      <c r="AC253" s="11"/>
      <c r="AD253" s="11"/>
      <c r="AE253" s="11"/>
      <c r="AF253" s="11"/>
      <c r="AG253" s="11"/>
      <c r="AH253" s="11"/>
      <c r="AI253" s="11"/>
      <c r="AJ253" s="11"/>
      <c r="AK253" s="11"/>
      <c r="AL253" s="11"/>
      <c r="AM253" s="11"/>
      <c r="AN253" s="11"/>
      <c r="AO253" s="11"/>
      <c r="AP253" s="11"/>
      <c r="AQ253" s="11"/>
      <c r="AR253" s="5"/>
      <c r="AS253" s="12"/>
      <c r="AT253" s="12"/>
      <c r="AU253" s="12"/>
      <c r="AV253" s="12"/>
      <c r="AW253" s="12"/>
      <c r="AX253" s="12"/>
      <c r="AY253" s="12"/>
      <c r="AZ253" s="12"/>
      <c r="BA253" s="12"/>
      <c r="BB253" s="12"/>
      <c r="BC253" s="12"/>
      <c r="BD253" s="12"/>
      <c r="BE253" s="12"/>
      <c r="BF253" s="12"/>
      <c r="BG253" s="12"/>
      <c r="BH253" s="12"/>
      <c r="BI253" s="12"/>
      <c r="BJ253" s="12"/>
      <c r="BK253" s="12"/>
      <c r="BL253" s="12"/>
      <c r="BM253" s="12"/>
      <c r="BN253" s="12"/>
      <c r="BO253" s="12"/>
      <c r="BP253" s="12"/>
      <c r="BQ253" s="12"/>
      <c r="BR253" s="12"/>
      <c r="BS253" s="12"/>
      <c r="BT253" s="12"/>
      <c r="BU253" s="12"/>
      <c r="BV253" s="12"/>
      <c r="BW253" s="12"/>
      <c r="BX253" s="12"/>
      <c r="BY253" s="12"/>
      <c r="BZ253" s="12"/>
      <c r="CA253" s="12"/>
      <c r="CB253" s="12"/>
      <c r="CC253" s="12"/>
      <c r="CD253" s="12"/>
      <c r="CE253" s="12"/>
      <c r="CF253" s="12"/>
      <c r="CG253" s="12"/>
      <c r="CH253" s="12"/>
      <c r="CI253" s="12"/>
      <c r="CJ253" s="12"/>
      <c r="CK253" s="12"/>
      <c r="CL253" s="12"/>
      <c r="CM253" s="12"/>
      <c r="CN253" s="12"/>
      <c r="CO253" s="12"/>
      <c r="CP253" s="12"/>
      <c r="CQ253" s="12"/>
      <c r="CR253" s="12"/>
      <c r="CS253" s="12"/>
      <c r="CT253" s="12"/>
      <c r="CU253" s="12"/>
      <c r="CV253" s="12"/>
      <c r="CW253" s="12"/>
      <c r="CX253" s="12"/>
      <c r="CY253" s="12"/>
      <c r="CZ253" s="12"/>
      <c r="DA253" s="12"/>
      <c r="DB253" s="12"/>
      <c r="DC253" s="12"/>
      <c r="DD253" s="12"/>
      <c r="DE253" s="12"/>
      <c r="DF253" s="12"/>
      <c r="DG253" s="12"/>
      <c r="DH253" s="12"/>
      <c r="DI253" s="12"/>
      <c r="DJ253" s="12"/>
      <c r="DK253" s="12"/>
      <c r="DL253" s="12"/>
      <c r="DM253" s="12"/>
      <c r="DN253" s="12"/>
      <c r="DO253" s="12"/>
      <c r="DP253" s="12"/>
      <c r="DQ253" s="12"/>
      <c r="DR253" s="12"/>
      <c r="DS253" s="12"/>
      <c r="DT253" s="12"/>
      <c r="DU253" s="12"/>
      <c r="DV253" s="12"/>
      <c r="DW253" s="12"/>
      <c r="DX253" s="12"/>
      <c r="DY253" s="12"/>
      <c r="DZ253" s="12"/>
      <c r="EA253" s="12"/>
      <c r="EB253" s="12"/>
      <c r="EC253" s="12"/>
      <c r="ED253" s="12"/>
      <c r="EE253" s="12"/>
      <c r="EF253" s="12"/>
      <c r="EG253" s="12"/>
      <c r="EH253" s="12"/>
      <c r="EI253" s="12"/>
      <c r="EJ253" s="12"/>
      <c r="EK253" s="12"/>
      <c r="EL253" s="12"/>
      <c r="EM253" s="12"/>
      <c r="EN253" s="12"/>
      <c r="EO253" s="12"/>
      <c r="EP253" s="12"/>
      <c r="EQ253" s="12"/>
      <c r="ER253" s="12"/>
      <c r="ES253" s="12"/>
      <c r="ET253" s="12"/>
      <c r="EU253" s="12"/>
      <c r="EV253" s="12"/>
      <c r="EW253" s="12"/>
      <c r="EX253" s="12"/>
      <c r="EY253" s="12"/>
      <c r="EZ253" s="12"/>
      <c r="FA253" s="12"/>
      <c r="FB253" s="12"/>
      <c r="FC253" s="12"/>
      <c r="FD253" s="12"/>
      <c r="FE253" s="12"/>
      <c r="FF253" s="12"/>
      <c r="FG253" s="12"/>
      <c r="FH253" s="12"/>
      <c r="FI253" s="12"/>
      <c r="FJ253" s="12"/>
      <c r="FK253" s="12"/>
      <c r="FL253" s="12"/>
      <c r="FM253" s="12"/>
      <c r="FN253" s="12"/>
      <c r="FO253" s="12"/>
      <c r="FP253" s="12"/>
      <c r="FQ253" s="12"/>
      <c r="FR253" s="12"/>
      <c r="FS253" s="12"/>
      <c r="FT253" s="12"/>
      <c r="FU253" s="12"/>
      <c r="FV253" s="12"/>
      <c r="FW253" s="12"/>
      <c r="FX253" s="12"/>
      <c r="FY253" s="12"/>
      <c r="FZ253" s="12"/>
      <c r="GA253" s="12"/>
      <c r="GB253" s="12"/>
      <c r="GC253" s="12"/>
      <c r="GD253" s="12"/>
      <c r="GE253" s="12"/>
      <c r="GF253" s="12"/>
      <c r="GG253" s="12"/>
      <c r="GH253" s="12"/>
      <c r="GI253" s="12"/>
      <c r="GJ253" s="12"/>
      <c r="GK253" s="12"/>
      <c r="GL253" s="12"/>
      <c r="GM253" s="12"/>
      <c r="GN253" s="12"/>
      <c r="GO253" s="12"/>
      <c r="GP253" s="12"/>
      <c r="GQ253" s="12"/>
      <c r="GR253" s="12"/>
      <c r="GS253" s="12"/>
      <c r="GT253" s="12"/>
      <c r="GU253" s="12"/>
      <c r="GV253" s="12"/>
      <c r="GW253" s="12"/>
      <c r="GX253" s="12"/>
      <c r="GY253" s="12"/>
      <c r="GZ253" s="12"/>
      <c r="HA253" s="12"/>
      <c r="HB253" s="12"/>
      <c r="HC253" s="12"/>
      <c r="HD253" s="12"/>
      <c r="HE253" s="12"/>
      <c r="HF253" s="12"/>
      <c r="HG253" s="12"/>
      <c r="HH253" s="12"/>
      <c r="HI253" s="12"/>
      <c r="HJ253" s="12"/>
      <c r="HK253" s="12"/>
      <c r="HL253" s="12"/>
      <c r="HM253" s="12"/>
      <c r="HN253" s="12"/>
      <c r="HO253" s="12"/>
      <c r="HP253" s="12"/>
      <c r="HQ253" s="12"/>
      <c r="HR253" s="12"/>
      <c r="HS253" s="12"/>
      <c r="HT253" s="12"/>
      <c r="HU253" s="12"/>
      <c r="HV253" s="12"/>
      <c r="HW253" s="12"/>
      <c r="HX253" s="12"/>
      <c r="HY253" s="12"/>
      <c r="HZ253" s="12"/>
      <c r="IA253" s="12"/>
      <c r="IB253" s="12"/>
      <c r="IC253" s="12"/>
      <c r="ID253" s="12"/>
      <c r="IE253" s="12"/>
      <c r="IF253" s="12"/>
      <c r="IG253" s="12"/>
      <c r="IH253" s="12"/>
      <c r="II253" s="12"/>
      <c r="IJ253" s="12"/>
      <c r="IK253" s="12"/>
      <c r="IL253" s="12"/>
      <c r="IM253" s="12"/>
      <c r="IN253" s="12"/>
      <c r="IO253" s="12"/>
      <c r="IP253" s="12"/>
      <c r="IQ253" s="12"/>
      <c r="IR253" s="12"/>
      <c r="IS253" s="12"/>
      <c r="IT253" s="12"/>
      <c r="IU253" s="12"/>
      <c r="IV253" s="12"/>
      <c r="IW253" s="12"/>
    </row>
    <row r="254" customFormat="false" ht="11.25" hidden="false" customHeight="false" outlineLevel="0" collapsed="false">
      <c r="A254" s="25" t="n">
        <f aca="false">DATE(YEAR(A253),MONTH(A253)+1,1)</f>
        <v>53448</v>
      </c>
      <c r="B254" s="21" t="n">
        <v>3.615</v>
      </c>
      <c r="C254" s="21" t="n">
        <v>3.715</v>
      </c>
      <c r="D254" s="25" t="n">
        <f aca="false">DATE(YEAR(D253),MONTH(D253)+1,1)</f>
        <v>53448</v>
      </c>
      <c r="E254" s="21" t="n">
        <v>0</v>
      </c>
      <c r="F254" s="21" t="n">
        <v>0</v>
      </c>
      <c r="G254" s="6"/>
      <c r="H254" s="22" t="n">
        <f aca="false">A254</f>
        <v>53448</v>
      </c>
      <c r="I254" s="23" t="n">
        <f aca="false">IF($J$1="bid",B254,C254)</f>
        <v>3.715</v>
      </c>
      <c r="J254" s="22"/>
      <c r="K254" s="23"/>
      <c r="L254" s="11"/>
      <c r="M254" s="11"/>
      <c r="N254" s="11"/>
      <c r="O254" s="11"/>
      <c r="P254" s="11"/>
      <c r="Q254" s="11"/>
      <c r="R254" s="11"/>
      <c r="S254" s="11"/>
      <c r="T254" s="11"/>
      <c r="U254" s="11"/>
      <c r="V254" s="11"/>
      <c r="W254" s="11"/>
      <c r="X254" s="11"/>
      <c r="Y254" s="11"/>
      <c r="Z254" s="11"/>
      <c r="AA254" s="11"/>
      <c r="AB254" s="11"/>
      <c r="AC254" s="11"/>
      <c r="AD254" s="11"/>
      <c r="AE254" s="11"/>
      <c r="AF254" s="11"/>
      <c r="AG254" s="11"/>
      <c r="AH254" s="11"/>
      <c r="AI254" s="11"/>
      <c r="AJ254" s="11"/>
      <c r="AK254" s="11"/>
      <c r="AL254" s="11"/>
      <c r="AM254" s="11"/>
      <c r="AN254" s="11"/>
      <c r="AO254" s="11"/>
      <c r="AP254" s="11"/>
      <c r="AQ254" s="11"/>
      <c r="AR254" s="5"/>
      <c r="AS254" s="12"/>
      <c r="AT254" s="12"/>
      <c r="AU254" s="12"/>
      <c r="AV254" s="12"/>
      <c r="AW254" s="12"/>
      <c r="AX254" s="12"/>
      <c r="AY254" s="12"/>
      <c r="AZ254" s="12"/>
      <c r="BA254" s="12"/>
      <c r="BB254" s="12"/>
      <c r="BC254" s="12"/>
      <c r="BD254" s="12"/>
      <c r="BE254" s="12"/>
      <c r="BF254" s="12"/>
      <c r="BG254" s="12"/>
      <c r="BH254" s="12"/>
      <c r="BI254" s="12"/>
      <c r="BJ254" s="12"/>
      <c r="BK254" s="12"/>
      <c r="BL254" s="12"/>
      <c r="BM254" s="12"/>
      <c r="BN254" s="12"/>
      <c r="BO254" s="12"/>
      <c r="BP254" s="12"/>
      <c r="BQ254" s="12"/>
      <c r="BR254" s="12"/>
      <c r="BS254" s="12"/>
      <c r="BT254" s="12"/>
      <c r="BU254" s="12"/>
      <c r="BV254" s="12"/>
      <c r="BW254" s="12"/>
      <c r="BX254" s="12"/>
      <c r="BY254" s="12"/>
      <c r="BZ254" s="12"/>
      <c r="CA254" s="12"/>
      <c r="CB254" s="12"/>
      <c r="CC254" s="12"/>
      <c r="CD254" s="12"/>
      <c r="CE254" s="12"/>
      <c r="CF254" s="12"/>
      <c r="CG254" s="12"/>
      <c r="CH254" s="12"/>
      <c r="CI254" s="12"/>
      <c r="CJ254" s="12"/>
      <c r="CK254" s="12"/>
      <c r="CL254" s="12"/>
      <c r="CM254" s="12"/>
      <c r="CN254" s="12"/>
      <c r="CO254" s="12"/>
      <c r="CP254" s="12"/>
      <c r="CQ254" s="12"/>
      <c r="CR254" s="12"/>
      <c r="CS254" s="12"/>
      <c r="CT254" s="12"/>
      <c r="CU254" s="12"/>
      <c r="CV254" s="12"/>
      <c r="CW254" s="12"/>
      <c r="CX254" s="12"/>
      <c r="CY254" s="12"/>
      <c r="CZ254" s="12"/>
      <c r="DA254" s="12"/>
      <c r="DB254" s="12"/>
      <c r="DC254" s="12"/>
      <c r="DD254" s="12"/>
      <c r="DE254" s="12"/>
      <c r="DF254" s="12"/>
      <c r="DG254" s="12"/>
      <c r="DH254" s="12"/>
      <c r="DI254" s="12"/>
      <c r="DJ254" s="12"/>
      <c r="DK254" s="12"/>
      <c r="DL254" s="12"/>
      <c r="DM254" s="12"/>
      <c r="DN254" s="12"/>
      <c r="DO254" s="12"/>
      <c r="DP254" s="12"/>
      <c r="DQ254" s="12"/>
      <c r="DR254" s="12"/>
      <c r="DS254" s="12"/>
      <c r="DT254" s="12"/>
      <c r="DU254" s="12"/>
      <c r="DV254" s="12"/>
      <c r="DW254" s="12"/>
      <c r="DX254" s="12"/>
      <c r="DY254" s="12"/>
      <c r="DZ254" s="12"/>
      <c r="EA254" s="12"/>
      <c r="EB254" s="12"/>
      <c r="EC254" s="12"/>
      <c r="ED254" s="12"/>
      <c r="EE254" s="12"/>
      <c r="EF254" s="12"/>
      <c r="EG254" s="12"/>
      <c r="EH254" s="12"/>
      <c r="EI254" s="12"/>
      <c r="EJ254" s="12"/>
      <c r="EK254" s="12"/>
      <c r="EL254" s="12"/>
      <c r="EM254" s="12"/>
      <c r="EN254" s="12"/>
      <c r="EO254" s="12"/>
      <c r="EP254" s="12"/>
      <c r="EQ254" s="12"/>
      <c r="ER254" s="12"/>
      <c r="ES254" s="12"/>
      <c r="ET254" s="12"/>
      <c r="EU254" s="12"/>
      <c r="EV254" s="12"/>
      <c r="EW254" s="12"/>
      <c r="EX254" s="12"/>
      <c r="EY254" s="12"/>
      <c r="EZ254" s="12"/>
      <c r="FA254" s="12"/>
      <c r="FB254" s="12"/>
      <c r="FC254" s="12"/>
      <c r="FD254" s="12"/>
      <c r="FE254" s="12"/>
      <c r="FF254" s="12"/>
      <c r="FG254" s="12"/>
      <c r="FH254" s="12"/>
      <c r="FI254" s="12"/>
      <c r="FJ254" s="12"/>
      <c r="FK254" s="12"/>
      <c r="FL254" s="12"/>
      <c r="FM254" s="12"/>
      <c r="FN254" s="12"/>
      <c r="FO254" s="12"/>
      <c r="FP254" s="12"/>
      <c r="FQ254" s="12"/>
      <c r="FR254" s="12"/>
      <c r="FS254" s="12"/>
      <c r="FT254" s="12"/>
      <c r="FU254" s="12"/>
      <c r="FV254" s="12"/>
      <c r="FW254" s="12"/>
      <c r="FX254" s="12"/>
      <c r="FY254" s="12"/>
      <c r="FZ254" s="12"/>
      <c r="GA254" s="12"/>
      <c r="GB254" s="12"/>
      <c r="GC254" s="12"/>
      <c r="GD254" s="12"/>
      <c r="GE254" s="12"/>
      <c r="GF254" s="12"/>
      <c r="GG254" s="12"/>
      <c r="GH254" s="12"/>
      <c r="GI254" s="12"/>
      <c r="GJ254" s="12"/>
      <c r="GK254" s="12"/>
      <c r="GL254" s="12"/>
      <c r="GM254" s="12"/>
      <c r="GN254" s="12"/>
      <c r="GO254" s="12"/>
      <c r="GP254" s="12"/>
      <c r="GQ254" s="12"/>
      <c r="GR254" s="12"/>
      <c r="GS254" s="12"/>
      <c r="GT254" s="12"/>
      <c r="GU254" s="12"/>
      <c r="GV254" s="12"/>
      <c r="GW254" s="12"/>
      <c r="GX254" s="12"/>
      <c r="GY254" s="12"/>
      <c r="GZ254" s="12"/>
      <c r="HA254" s="12"/>
      <c r="HB254" s="12"/>
      <c r="HC254" s="12"/>
      <c r="HD254" s="12"/>
      <c r="HE254" s="12"/>
      <c r="HF254" s="12"/>
      <c r="HG254" s="12"/>
      <c r="HH254" s="12"/>
      <c r="HI254" s="12"/>
      <c r="HJ254" s="12"/>
      <c r="HK254" s="12"/>
      <c r="HL254" s="12"/>
      <c r="HM254" s="12"/>
      <c r="HN254" s="12"/>
      <c r="HO254" s="12"/>
      <c r="HP254" s="12"/>
      <c r="HQ254" s="12"/>
      <c r="HR254" s="12"/>
      <c r="HS254" s="12"/>
      <c r="HT254" s="12"/>
      <c r="HU254" s="12"/>
      <c r="HV254" s="12"/>
      <c r="HW254" s="12"/>
      <c r="HX254" s="12"/>
      <c r="HY254" s="12"/>
      <c r="HZ254" s="12"/>
      <c r="IA254" s="12"/>
      <c r="IB254" s="12"/>
      <c r="IC254" s="12"/>
      <c r="ID254" s="12"/>
      <c r="IE254" s="12"/>
      <c r="IF254" s="12"/>
      <c r="IG254" s="12"/>
      <c r="IH254" s="12"/>
      <c r="II254" s="12"/>
      <c r="IJ254" s="12"/>
      <c r="IK254" s="12"/>
      <c r="IL254" s="12"/>
      <c r="IM254" s="12"/>
      <c r="IN254" s="12"/>
      <c r="IO254" s="12"/>
      <c r="IP254" s="12"/>
      <c r="IQ254" s="12"/>
      <c r="IR254" s="12"/>
      <c r="IS254" s="12"/>
      <c r="IT254" s="12"/>
      <c r="IU254" s="12"/>
      <c r="IV254" s="12"/>
      <c r="IW254" s="12"/>
    </row>
    <row r="255" customFormat="false" ht="11.25" hidden="false" customHeight="false" outlineLevel="0" collapsed="false">
      <c r="A255" s="25" t="n">
        <f aca="false">DATE(YEAR(A254),MONTH(A254)+1,1)</f>
        <v>53479</v>
      </c>
      <c r="B255" s="21" t="n">
        <v>3.615</v>
      </c>
      <c r="C255" s="21" t="n">
        <v>3.715</v>
      </c>
      <c r="D255" s="25" t="n">
        <f aca="false">DATE(YEAR(D254),MONTH(D254)+1,1)</f>
        <v>53479</v>
      </c>
      <c r="E255" s="21" t="n">
        <v>0</v>
      </c>
      <c r="F255" s="21" t="n">
        <v>0</v>
      </c>
      <c r="G255" s="6"/>
      <c r="H255" s="22" t="n">
        <f aca="false">A255</f>
        <v>53479</v>
      </c>
      <c r="I255" s="23" t="n">
        <f aca="false">IF($J$1="bid",B255,C255)</f>
        <v>3.715</v>
      </c>
      <c r="J255" s="22"/>
      <c r="K255" s="23"/>
      <c r="L255" s="11"/>
      <c r="M255" s="11"/>
      <c r="N255" s="11"/>
      <c r="O255" s="11"/>
      <c r="P255" s="11"/>
      <c r="Q255" s="11"/>
      <c r="R255" s="11"/>
      <c r="S255" s="11"/>
      <c r="T255" s="11"/>
      <c r="U255" s="11"/>
      <c r="V255" s="11"/>
      <c r="W255" s="11"/>
      <c r="X255" s="11"/>
      <c r="Y255" s="11"/>
      <c r="Z255" s="11"/>
      <c r="AA255" s="11"/>
      <c r="AB255" s="11"/>
      <c r="AC255" s="11"/>
      <c r="AD255" s="11"/>
      <c r="AE255" s="11"/>
      <c r="AF255" s="11"/>
      <c r="AG255" s="11"/>
      <c r="AH255" s="11"/>
      <c r="AI255" s="11"/>
      <c r="AJ255" s="11"/>
      <c r="AK255" s="11"/>
      <c r="AL255" s="11"/>
      <c r="AM255" s="11"/>
      <c r="AN255" s="11"/>
      <c r="AO255" s="11"/>
      <c r="AP255" s="11"/>
      <c r="AQ255" s="11"/>
      <c r="AR255" s="5"/>
      <c r="AS255" s="12"/>
      <c r="AT255" s="12"/>
      <c r="AU255" s="12"/>
      <c r="AV255" s="12"/>
      <c r="AW255" s="12"/>
      <c r="AX255" s="12"/>
      <c r="AY255" s="12"/>
      <c r="AZ255" s="12"/>
      <c r="BA255" s="12"/>
      <c r="BB255" s="12"/>
      <c r="BC255" s="12"/>
      <c r="BD255" s="12"/>
      <c r="BE255" s="12"/>
      <c r="BF255" s="12"/>
      <c r="BG255" s="12"/>
      <c r="BH255" s="12"/>
      <c r="BI255" s="12"/>
      <c r="BJ255" s="12"/>
      <c r="BK255" s="12"/>
      <c r="BL255" s="12"/>
      <c r="BM255" s="12"/>
      <c r="BN255" s="12"/>
      <c r="BO255" s="12"/>
      <c r="BP255" s="12"/>
      <c r="BQ255" s="12"/>
      <c r="BR255" s="12"/>
      <c r="BS255" s="12"/>
      <c r="BT255" s="12"/>
      <c r="BU255" s="12"/>
      <c r="BV255" s="12"/>
      <c r="BW255" s="12"/>
      <c r="BX255" s="12"/>
      <c r="BY255" s="12"/>
      <c r="BZ255" s="12"/>
      <c r="CA255" s="12"/>
      <c r="CB255" s="12"/>
      <c r="CC255" s="12"/>
      <c r="CD255" s="12"/>
      <c r="CE255" s="12"/>
      <c r="CF255" s="12"/>
      <c r="CG255" s="12"/>
      <c r="CH255" s="12"/>
      <c r="CI255" s="12"/>
      <c r="CJ255" s="12"/>
      <c r="CK255" s="12"/>
      <c r="CL255" s="12"/>
      <c r="CM255" s="12"/>
      <c r="CN255" s="12"/>
      <c r="CO255" s="12"/>
      <c r="CP255" s="12"/>
      <c r="CQ255" s="12"/>
      <c r="CR255" s="12"/>
      <c r="CS255" s="12"/>
      <c r="CT255" s="12"/>
      <c r="CU255" s="12"/>
      <c r="CV255" s="12"/>
      <c r="CW255" s="12"/>
      <c r="CX255" s="12"/>
      <c r="CY255" s="12"/>
      <c r="CZ255" s="12"/>
      <c r="DA255" s="12"/>
      <c r="DB255" s="12"/>
      <c r="DC255" s="12"/>
      <c r="DD255" s="12"/>
      <c r="DE255" s="12"/>
      <c r="DF255" s="12"/>
      <c r="DG255" s="12"/>
      <c r="DH255" s="12"/>
      <c r="DI255" s="12"/>
      <c r="DJ255" s="12"/>
      <c r="DK255" s="12"/>
      <c r="DL255" s="12"/>
      <c r="DM255" s="12"/>
      <c r="DN255" s="12"/>
      <c r="DO255" s="12"/>
      <c r="DP255" s="12"/>
      <c r="DQ255" s="12"/>
      <c r="DR255" s="12"/>
      <c r="DS255" s="12"/>
      <c r="DT255" s="12"/>
      <c r="DU255" s="12"/>
      <c r="DV255" s="12"/>
      <c r="DW255" s="12"/>
      <c r="DX255" s="12"/>
      <c r="DY255" s="12"/>
      <c r="DZ255" s="12"/>
      <c r="EA255" s="12"/>
      <c r="EB255" s="12"/>
      <c r="EC255" s="12"/>
      <c r="ED255" s="12"/>
      <c r="EE255" s="12"/>
      <c r="EF255" s="12"/>
      <c r="EG255" s="12"/>
      <c r="EH255" s="12"/>
      <c r="EI255" s="12"/>
      <c r="EJ255" s="12"/>
      <c r="EK255" s="12"/>
      <c r="EL255" s="12"/>
      <c r="EM255" s="12"/>
      <c r="EN255" s="12"/>
      <c r="EO255" s="12"/>
      <c r="EP255" s="12"/>
      <c r="EQ255" s="12"/>
      <c r="ER255" s="12"/>
      <c r="ES255" s="12"/>
      <c r="ET255" s="12"/>
      <c r="EU255" s="12"/>
      <c r="EV255" s="12"/>
      <c r="EW255" s="12"/>
      <c r="EX255" s="12"/>
      <c r="EY255" s="12"/>
      <c r="EZ255" s="12"/>
      <c r="FA255" s="12"/>
      <c r="FB255" s="12"/>
      <c r="FC255" s="12"/>
      <c r="FD255" s="12"/>
      <c r="FE255" s="12"/>
      <c r="FF255" s="12"/>
      <c r="FG255" s="12"/>
      <c r="FH255" s="12"/>
      <c r="FI255" s="12"/>
      <c r="FJ255" s="12"/>
      <c r="FK255" s="12"/>
      <c r="FL255" s="12"/>
      <c r="FM255" s="12"/>
      <c r="FN255" s="12"/>
      <c r="FO255" s="12"/>
      <c r="FP255" s="12"/>
      <c r="FQ255" s="12"/>
      <c r="FR255" s="12"/>
      <c r="FS255" s="12"/>
      <c r="FT255" s="12"/>
      <c r="FU255" s="12"/>
      <c r="FV255" s="12"/>
      <c r="FW255" s="12"/>
      <c r="FX255" s="12"/>
      <c r="FY255" s="12"/>
      <c r="FZ255" s="12"/>
      <c r="GA255" s="12"/>
      <c r="GB255" s="12"/>
      <c r="GC255" s="12"/>
      <c r="GD255" s="12"/>
      <c r="GE255" s="12"/>
      <c r="GF255" s="12"/>
      <c r="GG255" s="12"/>
      <c r="GH255" s="12"/>
      <c r="GI255" s="12"/>
      <c r="GJ255" s="12"/>
      <c r="GK255" s="12"/>
      <c r="GL255" s="12"/>
      <c r="GM255" s="12"/>
      <c r="GN255" s="12"/>
      <c r="GO255" s="12"/>
      <c r="GP255" s="12"/>
      <c r="GQ255" s="12"/>
      <c r="GR255" s="12"/>
      <c r="GS255" s="12"/>
      <c r="GT255" s="12"/>
      <c r="GU255" s="12"/>
      <c r="GV255" s="12"/>
      <c r="GW255" s="12"/>
      <c r="GX255" s="12"/>
      <c r="GY255" s="12"/>
      <c r="GZ255" s="12"/>
      <c r="HA255" s="12"/>
      <c r="HB255" s="12"/>
      <c r="HC255" s="12"/>
      <c r="HD255" s="12"/>
      <c r="HE255" s="12"/>
      <c r="HF255" s="12"/>
      <c r="HG255" s="12"/>
      <c r="HH255" s="12"/>
      <c r="HI255" s="12"/>
      <c r="HJ255" s="12"/>
      <c r="HK255" s="12"/>
      <c r="HL255" s="12"/>
      <c r="HM255" s="12"/>
      <c r="HN255" s="12"/>
      <c r="HO255" s="12"/>
      <c r="HP255" s="12"/>
      <c r="HQ255" s="12"/>
      <c r="HR255" s="12"/>
      <c r="HS255" s="12"/>
      <c r="HT255" s="12"/>
      <c r="HU255" s="12"/>
      <c r="HV255" s="12"/>
      <c r="HW255" s="12"/>
      <c r="HX255" s="12"/>
      <c r="HY255" s="12"/>
      <c r="HZ255" s="12"/>
      <c r="IA255" s="12"/>
      <c r="IB255" s="12"/>
      <c r="IC255" s="12"/>
      <c r="ID255" s="12"/>
      <c r="IE255" s="12"/>
      <c r="IF255" s="12"/>
      <c r="IG255" s="12"/>
      <c r="IH255" s="12"/>
      <c r="II255" s="12"/>
      <c r="IJ255" s="12"/>
      <c r="IK255" s="12"/>
      <c r="IL255" s="12"/>
      <c r="IM255" s="12"/>
      <c r="IN255" s="12"/>
      <c r="IO255" s="12"/>
      <c r="IP255" s="12"/>
      <c r="IQ255" s="12"/>
      <c r="IR255" s="12"/>
      <c r="IS255" s="12"/>
      <c r="IT255" s="12"/>
      <c r="IU255" s="12"/>
      <c r="IV255" s="12"/>
      <c r="IW255" s="12"/>
    </row>
    <row r="256" customFormat="false" ht="11.25" hidden="false" customHeight="false" outlineLevel="0" collapsed="false">
      <c r="A256" s="25" t="n">
        <f aca="false">DATE(YEAR(A255),MONTH(A255)+1,1)</f>
        <v>53509</v>
      </c>
      <c r="B256" s="21" t="n">
        <v>3.615</v>
      </c>
      <c r="C256" s="21" t="n">
        <v>3.715</v>
      </c>
      <c r="D256" s="25" t="n">
        <f aca="false">DATE(YEAR(D255),MONTH(D255)+1,1)</f>
        <v>53509</v>
      </c>
      <c r="E256" s="21" t="n">
        <v>0</v>
      </c>
      <c r="F256" s="21" t="n">
        <v>0</v>
      </c>
      <c r="G256" s="6"/>
      <c r="H256" s="22" t="n">
        <f aca="false">A256</f>
        <v>53509</v>
      </c>
      <c r="I256" s="23" t="n">
        <f aca="false">IF($J$1="bid",B256,C256)</f>
        <v>3.715</v>
      </c>
      <c r="J256" s="22"/>
      <c r="K256" s="23"/>
      <c r="L256" s="11"/>
      <c r="M256" s="11"/>
      <c r="N256" s="11"/>
      <c r="O256" s="11"/>
      <c r="P256" s="11"/>
      <c r="Q256" s="11"/>
      <c r="R256" s="11"/>
      <c r="S256" s="11"/>
      <c r="T256" s="11"/>
      <c r="U256" s="11"/>
      <c r="V256" s="11"/>
      <c r="W256" s="11"/>
      <c r="X256" s="11"/>
      <c r="Y256" s="11"/>
      <c r="Z256" s="11"/>
      <c r="AA256" s="11"/>
      <c r="AB256" s="11"/>
      <c r="AC256" s="11"/>
      <c r="AD256" s="11"/>
      <c r="AE256" s="11"/>
      <c r="AF256" s="11"/>
      <c r="AG256" s="11"/>
      <c r="AH256" s="11"/>
      <c r="AI256" s="11"/>
      <c r="AJ256" s="11"/>
      <c r="AK256" s="11"/>
      <c r="AL256" s="11"/>
      <c r="AM256" s="11"/>
      <c r="AN256" s="11"/>
      <c r="AO256" s="11"/>
      <c r="AP256" s="11"/>
      <c r="AQ256" s="11"/>
      <c r="AR256" s="5"/>
      <c r="AS256" s="12"/>
      <c r="AT256" s="12"/>
      <c r="AU256" s="12"/>
      <c r="AV256" s="12"/>
      <c r="AW256" s="12"/>
      <c r="AX256" s="12"/>
      <c r="AY256" s="12"/>
      <c r="AZ256" s="12"/>
      <c r="BA256" s="12"/>
      <c r="BB256" s="12"/>
      <c r="BC256" s="12"/>
      <c r="BD256" s="12"/>
      <c r="BE256" s="12"/>
      <c r="BF256" s="12"/>
      <c r="BG256" s="12"/>
      <c r="BH256" s="12"/>
      <c r="BI256" s="12"/>
      <c r="BJ256" s="12"/>
      <c r="BK256" s="12"/>
      <c r="BL256" s="12"/>
      <c r="BM256" s="12"/>
      <c r="BN256" s="12"/>
      <c r="BO256" s="12"/>
      <c r="BP256" s="12"/>
      <c r="BQ256" s="12"/>
      <c r="BR256" s="12"/>
      <c r="BS256" s="12"/>
      <c r="BT256" s="12"/>
      <c r="BU256" s="12"/>
      <c r="BV256" s="12"/>
      <c r="BW256" s="12"/>
      <c r="BX256" s="12"/>
      <c r="BY256" s="12"/>
      <c r="BZ256" s="12"/>
      <c r="CA256" s="12"/>
      <c r="CB256" s="12"/>
      <c r="CC256" s="12"/>
      <c r="CD256" s="12"/>
      <c r="CE256" s="12"/>
      <c r="CF256" s="12"/>
      <c r="CG256" s="12"/>
      <c r="CH256" s="12"/>
      <c r="CI256" s="12"/>
      <c r="CJ256" s="12"/>
      <c r="CK256" s="12"/>
      <c r="CL256" s="12"/>
      <c r="CM256" s="12"/>
      <c r="CN256" s="12"/>
      <c r="CO256" s="12"/>
      <c r="CP256" s="12"/>
      <c r="CQ256" s="12"/>
      <c r="CR256" s="12"/>
      <c r="CS256" s="12"/>
      <c r="CT256" s="12"/>
      <c r="CU256" s="12"/>
      <c r="CV256" s="12"/>
      <c r="CW256" s="12"/>
      <c r="CX256" s="12"/>
      <c r="CY256" s="12"/>
      <c r="CZ256" s="12"/>
      <c r="DA256" s="12"/>
      <c r="DB256" s="12"/>
      <c r="DC256" s="12"/>
      <c r="DD256" s="12"/>
      <c r="DE256" s="12"/>
      <c r="DF256" s="12"/>
      <c r="DG256" s="12"/>
      <c r="DH256" s="12"/>
      <c r="DI256" s="12"/>
      <c r="DJ256" s="12"/>
      <c r="DK256" s="12"/>
      <c r="DL256" s="12"/>
      <c r="DM256" s="12"/>
      <c r="DN256" s="12"/>
      <c r="DO256" s="12"/>
      <c r="DP256" s="12"/>
      <c r="DQ256" s="12"/>
      <c r="DR256" s="12"/>
      <c r="DS256" s="12"/>
      <c r="DT256" s="12"/>
      <c r="DU256" s="12"/>
      <c r="DV256" s="12"/>
      <c r="DW256" s="12"/>
      <c r="DX256" s="12"/>
      <c r="DY256" s="12"/>
      <c r="DZ256" s="12"/>
      <c r="EA256" s="12"/>
      <c r="EB256" s="12"/>
      <c r="EC256" s="12"/>
      <c r="ED256" s="12"/>
      <c r="EE256" s="12"/>
      <c r="EF256" s="12"/>
      <c r="EG256" s="12"/>
      <c r="EH256" s="12"/>
      <c r="EI256" s="12"/>
      <c r="EJ256" s="12"/>
      <c r="EK256" s="12"/>
      <c r="EL256" s="12"/>
      <c r="EM256" s="12"/>
      <c r="EN256" s="12"/>
      <c r="EO256" s="12"/>
      <c r="EP256" s="12"/>
      <c r="EQ256" s="12"/>
      <c r="ER256" s="12"/>
      <c r="ES256" s="12"/>
      <c r="ET256" s="12"/>
      <c r="EU256" s="12"/>
      <c r="EV256" s="12"/>
      <c r="EW256" s="12"/>
      <c r="EX256" s="12"/>
      <c r="EY256" s="12"/>
      <c r="EZ256" s="12"/>
      <c r="FA256" s="12"/>
      <c r="FB256" s="12"/>
      <c r="FC256" s="12"/>
      <c r="FD256" s="12"/>
      <c r="FE256" s="12"/>
      <c r="FF256" s="12"/>
      <c r="FG256" s="12"/>
      <c r="FH256" s="12"/>
      <c r="FI256" s="12"/>
      <c r="FJ256" s="12"/>
      <c r="FK256" s="12"/>
      <c r="FL256" s="12"/>
      <c r="FM256" s="12"/>
      <c r="FN256" s="12"/>
      <c r="FO256" s="12"/>
      <c r="FP256" s="12"/>
      <c r="FQ256" s="12"/>
      <c r="FR256" s="12"/>
      <c r="FS256" s="12"/>
      <c r="FT256" s="12"/>
      <c r="FU256" s="12"/>
      <c r="FV256" s="12"/>
      <c r="FW256" s="12"/>
      <c r="FX256" s="12"/>
      <c r="FY256" s="12"/>
      <c r="FZ256" s="12"/>
      <c r="GA256" s="12"/>
      <c r="GB256" s="12"/>
      <c r="GC256" s="12"/>
      <c r="GD256" s="12"/>
      <c r="GE256" s="12"/>
      <c r="GF256" s="12"/>
      <c r="GG256" s="12"/>
      <c r="GH256" s="12"/>
      <c r="GI256" s="12"/>
      <c r="GJ256" s="12"/>
      <c r="GK256" s="12"/>
      <c r="GL256" s="12"/>
      <c r="GM256" s="12"/>
      <c r="GN256" s="12"/>
      <c r="GO256" s="12"/>
      <c r="GP256" s="12"/>
      <c r="GQ256" s="12"/>
      <c r="GR256" s="12"/>
      <c r="GS256" s="12"/>
      <c r="GT256" s="12"/>
      <c r="GU256" s="12"/>
      <c r="GV256" s="12"/>
      <c r="GW256" s="12"/>
      <c r="GX256" s="12"/>
      <c r="GY256" s="12"/>
      <c r="GZ256" s="12"/>
      <c r="HA256" s="12"/>
      <c r="HB256" s="12"/>
      <c r="HC256" s="12"/>
      <c r="HD256" s="12"/>
      <c r="HE256" s="12"/>
      <c r="HF256" s="12"/>
      <c r="HG256" s="12"/>
      <c r="HH256" s="12"/>
      <c r="HI256" s="12"/>
      <c r="HJ256" s="12"/>
      <c r="HK256" s="12"/>
      <c r="HL256" s="12"/>
      <c r="HM256" s="12"/>
      <c r="HN256" s="12"/>
      <c r="HO256" s="12"/>
      <c r="HP256" s="12"/>
      <c r="HQ256" s="12"/>
      <c r="HR256" s="12"/>
      <c r="HS256" s="12"/>
      <c r="HT256" s="12"/>
      <c r="HU256" s="12"/>
      <c r="HV256" s="12"/>
      <c r="HW256" s="12"/>
      <c r="HX256" s="12"/>
      <c r="HY256" s="12"/>
      <c r="HZ256" s="12"/>
      <c r="IA256" s="12"/>
      <c r="IB256" s="12"/>
      <c r="IC256" s="12"/>
      <c r="ID256" s="12"/>
      <c r="IE256" s="12"/>
      <c r="IF256" s="12"/>
      <c r="IG256" s="12"/>
      <c r="IH256" s="12"/>
      <c r="II256" s="12"/>
      <c r="IJ256" s="12"/>
      <c r="IK256" s="12"/>
      <c r="IL256" s="12"/>
      <c r="IM256" s="12"/>
      <c r="IN256" s="12"/>
      <c r="IO256" s="12"/>
      <c r="IP256" s="12"/>
      <c r="IQ256" s="12"/>
      <c r="IR256" s="12"/>
      <c r="IS256" s="12"/>
      <c r="IT256" s="12"/>
      <c r="IU256" s="12"/>
      <c r="IV256" s="12"/>
      <c r="IW256" s="12"/>
    </row>
    <row r="257" customFormat="false" ht="11.25" hidden="false" customHeight="false" outlineLevel="0" collapsed="false">
      <c r="A257" s="25" t="n">
        <f aca="false">DATE(YEAR(A256),MONTH(A256)+1,1)</f>
        <v>53540</v>
      </c>
      <c r="B257" s="21" t="n">
        <v>3.615</v>
      </c>
      <c r="C257" s="21" t="n">
        <v>3.715</v>
      </c>
      <c r="D257" s="25" t="n">
        <f aca="false">DATE(YEAR(D256),MONTH(D256)+1,1)</f>
        <v>53540</v>
      </c>
      <c r="E257" s="21" t="n">
        <v>0</v>
      </c>
      <c r="F257" s="21" t="n">
        <v>0</v>
      </c>
      <c r="G257" s="6"/>
      <c r="H257" s="22" t="n">
        <f aca="false">A257</f>
        <v>53540</v>
      </c>
      <c r="I257" s="23" t="n">
        <f aca="false">IF($J$1="bid",B257,C257)</f>
        <v>3.715</v>
      </c>
      <c r="J257" s="22"/>
      <c r="K257" s="23"/>
      <c r="L257" s="11"/>
      <c r="M257" s="11"/>
      <c r="N257" s="11"/>
      <c r="O257" s="11"/>
      <c r="P257" s="11"/>
      <c r="Q257" s="11"/>
      <c r="R257" s="11"/>
      <c r="S257" s="11"/>
      <c r="T257" s="11"/>
      <c r="U257" s="11"/>
      <c r="V257" s="11"/>
      <c r="W257" s="11"/>
      <c r="X257" s="11"/>
      <c r="Y257" s="11"/>
      <c r="Z257" s="11"/>
      <c r="AA257" s="11"/>
      <c r="AB257" s="11"/>
      <c r="AC257" s="11"/>
      <c r="AD257" s="11"/>
      <c r="AE257" s="11"/>
      <c r="AF257" s="11"/>
      <c r="AG257" s="11"/>
      <c r="AH257" s="11"/>
      <c r="AI257" s="11"/>
      <c r="AJ257" s="11"/>
      <c r="AK257" s="11"/>
      <c r="AL257" s="11"/>
      <c r="AM257" s="11"/>
      <c r="AN257" s="11"/>
      <c r="AO257" s="11"/>
      <c r="AP257" s="11"/>
      <c r="AQ257" s="11"/>
      <c r="AR257" s="5"/>
      <c r="AS257" s="12"/>
      <c r="AT257" s="12"/>
      <c r="AU257" s="12"/>
      <c r="AV257" s="12"/>
      <c r="AW257" s="12"/>
      <c r="AX257" s="12"/>
      <c r="AY257" s="12"/>
      <c r="AZ257" s="12"/>
      <c r="BA257" s="12"/>
      <c r="BB257" s="12"/>
      <c r="BC257" s="12"/>
      <c r="BD257" s="12"/>
      <c r="BE257" s="12"/>
      <c r="BF257" s="12"/>
      <c r="BG257" s="12"/>
      <c r="BH257" s="12"/>
      <c r="BI257" s="12"/>
      <c r="BJ257" s="12"/>
      <c r="BK257" s="12"/>
      <c r="BL257" s="12"/>
      <c r="BM257" s="12"/>
      <c r="BN257" s="12"/>
      <c r="BO257" s="12"/>
      <c r="BP257" s="12"/>
      <c r="BQ257" s="12"/>
      <c r="BR257" s="12"/>
      <c r="BS257" s="12"/>
      <c r="BT257" s="12"/>
      <c r="BU257" s="12"/>
      <c r="BV257" s="12"/>
      <c r="BW257" s="12"/>
      <c r="BX257" s="12"/>
      <c r="BY257" s="12"/>
      <c r="BZ257" s="12"/>
      <c r="CA257" s="12"/>
      <c r="CB257" s="12"/>
      <c r="CC257" s="12"/>
      <c r="CD257" s="12"/>
      <c r="CE257" s="12"/>
      <c r="CF257" s="12"/>
      <c r="CG257" s="12"/>
      <c r="CH257" s="12"/>
      <c r="CI257" s="12"/>
      <c r="CJ257" s="12"/>
      <c r="CK257" s="12"/>
      <c r="CL257" s="12"/>
      <c r="CM257" s="12"/>
      <c r="CN257" s="12"/>
      <c r="CO257" s="12"/>
      <c r="CP257" s="12"/>
      <c r="CQ257" s="12"/>
      <c r="CR257" s="12"/>
      <c r="CS257" s="12"/>
      <c r="CT257" s="12"/>
      <c r="CU257" s="12"/>
      <c r="CV257" s="12"/>
      <c r="CW257" s="12"/>
      <c r="CX257" s="12"/>
      <c r="CY257" s="12"/>
      <c r="CZ257" s="12"/>
      <c r="DA257" s="12"/>
      <c r="DB257" s="12"/>
      <c r="DC257" s="12"/>
      <c r="DD257" s="12"/>
      <c r="DE257" s="12"/>
      <c r="DF257" s="12"/>
      <c r="DG257" s="12"/>
      <c r="DH257" s="12"/>
      <c r="DI257" s="12"/>
      <c r="DJ257" s="12"/>
      <c r="DK257" s="12"/>
      <c r="DL257" s="12"/>
      <c r="DM257" s="12"/>
      <c r="DN257" s="12"/>
      <c r="DO257" s="12"/>
      <c r="DP257" s="12"/>
      <c r="DQ257" s="12"/>
      <c r="DR257" s="12"/>
      <c r="DS257" s="12"/>
      <c r="DT257" s="12"/>
      <c r="DU257" s="12"/>
      <c r="DV257" s="12"/>
      <c r="DW257" s="12"/>
      <c r="DX257" s="12"/>
      <c r="DY257" s="12"/>
      <c r="DZ257" s="12"/>
      <c r="EA257" s="12"/>
      <c r="EB257" s="12"/>
      <c r="EC257" s="12"/>
      <c r="ED257" s="12"/>
      <c r="EE257" s="12"/>
      <c r="EF257" s="12"/>
      <c r="EG257" s="12"/>
      <c r="EH257" s="12"/>
      <c r="EI257" s="12"/>
      <c r="EJ257" s="12"/>
      <c r="EK257" s="12"/>
      <c r="EL257" s="12"/>
      <c r="EM257" s="12"/>
      <c r="EN257" s="12"/>
      <c r="EO257" s="12"/>
      <c r="EP257" s="12"/>
      <c r="EQ257" s="12"/>
      <c r="ER257" s="12"/>
      <c r="ES257" s="12"/>
      <c r="ET257" s="12"/>
      <c r="EU257" s="12"/>
      <c r="EV257" s="12"/>
      <c r="EW257" s="12"/>
      <c r="EX257" s="12"/>
      <c r="EY257" s="12"/>
      <c r="EZ257" s="12"/>
      <c r="FA257" s="12"/>
      <c r="FB257" s="12"/>
      <c r="FC257" s="12"/>
      <c r="FD257" s="12"/>
      <c r="FE257" s="12"/>
      <c r="FF257" s="12"/>
      <c r="FG257" s="12"/>
      <c r="FH257" s="12"/>
      <c r="FI257" s="12"/>
      <c r="FJ257" s="12"/>
      <c r="FK257" s="12"/>
      <c r="FL257" s="12"/>
      <c r="FM257" s="12"/>
      <c r="FN257" s="12"/>
      <c r="FO257" s="12"/>
      <c r="FP257" s="12"/>
      <c r="FQ257" s="12"/>
      <c r="FR257" s="12"/>
      <c r="FS257" s="12"/>
      <c r="FT257" s="12"/>
      <c r="FU257" s="12"/>
      <c r="FV257" s="12"/>
      <c r="FW257" s="12"/>
      <c r="FX257" s="12"/>
      <c r="FY257" s="12"/>
      <c r="FZ257" s="12"/>
      <c r="GA257" s="12"/>
      <c r="GB257" s="12"/>
      <c r="GC257" s="12"/>
      <c r="GD257" s="12"/>
      <c r="GE257" s="12"/>
      <c r="GF257" s="12"/>
      <c r="GG257" s="12"/>
      <c r="GH257" s="12"/>
      <c r="GI257" s="12"/>
      <c r="GJ257" s="12"/>
      <c r="GK257" s="12"/>
      <c r="GL257" s="12"/>
      <c r="GM257" s="12"/>
      <c r="GN257" s="12"/>
      <c r="GO257" s="12"/>
      <c r="GP257" s="12"/>
      <c r="GQ257" s="12"/>
      <c r="GR257" s="12"/>
      <c r="GS257" s="12"/>
      <c r="GT257" s="12"/>
      <c r="GU257" s="12"/>
      <c r="GV257" s="12"/>
      <c r="GW257" s="12"/>
      <c r="GX257" s="12"/>
      <c r="GY257" s="12"/>
      <c r="GZ257" s="12"/>
      <c r="HA257" s="12"/>
      <c r="HB257" s="12"/>
      <c r="HC257" s="12"/>
      <c r="HD257" s="12"/>
      <c r="HE257" s="12"/>
      <c r="HF257" s="12"/>
      <c r="HG257" s="12"/>
      <c r="HH257" s="12"/>
      <c r="HI257" s="12"/>
      <c r="HJ257" s="12"/>
      <c r="HK257" s="12"/>
      <c r="HL257" s="12"/>
      <c r="HM257" s="12"/>
      <c r="HN257" s="12"/>
      <c r="HO257" s="12"/>
      <c r="HP257" s="12"/>
      <c r="HQ257" s="12"/>
      <c r="HR257" s="12"/>
      <c r="HS257" s="12"/>
      <c r="HT257" s="12"/>
      <c r="HU257" s="12"/>
      <c r="HV257" s="12"/>
      <c r="HW257" s="12"/>
      <c r="HX257" s="12"/>
      <c r="HY257" s="12"/>
      <c r="HZ257" s="12"/>
      <c r="IA257" s="12"/>
      <c r="IB257" s="12"/>
      <c r="IC257" s="12"/>
      <c r="ID257" s="12"/>
      <c r="IE257" s="12"/>
      <c r="IF257" s="12"/>
      <c r="IG257" s="12"/>
      <c r="IH257" s="12"/>
      <c r="II257" s="12"/>
      <c r="IJ257" s="12"/>
      <c r="IK257" s="12"/>
      <c r="IL257" s="12"/>
      <c r="IM257" s="12"/>
      <c r="IN257" s="12"/>
      <c r="IO257" s="12"/>
      <c r="IP257" s="12"/>
      <c r="IQ257" s="12"/>
      <c r="IR257" s="12"/>
      <c r="IS257" s="12"/>
      <c r="IT257" s="12"/>
      <c r="IU257" s="12"/>
      <c r="IV257" s="12"/>
      <c r="IW257" s="12"/>
    </row>
    <row r="258" customFormat="false" ht="11.25" hidden="false" customHeight="false" outlineLevel="0" collapsed="false">
      <c r="A258" s="25" t="n">
        <f aca="false">DATE(YEAR(A257),MONTH(A257)+1,1)</f>
        <v>53571</v>
      </c>
      <c r="B258" s="21" t="n">
        <v>3.689</v>
      </c>
      <c r="C258" s="21" t="n">
        <v>3.789</v>
      </c>
      <c r="D258" s="25" t="n">
        <f aca="false">DATE(YEAR(D257),MONTH(D257)+1,1)</f>
        <v>53571</v>
      </c>
      <c r="E258" s="21" t="n">
        <v>0</v>
      </c>
      <c r="F258" s="21" t="n">
        <v>0</v>
      </c>
      <c r="G258" s="6"/>
      <c r="H258" s="22" t="n">
        <f aca="false">A258</f>
        <v>53571</v>
      </c>
      <c r="I258" s="23" t="n">
        <f aca="false">IF($J$1="bid",B258,C258)</f>
        <v>3.789</v>
      </c>
      <c r="J258" s="22"/>
      <c r="K258" s="23"/>
      <c r="L258" s="11"/>
      <c r="M258" s="11"/>
      <c r="N258" s="11"/>
      <c r="O258" s="11"/>
      <c r="P258" s="11"/>
      <c r="Q258" s="11"/>
      <c r="R258" s="11"/>
      <c r="S258" s="11"/>
      <c r="T258" s="11"/>
      <c r="U258" s="11"/>
      <c r="V258" s="11"/>
      <c r="W258" s="11"/>
      <c r="X258" s="11"/>
      <c r="Y258" s="11"/>
      <c r="Z258" s="11"/>
      <c r="AA258" s="11"/>
      <c r="AB258" s="11"/>
      <c r="AC258" s="11"/>
      <c r="AD258" s="11"/>
      <c r="AE258" s="11"/>
      <c r="AF258" s="11"/>
      <c r="AG258" s="11"/>
      <c r="AH258" s="11"/>
      <c r="AI258" s="11"/>
      <c r="AJ258" s="11"/>
      <c r="AK258" s="11"/>
      <c r="AL258" s="11"/>
      <c r="AM258" s="11"/>
      <c r="AN258" s="11"/>
      <c r="AO258" s="11"/>
      <c r="AP258" s="11"/>
      <c r="AQ258" s="11"/>
      <c r="AR258" s="5"/>
      <c r="AS258" s="12"/>
      <c r="AT258" s="12"/>
      <c r="AU258" s="12"/>
      <c r="AV258" s="12"/>
      <c r="AW258" s="12"/>
      <c r="AX258" s="12"/>
      <c r="AY258" s="12"/>
      <c r="AZ258" s="12"/>
      <c r="BA258" s="12"/>
      <c r="BB258" s="12"/>
      <c r="BC258" s="12"/>
      <c r="BD258" s="12"/>
      <c r="BE258" s="12"/>
      <c r="BF258" s="12"/>
      <c r="BG258" s="12"/>
      <c r="BH258" s="12"/>
      <c r="BI258" s="12"/>
      <c r="BJ258" s="12"/>
      <c r="BK258" s="12"/>
      <c r="BL258" s="12"/>
      <c r="BM258" s="12"/>
      <c r="BN258" s="12"/>
      <c r="BO258" s="12"/>
      <c r="BP258" s="12"/>
      <c r="BQ258" s="12"/>
      <c r="BR258" s="12"/>
      <c r="BS258" s="12"/>
      <c r="BT258" s="12"/>
      <c r="BU258" s="12"/>
      <c r="BV258" s="12"/>
      <c r="BW258" s="12"/>
      <c r="BX258" s="12"/>
      <c r="BY258" s="12"/>
      <c r="BZ258" s="12"/>
      <c r="CA258" s="12"/>
      <c r="CB258" s="12"/>
      <c r="CC258" s="12"/>
      <c r="CD258" s="12"/>
      <c r="CE258" s="12"/>
      <c r="CF258" s="12"/>
      <c r="CG258" s="12"/>
      <c r="CH258" s="12"/>
      <c r="CI258" s="12"/>
      <c r="CJ258" s="12"/>
      <c r="CK258" s="12"/>
      <c r="CL258" s="12"/>
      <c r="CM258" s="12"/>
      <c r="CN258" s="12"/>
      <c r="CO258" s="12"/>
      <c r="CP258" s="12"/>
      <c r="CQ258" s="12"/>
      <c r="CR258" s="12"/>
      <c r="CS258" s="12"/>
      <c r="CT258" s="12"/>
      <c r="CU258" s="12"/>
      <c r="CV258" s="12"/>
      <c r="CW258" s="12"/>
      <c r="CX258" s="12"/>
      <c r="CY258" s="12"/>
      <c r="CZ258" s="12"/>
      <c r="DA258" s="12"/>
      <c r="DB258" s="12"/>
      <c r="DC258" s="12"/>
      <c r="DD258" s="12"/>
      <c r="DE258" s="12"/>
      <c r="DF258" s="12"/>
      <c r="DG258" s="12"/>
      <c r="DH258" s="12"/>
      <c r="DI258" s="12"/>
      <c r="DJ258" s="12"/>
      <c r="DK258" s="12"/>
      <c r="DL258" s="12"/>
      <c r="DM258" s="12"/>
      <c r="DN258" s="12"/>
      <c r="DO258" s="12"/>
      <c r="DP258" s="12"/>
      <c r="DQ258" s="12"/>
      <c r="DR258" s="12"/>
      <c r="DS258" s="12"/>
      <c r="DT258" s="12"/>
      <c r="DU258" s="12"/>
      <c r="DV258" s="12"/>
      <c r="DW258" s="12"/>
      <c r="DX258" s="12"/>
      <c r="DY258" s="12"/>
      <c r="DZ258" s="12"/>
      <c r="EA258" s="12"/>
      <c r="EB258" s="12"/>
      <c r="EC258" s="12"/>
      <c r="ED258" s="12"/>
      <c r="EE258" s="12"/>
      <c r="EF258" s="12"/>
      <c r="EG258" s="12"/>
      <c r="EH258" s="12"/>
      <c r="EI258" s="12"/>
      <c r="EJ258" s="12"/>
      <c r="EK258" s="12"/>
      <c r="EL258" s="12"/>
      <c r="EM258" s="12"/>
      <c r="EN258" s="12"/>
      <c r="EO258" s="12"/>
      <c r="EP258" s="12"/>
      <c r="EQ258" s="12"/>
      <c r="ER258" s="12"/>
      <c r="ES258" s="12"/>
      <c r="ET258" s="12"/>
      <c r="EU258" s="12"/>
      <c r="EV258" s="12"/>
      <c r="EW258" s="12"/>
      <c r="EX258" s="12"/>
      <c r="EY258" s="12"/>
      <c r="EZ258" s="12"/>
      <c r="FA258" s="12"/>
      <c r="FB258" s="12"/>
      <c r="FC258" s="12"/>
      <c r="FD258" s="12"/>
      <c r="FE258" s="12"/>
      <c r="FF258" s="12"/>
      <c r="FG258" s="12"/>
      <c r="FH258" s="12"/>
      <c r="FI258" s="12"/>
      <c r="FJ258" s="12"/>
      <c r="FK258" s="12"/>
      <c r="FL258" s="12"/>
      <c r="FM258" s="12"/>
      <c r="FN258" s="12"/>
      <c r="FO258" s="12"/>
      <c r="FP258" s="12"/>
      <c r="FQ258" s="12"/>
      <c r="FR258" s="12"/>
      <c r="FS258" s="12"/>
      <c r="FT258" s="12"/>
      <c r="FU258" s="12"/>
      <c r="FV258" s="12"/>
      <c r="FW258" s="12"/>
      <c r="FX258" s="12"/>
      <c r="FY258" s="12"/>
      <c r="FZ258" s="12"/>
      <c r="GA258" s="12"/>
      <c r="GB258" s="12"/>
      <c r="GC258" s="12"/>
      <c r="GD258" s="12"/>
      <c r="GE258" s="12"/>
      <c r="GF258" s="12"/>
      <c r="GG258" s="12"/>
      <c r="GH258" s="12"/>
      <c r="GI258" s="12"/>
      <c r="GJ258" s="12"/>
      <c r="GK258" s="12"/>
      <c r="GL258" s="12"/>
      <c r="GM258" s="12"/>
      <c r="GN258" s="12"/>
      <c r="GO258" s="12"/>
      <c r="GP258" s="12"/>
      <c r="GQ258" s="12"/>
      <c r="GR258" s="12"/>
      <c r="GS258" s="12"/>
      <c r="GT258" s="12"/>
      <c r="GU258" s="12"/>
      <c r="GV258" s="12"/>
      <c r="GW258" s="12"/>
      <c r="GX258" s="12"/>
      <c r="GY258" s="12"/>
      <c r="GZ258" s="12"/>
      <c r="HA258" s="12"/>
      <c r="HB258" s="12"/>
      <c r="HC258" s="12"/>
      <c r="HD258" s="12"/>
      <c r="HE258" s="12"/>
      <c r="HF258" s="12"/>
      <c r="HG258" s="12"/>
      <c r="HH258" s="12"/>
      <c r="HI258" s="12"/>
      <c r="HJ258" s="12"/>
      <c r="HK258" s="12"/>
      <c r="HL258" s="12"/>
      <c r="HM258" s="12"/>
      <c r="HN258" s="12"/>
      <c r="HO258" s="12"/>
      <c r="HP258" s="12"/>
      <c r="HQ258" s="12"/>
      <c r="HR258" s="12"/>
      <c r="HS258" s="12"/>
      <c r="HT258" s="12"/>
      <c r="HU258" s="12"/>
      <c r="HV258" s="12"/>
      <c r="HW258" s="12"/>
      <c r="HX258" s="12"/>
      <c r="HY258" s="12"/>
      <c r="HZ258" s="12"/>
      <c r="IA258" s="12"/>
      <c r="IB258" s="12"/>
      <c r="IC258" s="12"/>
      <c r="ID258" s="12"/>
      <c r="IE258" s="12"/>
      <c r="IF258" s="12"/>
      <c r="IG258" s="12"/>
      <c r="IH258" s="12"/>
      <c r="II258" s="12"/>
      <c r="IJ258" s="12"/>
      <c r="IK258" s="12"/>
      <c r="IL258" s="12"/>
      <c r="IM258" s="12"/>
      <c r="IN258" s="12"/>
      <c r="IO258" s="12"/>
      <c r="IP258" s="12"/>
      <c r="IQ258" s="12"/>
      <c r="IR258" s="12"/>
      <c r="IS258" s="12"/>
      <c r="IT258" s="12"/>
      <c r="IU258" s="12"/>
      <c r="IV258" s="12"/>
      <c r="IW258" s="12"/>
    </row>
    <row r="259" customFormat="false" ht="11.25" hidden="false" customHeight="false" outlineLevel="0" collapsed="false">
      <c r="A259" s="25" t="n">
        <f aca="false">DATE(YEAR(A258),MONTH(A258)+1,1)</f>
        <v>53601</v>
      </c>
      <c r="B259" s="21" t="n">
        <v>3.807</v>
      </c>
      <c r="C259" s="21" t="n">
        <v>3.907</v>
      </c>
      <c r="D259" s="25" t="n">
        <f aca="false">DATE(YEAR(D258),MONTH(D258)+1,1)</f>
        <v>53601</v>
      </c>
      <c r="E259" s="5"/>
      <c r="F259" s="5"/>
      <c r="G259" s="6"/>
      <c r="H259" s="22" t="n">
        <f aca="false">A259</f>
        <v>53601</v>
      </c>
      <c r="I259" s="23" t="n">
        <f aca="false">IF($J$1="bid",B259,C259)</f>
        <v>3.907</v>
      </c>
      <c r="J259" s="22"/>
      <c r="K259" s="23"/>
      <c r="L259" s="11"/>
      <c r="M259" s="11"/>
      <c r="N259" s="11"/>
      <c r="O259" s="11"/>
      <c r="P259" s="11"/>
      <c r="Q259" s="11"/>
      <c r="R259" s="11"/>
      <c r="S259" s="11"/>
      <c r="T259" s="11"/>
      <c r="U259" s="11"/>
      <c r="V259" s="11"/>
      <c r="W259" s="11"/>
      <c r="X259" s="11"/>
      <c r="Y259" s="11"/>
      <c r="Z259" s="11"/>
      <c r="AA259" s="11"/>
      <c r="AB259" s="11"/>
      <c r="AC259" s="11"/>
      <c r="AD259" s="11"/>
      <c r="AE259" s="11"/>
      <c r="AF259" s="11"/>
      <c r="AG259" s="11"/>
      <c r="AH259" s="11"/>
      <c r="AI259" s="11"/>
      <c r="AJ259" s="11"/>
      <c r="AK259" s="11"/>
      <c r="AL259" s="11"/>
      <c r="AM259" s="11"/>
      <c r="AN259" s="11"/>
      <c r="AO259" s="11"/>
      <c r="AP259" s="11"/>
      <c r="AQ259" s="11"/>
      <c r="AR259" s="5"/>
      <c r="AS259" s="12"/>
      <c r="AT259" s="12"/>
      <c r="AU259" s="12"/>
      <c r="AV259" s="12"/>
      <c r="AW259" s="12"/>
      <c r="AX259" s="12"/>
      <c r="AY259" s="12"/>
      <c r="AZ259" s="12"/>
      <c r="BA259" s="12"/>
      <c r="BB259" s="12"/>
      <c r="BC259" s="12"/>
      <c r="BD259" s="12"/>
      <c r="BE259" s="12"/>
      <c r="BF259" s="12"/>
      <c r="BG259" s="12"/>
      <c r="BH259" s="12"/>
      <c r="BI259" s="12"/>
      <c r="BJ259" s="12"/>
      <c r="BK259" s="12"/>
      <c r="BL259" s="12"/>
      <c r="BM259" s="12"/>
      <c r="BN259" s="12"/>
      <c r="BO259" s="12"/>
      <c r="BP259" s="12"/>
      <c r="BQ259" s="12"/>
      <c r="BR259" s="12"/>
      <c r="BS259" s="12"/>
      <c r="BT259" s="12"/>
      <c r="BU259" s="12"/>
      <c r="BV259" s="12"/>
      <c r="BW259" s="12"/>
      <c r="BX259" s="12"/>
      <c r="BY259" s="12"/>
      <c r="BZ259" s="12"/>
      <c r="CA259" s="12"/>
      <c r="CB259" s="12"/>
      <c r="CC259" s="12"/>
      <c r="CD259" s="12"/>
      <c r="CE259" s="12"/>
      <c r="CF259" s="12"/>
      <c r="CG259" s="12"/>
      <c r="CH259" s="12"/>
      <c r="CI259" s="12"/>
      <c r="CJ259" s="12"/>
      <c r="CK259" s="12"/>
      <c r="CL259" s="12"/>
      <c r="CM259" s="12"/>
      <c r="CN259" s="12"/>
      <c r="CO259" s="12"/>
      <c r="CP259" s="12"/>
      <c r="CQ259" s="12"/>
      <c r="CR259" s="12"/>
      <c r="CS259" s="12"/>
      <c r="CT259" s="12"/>
      <c r="CU259" s="12"/>
      <c r="CV259" s="12"/>
      <c r="CW259" s="12"/>
      <c r="CX259" s="12"/>
      <c r="CY259" s="12"/>
      <c r="CZ259" s="12"/>
      <c r="DA259" s="12"/>
      <c r="DB259" s="12"/>
      <c r="DC259" s="12"/>
      <c r="DD259" s="12"/>
      <c r="DE259" s="12"/>
      <c r="DF259" s="12"/>
      <c r="DG259" s="12"/>
      <c r="DH259" s="12"/>
      <c r="DI259" s="12"/>
      <c r="DJ259" s="12"/>
      <c r="DK259" s="12"/>
      <c r="DL259" s="12"/>
      <c r="DM259" s="12"/>
      <c r="DN259" s="12"/>
      <c r="DO259" s="12"/>
      <c r="DP259" s="12"/>
      <c r="DQ259" s="12"/>
      <c r="DR259" s="12"/>
      <c r="DS259" s="12"/>
      <c r="DT259" s="12"/>
      <c r="DU259" s="12"/>
      <c r="DV259" s="12"/>
      <c r="DW259" s="12"/>
      <c r="DX259" s="12"/>
      <c r="DY259" s="12"/>
      <c r="DZ259" s="12"/>
      <c r="EA259" s="12"/>
      <c r="EB259" s="12"/>
      <c r="EC259" s="12"/>
      <c r="ED259" s="12"/>
      <c r="EE259" s="12"/>
      <c r="EF259" s="12"/>
      <c r="EG259" s="12"/>
      <c r="EH259" s="12"/>
      <c r="EI259" s="12"/>
      <c r="EJ259" s="12"/>
      <c r="EK259" s="12"/>
      <c r="EL259" s="12"/>
      <c r="EM259" s="12"/>
      <c r="EN259" s="12"/>
      <c r="EO259" s="12"/>
      <c r="EP259" s="12"/>
      <c r="EQ259" s="12"/>
      <c r="ER259" s="12"/>
      <c r="ES259" s="12"/>
      <c r="ET259" s="12"/>
      <c r="EU259" s="12"/>
      <c r="EV259" s="12"/>
      <c r="EW259" s="12"/>
      <c r="EX259" s="12"/>
      <c r="EY259" s="12"/>
      <c r="EZ259" s="12"/>
      <c r="FA259" s="12"/>
      <c r="FB259" s="12"/>
      <c r="FC259" s="12"/>
      <c r="FD259" s="12"/>
      <c r="FE259" s="12"/>
      <c r="FF259" s="12"/>
      <c r="FG259" s="12"/>
      <c r="FH259" s="12"/>
      <c r="FI259" s="12"/>
      <c r="FJ259" s="12"/>
      <c r="FK259" s="12"/>
      <c r="FL259" s="12"/>
      <c r="FM259" s="12"/>
      <c r="FN259" s="12"/>
      <c r="FO259" s="12"/>
      <c r="FP259" s="12"/>
      <c r="FQ259" s="12"/>
      <c r="FR259" s="12"/>
      <c r="FS259" s="12"/>
      <c r="FT259" s="12"/>
      <c r="FU259" s="12"/>
      <c r="FV259" s="12"/>
      <c r="FW259" s="12"/>
      <c r="FX259" s="12"/>
      <c r="FY259" s="12"/>
      <c r="FZ259" s="12"/>
      <c r="GA259" s="12"/>
      <c r="GB259" s="12"/>
      <c r="GC259" s="12"/>
      <c r="GD259" s="12"/>
      <c r="GE259" s="12"/>
      <c r="GF259" s="12"/>
      <c r="GG259" s="12"/>
      <c r="GH259" s="12"/>
      <c r="GI259" s="12"/>
      <c r="GJ259" s="12"/>
      <c r="GK259" s="12"/>
      <c r="GL259" s="12"/>
      <c r="GM259" s="12"/>
      <c r="GN259" s="12"/>
      <c r="GO259" s="12"/>
      <c r="GP259" s="12"/>
      <c r="GQ259" s="12"/>
      <c r="GR259" s="12"/>
      <c r="GS259" s="12"/>
      <c r="GT259" s="12"/>
      <c r="GU259" s="12"/>
      <c r="GV259" s="12"/>
      <c r="GW259" s="12"/>
      <c r="GX259" s="12"/>
      <c r="GY259" s="12"/>
      <c r="GZ259" s="12"/>
      <c r="HA259" s="12"/>
      <c r="HB259" s="12"/>
      <c r="HC259" s="12"/>
      <c r="HD259" s="12"/>
      <c r="HE259" s="12"/>
      <c r="HF259" s="12"/>
      <c r="HG259" s="12"/>
      <c r="HH259" s="12"/>
      <c r="HI259" s="12"/>
      <c r="HJ259" s="12"/>
      <c r="HK259" s="12"/>
      <c r="HL259" s="12"/>
      <c r="HM259" s="12"/>
      <c r="HN259" s="12"/>
      <c r="HO259" s="12"/>
      <c r="HP259" s="12"/>
      <c r="HQ259" s="12"/>
      <c r="HR259" s="12"/>
      <c r="HS259" s="12"/>
      <c r="HT259" s="12"/>
      <c r="HU259" s="12"/>
      <c r="HV259" s="12"/>
      <c r="HW259" s="12"/>
      <c r="HX259" s="12"/>
      <c r="HY259" s="12"/>
      <c r="HZ259" s="12"/>
      <c r="IA259" s="12"/>
      <c r="IB259" s="12"/>
      <c r="IC259" s="12"/>
      <c r="ID259" s="12"/>
      <c r="IE259" s="12"/>
      <c r="IF259" s="12"/>
      <c r="IG259" s="12"/>
      <c r="IH259" s="12"/>
      <c r="II259" s="12"/>
      <c r="IJ259" s="12"/>
      <c r="IK259" s="12"/>
      <c r="IL259" s="12"/>
      <c r="IM259" s="12"/>
      <c r="IN259" s="12"/>
      <c r="IO259" s="12"/>
      <c r="IP259" s="12"/>
      <c r="IQ259" s="12"/>
      <c r="IR259" s="12"/>
      <c r="IS259" s="12"/>
      <c r="IT259" s="12"/>
      <c r="IU259" s="12"/>
      <c r="IV259" s="12"/>
      <c r="IW259" s="12"/>
    </row>
    <row r="260" customFormat="false" ht="11.25" hidden="false" customHeight="false" outlineLevel="0" collapsed="false">
      <c r="A260" s="25" t="n">
        <f aca="false">DATE(YEAR(A259),MONTH(A259)+1,1)</f>
        <v>53632</v>
      </c>
      <c r="B260" s="21" t="n">
        <v>3.978</v>
      </c>
      <c r="C260" s="21" t="n">
        <v>4.078</v>
      </c>
      <c r="D260" s="25" t="n">
        <f aca="false">DATE(YEAR(D259),MONTH(D259)+1,1)</f>
        <v>53632</v>
      </c>
      <c r="E260" s="5"/>
      <c r="F260" s="5"/>
      <c r="G260" s="6"/>
      <c r="H260" s="22" t="n">
        <f aca="false">A260</f>
        <v>53632</v>
      </c>
      <c r="I260" s="23" t="n">
        <f aca="false">IF($J$1="bid",B260,C260)</f>
        <v>4.078</v>
      </c>
      <c r="J260" s="22"/>
      <c r="K260" s="23"/>
      <c r="L260" s="11"/>
      <c r="M260" s="11"/>
      <c r="N260" s="11"/>
      <c r="O260" s="11"/>
      <c r="P260" s="11"/>
      <c r="Q260" s="11"/>
      <c r="R260" s="11"/>
      <c r="S260" s="11"/>
      <c r="T260" s="11"/>
      <c r="U260" s="11"/>
      <c r="V260" s="11"/>
      <c r="W260" s="11"/>
      <c r="X260" s="11"/>
      <c r="Y260" s="11"/>
      <c r="Z260" s="11"/>
      <c r="AA260" s="11"/>
      <c r="AB260" s="11"/>
      <c r="AC260" s="11"/>
      <c r="AD260" s="11"/>
      <c r="AE260" s="11"/>
      <c r="AF260" s="11"/>
      <c r="AG260" s="11"/>
      <c r="AH260" s="11"/>
      <c r="AI260" s="11"/>
      <c r="AJ260" s="11"/>
      <c r="AK260" s="11"/>
      <c r="AL260" s="11"/>
      <c r="AM260" s="11"/>
      <c r="AN260" s="11"/>
      <c r="AO260" s="11"/>
      <c r="AP260" s="11"/>
      <c r="AQ260" s="11"/>
      <c r="AR260" s="5"/>
      <c r="AS260" s="12"/>
      <c r="AT260" s="12"/>
      <c r="AU260" s="12"/>
      <c r="AV260" s="12"/>
      <c r="AW260" s="12"/>
      <c r="AX260" s="12"/>
      <c r="AY260" s="12"/>
      <c r="AZ260" s="12"/>
      <c r="BA260" s="12"/>
      <c r="BB260" s="12"/>
      <c r="BC260" s="12"/>
      <c r="BD260" s="12"/>
      <c r="BE260" s="12"/>
      <c r="BF260" s="12"/>
      <c r="BG260" s="12"/>
      <c r="BH260" s="12"/>
      <c r="BI260" s="12"/>
      <c r="BJ260" s="12"/>
      <c r="BK260" s="12"/>
      <c r="BL260" s="12"/>
      <c r="BM260" s="12"/>
      <c r="BN260" s="12"/>
      <c r="BO260" s="12"/>
      <c r="BP260" s="12"/>
      <c r="BQ260" s="12"/>
      <c r="BR260" s="12"/>
      <c r="BS260" s="12"/>
      <c r="BT260" s="12"/>
      <c r="BU260" s="12"/>
      <c r="BV260" s="12"/>
      <c r="BW260" s="12"/>
      <c r="BX260" s="12"/>
      <c r="BY260" s="12"/>
      <c r="BZ260" s="12"/>
      <c r="CA260" s="12"/>
      <c r="CB260" s="12"/>
      <c r="CC260" s="12"/>
      <c r="CD260" s="12"/>
      <c r="CE260" s="12"/>
      <c r="CF260" s="12"/>
      <c r="CG260" s="12"/>
      <c r="CH260" s="12"/>
      <c r="CI260" s="12"/>
      <c r="CJ260" s="12"/>
      <c r="CK260" s="12"/>
      <c r="CL260" s="12"/>
      <c r="CM260" s="12"/>
      <c r="CN260" s="12"/>
      <c r="CO260" s="12"/>
      <c r="CP260" s="12"/>
      <c r="CQ260" s="12"/>
      <c r="CR260" s="12"/>
      <c r="CS260" s="12"/>
      <c r="CT260" s="12"/>
      <c r="CU260" s="12"/>
      <c r="CV260" s="12"/>
      <c r="CW260" s="12"/>
      <c r="CX260" s="12"/>
      <c r="CY260" s="12"/>
      <c r="CZ260" s="12"/>
      <c r="DA260" s="12"/>
      <c r="DB260" s="12"/>
      <c r="DC260" s="12"/>
      <c r="DD260" s="12"/>
      <c r="DE260" s="12"/>
      <c r="DF260" s="12"/>
      <c r="DG260" s="12"/>
      <c r="DH260" s="12"/>
      <c r="DI260" s="12"/>
      <c r="DJ260" s="12"/>
      <c r="DK260" s="12"/>
      <c r="DL260" s="12"/>
      <c r="DM260" s="12"/>
      <c r="DN260" s="12"/>
      <c r="DO260" s="12"/>
      <c r="DP260" s="12"/>
      <c r="DQ260" s="12"/>
      <c r="DR260" s="12"/>
      <c r="DS260" s="12"/>
      <c r="DT260" s="12"/>
      <c r="DU260" s="12"/>
      <c r="DV260" s="12"/>
      <c r="DW260" s="12"/>
      <c r="DX260" s="12"/>
      <c r="DY260" s="12"/>
      <c r="DZ260" s="12"/>
      <c r="EA260" s="12"/>
      <c r="EB260" s="12"/>
      <c r="EC260" s="12"/>
      <c r="ED260" s="12"/>
      <c r="EE260" s="12"/>
      <c r="EF260" s="12"/>
      <c r="EG260" s="12"/>
      <c r="EH260" s="12"/>
      <c r="EI260" s="12"/>
      <c r="EJ260" s="12"/>
      <c r="EK260" s="12"/>
      <c r="EL260" s="12"/>
      <c r="EM260" s="12"/>
      <c r="EN260" s="12"/>
      <c r="EO260" s="12"/>
      <c r="EP260" s="12"/>
      <c r="EQ260" s="12"/>
      <c r="ER260" s="12"/>
      <c r="ES260" s="12"/>
      <c r="ET260" s="12"/>
      <c r="EU260" s="12"/>
      <c r="EV260" s="12"/>
      <c r="EW260" s="12"/>
      <c r="EX260" s="12"/>
      <c r="EY260" s="12"/>
      <c r="EZ260" s="12"/>
      <c r="FA260" s="12"/>
      <c r="FB260" s="12"/>
      <c r="FC260" s="12"/>
      <c r="FD260" s="12"/>
      <c r="FE260" s="12"/>
      <c r="FF260" s="12"/>
      <c r="FG260" s="12"/>
      <c r="FH260" s="12"/>
      <c r="FI260" s="12"/>
      <c r="FJ260" s="12"/>
      <c r="FK260" s="12"/>
      <c r="FL260" s="12"/>
      <c r="FM260" s="12"/>
      <c r="FN260" s="12"/>
      <c r="FO260" s="12"/>
      <c r="FP260" s="12"/>
      <c r="FQ260" s="12"/>
      <c r="FR260" s="12"/>
      <c r="FS260" s="12"/>
      <c r="FT260" s="12"/>
      <c r="FU260" s="12"/>
      <c r="FV260" s="12"/>
      <c r="FW260" s="12"/>
      <c r="FX260" s="12"/>
      <c r="FY260" s="12"/>
      <c r="FZ260" s="12"/>
      <c r="GA260" s="12"/>
      <c r="GB260" s="12"/>
      <c r="GC260" s="12"/>
      <c r="GD260" s="12"/>
      <c r="GE260" s="12"/>
      <c r="GF260" s="12"/>
      <c r="GG260" s="12"/>
      <c r="GH260" s="12"/>
      <c r="GI260" s="12"/>
      <c r="GJ260" s="12"/>
      <c r="GK260" s="12"/>
      <c r="GL260" s="12"/>
      <c r="GM260" s="12"/>
      <c r="GN260" s="12"/>
      <c r="GO260" s="12"/>
      <c r="GP260" s="12"/>
      <c r="GQ260" s="12"/>
      <c r="GR260" s="12"/>
      <c r="GS260" s="12"/>
      <c r="GT260" s="12"/>
      <c r="GU260" s="12"/>
      <c r="GV260" s="12"/>
      <c r="GW260" s="12"/>
      <c r="GX260" s="12"/>
      <c r="GY260" s="12"/>
      <c r="GZ260" s="12"/>
      <c r="HA260" s="12"/>
      <c r="HB260" s="12"/>
      <c r="HC260" s="12"/>
      <c r="HD260" s="12"/>
      <c r="HE260" s="12"/>
      <c r="HF260" s="12"/>
      <c r="HG260" s="12"/>
      <c r="HH260" s="12"/>
      <c r="HI260" s="12"/>
      <c r="HJ260" s="12"/>
      <c r="HK260" s="12"/>
      <c r="HL260" s="12"/>
      <c r="HM260" s="12"/>
      <c r="HN260" s="12"/>
      <c r="HO260" s="12"/>
      <c r="HP260" s="12"/>
      <c r="HQ260" s="12"/>
      <c r="HR260" s="12"/>
      <c r="HS260" s="12"/>
      <c r="HT260" s="12"/>
      <c r="HU260" s="12"/>
      <c r="HV260" s="12"/>
      <c r="HW260" s="12"/>
      <c r="HX260" s="12"/>
      <c r="HY260" s="12"/>
      <c r="HZ260" s="12"/>
      <c r="IA260" s="12"/>
      <c r="IB260" s="12"/>
      <c r="IC260" s="12"/>
      <c r="ID260" s="12"/>
      <c r="IE260" s="12"/>
      <c r="IF260" s="12"/>
      <c r="IG260" s="12"/>
      <c r="IH260" s="12"/>
      <c r="II260" s="12"/>
      <c r="IJ260" s="12"/>
      <c r="IK260" s="12"/>
      <c r="IL260" s="12"/>
      <c r="IM260" s="12"/>
      <c r="IN260" s="12"/>
      <c r="IO260" s="12"/>
      <c r="IP260" s="12"/>
      <c r="IQ260" s="12"/>
      <c r="IR260" s="12"/>
      <c r="IS260" s="12"/>
      <c r="IT260" s="12"/>
      <c r="IU260" s="12"/>
      <c r="IV260" s="12"/>
      <c r="IW260" s="12"/>
    </row>
    <row r="261" customFormat="false" ht="11.25" hidden="false" customHeight="false" outlineLevel="0" collapsed="false">
      <c r="A261" s="25" t="n">
        <f aca="false">DATE(YEAR(A260),MONTH(A260)+1,1)</f>
        <v>53662</v>
      </c>
      <c r="B261" s="21" t="n">
        <v>3.893</v>
      </c>
      <c r="C261" s="21" t="n">
        <v>3.993</v>
      </c>
      <c r="D261" s="25" t="n">
        <f aca="false">DATE(YEAR(D260),MONTH(D260)+1,1)</f>
        <v>53662</v>
      </c>
      <c r="E261" s="5"/>
      <c r="F261" s="5"/>
      <c r="G261" s="6"/>
      <c r="H261" s="22" t="n">
        <f aca="false">A261</f>
        <v>53662</v>
      </c>
      <c r="I261" s="23" t="n">
        <f aca="false">IF($J$1="bid",B261,C261)</f>
        <v>3.993</v>
      </c>
      <c r="J261" s="22"/>
      <c r="K261" s="23"/>
      <c r="L261" s="11"/>
      <c r="M261" s="11"/>
      <c r="N261" s="11"/>
      <c r="O261" s="11"/>
      <c r="P261" s="11"/>
      <c r="Q261" s="11"/>
      <c r="R261" s="11"/>
      <c r="S261" s="11"/>
      <c r="T261" s="11"/>
      <c r="U261" s="11"/>
      <c r="V261" s="11"/>
      <c r="W261" s="11"/>
      <c r="X261" s="11"/>
      <c r="Y261" s="11"/>
      <c r="Z261" s="11"/>
      <c r="AA261" s="11"/>
      <c r="AB261" s="11"/>
      <c r="AC261" s="11"/>
      <c r="AD261" s="11"/>
      <c r="AE261" s="11"/>
      <c r="AF261" s="11"/>
      <c r="AG261" s="11"/>
      <c r="AH261" s="11"/>
      <c r="AI261" s="11"/>
      <c r="AJ261" s="11"/>
      <c r="AK261" s="11"/>
      <c r="AL261" s="11"/>
      <c r="AM261" s="11"/>
      <c r="AN261" s="11"/>
      <c r="AO261" s="11"/>
      <c r="AP261" s="11"/>
      <c r="AQ261" s="11"/>
      <c r="AR261" s="5"/>
      <c r="AS261" s="12"/>
      <c r="AT261" s="12"/>
      <c r="AU261" s="12"/>
      <c r="AV261" s="12"/>
      <c r="AW261" s="12"/>
      <c r="AX261" s="12"/>
      <c r="AY261" s="12"/>
      <c r="AZ261" s="12"/>
      <c r="BA261" s="12"/>
      <c r="BB261" s="12"/>
      <c r="BC261" s="12"/>
      <c r="BD261" s="12"/>
      <c r="BE261" s="12"/>
      <c r="BF261" s="12"/>
      <c r="BG261" s="12"/>
      <c r="BH261" s="12"/>
      <c r="BI261" s="12"/>
      <c r="BJ261" s="12"/>
      <c r="BK261" s="12"/>
      <c r="BL261" s="12"/>
      <c r="BM261" s="12"/>
      <c r="BN261" s="12"/>
      <c r="BO261" s="12"/>
      <c r="BP261" s="12"/>
      <c r="BQ261" s="12"/>
      <c r="BR261" s="12"/>
      <c r="BS261" s="12"/>
      <c r="BT261" s="12"/>
      <c r="BU261" s="12"/>
      <c r="BV261" s="12"/>
      <c r="BW261" s="12"/>
      <c r="BX261" s="12"/>
      <c r="BY261" s="12"/>
      <c r="BZ261" s="12"/>
      <c r="CA261" s="12"/>
      <c r="CB261" s="12"/>
      <c r="CC261" s="12"/>
      <c r="CD261" s="12"/>
      <c r="CE261" s="12"/>
      <c r="CF261" s="12"/>
      <c r="CG261" s="12"/>
      <c r="CH261" s="12"/>
      <c r="CI261" s="12"/>
      <c r="CJ261" s="12"/>
      <c r="CK261" s="12"/>
      <c r="CL261" s="12"/>
      <c r="CM261" s="12"/>
      <c r="CN261" s="12"/>
      <c r="CO261" s="12"/>
      <c r="CP261" s="12"/>
      <c r="CQ261" s="12"/>
      <c r="CR261" s="12"/>
      <c r="CS261" s="12"/>
      <c r="CT261" s="12"/>
      <c r="CU261" s="12"/>
      <c r="CV261" s="12"/>
      <c r="CW261" s="12"/>
      <c r="CX261" s="12"/>
      <c r="CY261" s="12"/>
      <c r="CZ261" s="12"/>
      <c r="DA261" s="12"/>
      <c r="DB261" s="12"/>
      <c r="DC261" s="12"/>
      <c r="DD261" s="12"/>
      <c r="DE261" s="12"/>
      <c r="DF261" s="12"/>
      <c r="DG261" s="12"/>
      <c r="DH261" s="12"/>
      <c r="DI261" s="12"/>
      <c r="DJ261" s="12"/>
      <c r="DK261" s="12"/>
      <c r="DL261" s="12"/>
      <c r="DM261" s="12"/>
      <c r="DN261" s="12"/>
      <c r="DO261" s="12"/>
      <c r="DP261" s="12"/>
      <c r="DQ261" s="12"/>
      <c r="DR261" s="12"/>
      <c r="DS261" s="12"/>
      <c r="DT261" s="12"/>
      <c r="DU261" s="12"/>
      <c r="DV261" s="12"/>
      <c r="DW261" s="12"/>
      <c r="DX261" s="12"/>
      <c r="DY261" s="12"/>
      <c r="DZ261" s="12"/>
      <c r="EA261" s="12"/>
      <c r="EB261" s="12"/>
      <c r="EC261" s="12"/>
      <c r="ED261" s="12"/>
      <c r="EE261" s="12"/>
      <c r="EF261" s="12"/>
      <c r="EG261" s="12"/>
      <c r="EH261" s="12"/>
      <c r="EI261" s="12"/>
      <c r="EJ261" s="12"/>
      <c r="EK261" s="12"/>
      <c r="EL261" s="12"/>
      <c r="EM261" s="12"/>
      <c r="EN261" s="12"/>
      <c r="EO261" s="12"/>
      <c r="EP261" s="12"/>
      <c r="EQ261" s="12"/>
      <c r="ER261" s="12"/>
      <c r="ES261" s="12"/>
      <c r="ET261" s="12"/>
      <c r="EU261" s="12"/>
      <c r="EV261" s="12"/>
      <c r="EW261" s="12"/>
      <c r="EX261" s="12"/>
      <c r="EY261" s="12"/>
      <c r="EZ261" s="12"/>
      <c r="FA261" s="12"/>
      <c r="FB261" s="12"/>
      <c r="FC261" s="12"/>
      <c r="FD261" s="12"/>
      <c r="FE261" s="12"/>
      <c r="FF261" s="12"/>
      <c r="FG261" s="12"/>
      <c r="FH261" s="12"/>
      <c r="FI261" s="12"/>
      <c r="FJ261" s="12"/>
      <c r="FK261" s="12"/>
      <c r="FL261" s="12"/>
      <c r="FM261" s="12"/>
      <c r="FN261" s="12"/>
      <c r="FO261" s="12"/>
      <c r="FP261" s="12"/>
      <c r="FQ261" s="12"/>
      <c r="FR261" s="12"/>
      <c r="FS261" s="12"/>
      <c r="FT261" s="12"/>
      <c r="FU261" s="12"/>
      <c r="FV261" s="12"/>
      <c r="FW261" s="12"/>
      <c r="FX261" s="12"/>
      <c r="FY261" s="12"/>
      <c r="FZ261" s="12"/>
      <c r="GA261" s="12"/>
      <c r="GB261" s="12"/>
      <c r="GC261" s="12"/>
      <c r="GD261" s="12"/>
      <c r="GE261" s="12"/>
      <c r="GF261" s="12"/>
      <c r="GG261" s="12"/>
      <c r="GH261" s="12"/>
      <c r="GI261" s="12"/>
      <c r="GJ261" s="12"/>
      <c r="GK261" s="12"/>
      <c r="GL261" s="12"/>
      <c r="GM261" s="12"/>
      <c r="GN261" s="12"/>
      <c r="GO261" s="12"/>
      <c r="GP261" s="12"/>
      <c r="GQ261" s="12"/>
      <c r="GR261" s="12"/>
      <c r="GS261" s="12"/>
      <c r="GT261" s="12"/>
      <c r="GU261" s="12"/>
      <c r="GV261" s="12"/>
      <c r="GW261" s="12"/>
      <c r="GX261" s="12"/>
      <c r="GY261" s="12"/>
      <c r="GZ261" s="12"/>
      <c r="HA261" s="12"/>
      <c r="HB261" s="12"/>
      <c r="HC261" s="12"/>
      <c r="HD261" s="12"/>
      <c r="HE261" s="12"/>
      <c r="HF261" s="12"/>
      <c r="HG261" s="12"/>
      <c r="HH261" s="12"/>
      <c r="HI261" s="12"/>
      <c r="HJ261" s="12"/>
      <c r="HK261" s="12"/>
      <c r="HL261" s="12"/>
      <c r="HM261" s="12"/>
      <c r="HN261" s="12"/>
      <c r="HO261" s="12"/>
      <c r="HP261" s="12"/>
      <c r="HQ261" s="12"/>
      <c r="HR261" s="12"/>
      <c r="HS261" s="12"/>
      <c r="HT261" s="12"/>
      <c r="HU261" s="12"/>
      <c r="HV261" s="12"/>
      <c r="HW261" s="12"/>
      <c r="HX261" s="12"/>
      <c r="HY261" s="12"/>
      <c r="HZ261" s="12"/>
      <c r="IA261" s="12"/>
      <c r="IB261" s="12"/>
      <c r="IC261" s="12"/>
      <c r="ID261" s="12"/>
      <c r="IE261" s="12"/>
      <c r="IF261" s="12"/>
      <c r="IG261" s="12"/>
      <c r="IH261" s="12"/>
      <c r="II261" s="12"/>
      <c r="IJ261" s="12"/>
      <c r="IK261" s="12"/>
      <c r="IL261" s="12"/>
      <c r="IM261" s="12"/>
      <c r="IN261" s="12"/>
      <c r="IO261" s="12"/>
      <c r="IP261" s="12"/>
      <c r="IQ261" s="12"/>
      <c r="IR261" s="12"/>
      <c r="IS261" s="12"/>
      <c r="IT261" s="12"/>
      <c r="IU261" s="12"/>
      <c r="IV261" s="12"/>
      <c r="IW261" s="12"/>
    </row>
    <row r="262" customFormat="false" ht="11.25" hidden="false" customHeight="false" outlineLevel="0" collapsed="false">
      <c r="A262" s="25" t="n">
        <f aca="false">DATE(YEAR(A261),MONTH(A261)+1,1)</f>
        <v>53693</v>
      </c>
      <c r="B262" s="21" t="n">
        <v>3.827</v>
      </c>
      <c r="C262" s="21" t="n">
        <v>3.927</v>
      </c>
      <c r="D262" s="25" t="n">
        <f aca="false">DATE(YEAR(D261),MONTH(D261)+1,1)</f>
        <v>53693</v>
      </c>
      <c r="E262" s="5"/>
      <c r="F262" s="5"/>
      <c r="G262" s="6"/>
      <c r="H262" s="22" t="n">
        <f aca="false">A262</f>
        <v>53693</v>
      </c>
      <c r="I262" s="23" t="n">
        <f aca="false">IF($J$1="bid",B262,C262)</f>
        <v>3.927</v>
      </c>
      <c r="J262" s="22"/>
      <c r="K262" s="23"/>
      <c r="L262" s="11"/>
      <c r="M262" s="11"/>
      <c r="N262" s="11"/>
      <c r="O262" s="11"/>
      <c r="P262" s="11"/>
      <c r="Q262" s="11"/>
      <c r="R262" s="11"/>
      <c r="S262" s="11"/>
      <c r="T262" s="11"/>
      <c r="U262" s="11"/>
      <c r="V262" s="11"/>
      <c r="W262" s="11"/>
      <c r="X262" s="11"/>
      <c r="Y262" s="11"/>
      <c r="Z262" s="11"/>
      <c r="AA262" s="11"/>
      <c r="AB262" s="11"/>
      <c r="AC262" s="11"/>
      <c r="AD262" s="11"/>
      <c r="AE262" s="11"/>
      <c r="AF262" s="11"/>
      <c r="AG262" s="11"/>
      <c r="AH262" s="11"/>
      <c r="AI262" s="11"/>
      <c r="AJ262" s="11"/>
      <c r="AK262" s="11"/>
      <c r="AL262" s="11"/>
      <c r="AM262" s="11"/>
      <c r="AN262" s="11"/>
      <c r="AO262" s="11"/>
      <c r="AP262" s="11"/>
      <c r="AQ262" s="11"/>
      <c r="AR262" s="5"/>
      <c r="AS262" s="12"/>
      <c r="AT262" s="12"/>
      <c r="AU262" s="12"/>
      <c r="AV262" s="12"/>
      <c r="AW262" s="12"/>
      <c r="AX262" s="12"/>
      <c r="AY262" s="12"/>
      <c r="AZ262" s="12"/>
      <c r="BA262" s="12"/>
      <c r="BB262" s="12"/>
      <c r="BC262" s="12"/>
      <c r="BD262" s="12"/>
      <c r="BE262" s="12"/>
      <c r="BF262" s="12"/>
      <c r="BG262" s="12"/>
      <c r="BH262" s="12"/>
      <c r="BI262" s="12"/>
      <c r="BJ262" s="12"/>
      <c r="BK262" s="12"/>
      <c r="BL262" s="12"/>
      <c r="BM262" s="12"/>
      <c r="BN262" s="12"/>
      <c r="BO262" s="12"/>
      <c r="BP262" s="12"/>
      <c r="BQ262" s="12"/>
      <c r="BR262" s="12"/>
      <c r="BS262" s="12"/>
      <c r="BT262" s="12"/>
      <c r="BU262" s="12"/>
      <c r="BV262" s="12"/>
      <c r="BW262" s="12"/>
      <c r="BX262" s="12"/>
      <c r="BY262" s="12"/>
      <c r="BZ262" s="12"/>
      <c r="CA262" s="12"/>
      <c r="CB262" s="12"/>
      <c r="CC262" s="12"/>
      <c r="CD262" s="12"/>
      <c r="CE262" s="12"/>
      <c r="CF262" s="12"/>
      <c r="CG262" s="12"/>
      <c r="CH262" s="12"/>
      <c r="CI262" s="12"/>
      <c r="CJ262" s="12"/>
      <c r="CK262" s="12"/>
      <c r="CL262" s="12"/>
      <c r="CM262" s="12"/>
      <c r="CN262" s="12"/>
      <c r="CO262" s="12"/>
      <c r="CP262" s="12"/>
      <c r="CQ262" s="12"/>
      <c r="CR262" s="12"/>
      <c r="CS262" s="12"/>
      <c r="CT262" s="12"/>
      <c r="CU262" s="12"/>
      <c r="CV262" s="12"/>
      <c r="CW262" s="12"/>
      <c r="CX262" s="12"/>
      <c r="CY262" s="12"/>
      <c r="CZ262" s="12"/>
      <c r="DA262" s="12"/>
      <c r="DB262" s="12"/>
      <c r="DC262" s="12"/>
      <c r="DD262" s="12"/>
      <c r="DE262" s="12"/>
      <c r="DF262" s="12"/>
      <c r="DG262" s="12"/>
      <c r="DH262" s="12"/>
      <c r="DI262" s="12"/>
      <c r="DJ262" s="12"/>
      <c r="DK262" s="12"/>
      <c r="DL262" s="12"/>
      <c r="DM262" s="12"/>
      <c r="DN262" s="12"/>
      <c r="DO262" s="12"/>
      <c r="DP262" s="12"/>
      <c r="DQ262" s="12"/>
      <c r="DR262" s="12"/>
      <c r="DS262" s="12"/>
      <c r="DT262" s="12"/>
      <c r="DU262" s="12"/>
      <c r="DV262" s="12"/>
      <c r="DW262" s="12"/>
      <c r="DX262" s="12"/>
      <c r="DY262" s="12"/>
      <c r="DZ262" s="12"/>
      <c r="EA262" s="12"/>
      <c r="EB262" s="12"/>
      <c r="EC262" s="12"/>
      <c r="ED262" s="12"/>
      <c r="EE262" s="12"/>
      <c r="EF262" s="12"/>
      <c r="EG262" s="12"/>
      <c r="EH262" s="12"/>
      <c r="EI262" s="12"/>
      <c r="EJ262" s="12"/>
      <c r="EK262" s="12"/>
      <c r="EL262" s="12"/>
      <c r="EM262" s="12"/>
      <c r="EN262" s="12"/>
      <c r="EO262" s="12"/>
      <c r="EP262" s="12"/>
      <c r="EQ262" s="12"/>
      <c r="ER262" s="12"/>
      <c r="ES262" s="12"/>
      <c r="ET262" s="12"/>
      <c r="EU262" s="12"/>
      <c r="EV262" s="12"/>
      <c r="EW262" s="12"/>
      <c r="EX262" s="12"/>
      <c r="EY262" s="12"/>
      <c r="EZ262" s="12"/>
      <c r="FA262" s="12"/>
      <c r="FB262" s="12"/>
      <c r="FC262" s="12"/>
      <c r="FD262" s="12"/>
      <c r="FE262" s="12"/>
      <c r="FF262" s="12"/>
      <c r="FG262" s="12"/>
      <c r="FH262" s="12"/>
      <c r="FI262" s="12"/>
      <c r="FJ262" s="12"/>
      <c r="FK262" s="12"/>
      <c r="FL262" s="12"/>
      <c r="FM262" s="12"/>
      <c r="FN262" s="12"/>
      <c r="FO262" s="12"/>
      <c r="FP262" s="12"/>
      <c r="FQ262" s="12"/>
      <c r="FR262" s="12"/>
      <c r="FS262" s="12"/>
      <c r="FT262" s="12"/>
      <c r="FU262" s="12"/>
      <c r="FV262" s="12"/>
      <c r="FW262" s="12"/>
      <c r="FX262" s="12"/>
      <c r="FY262" s="12"/>
      <c r="FZ262" s="12"/>
      <c r="GA262" s="12"/>
      <c r="GB262" s="12"/>
      <c r="GC262" s="12"/>
      <c r="GD262" s="12"/>
      <c r="GE262" s="12"/>
      <c r="GF262" s="12"/>
      <c r="GG262" s="12"/>
      <c r="GH262" s="12"/>
      <c r="GI262" s="12"/>
      <c r="GJ262" s="12"/>
      <c r="GK262" s="12"/>
      <c r="GL262" s="12"/>
      <c r="GM262" s="12"/>
      <c r="GN262" s="12"/>
      <c r="GO262" s="12"/>
      <c r="GP262" s="12"/>
      <c r="GQ262" s="12"/>
      <c r="GR262" s="12"/>
      <c r="GS262" s="12"/>
      <c r="GT262" s="12"/>
      <c r="GU262" s="12"/>
      <c r="GV262" s="12"/>
      <c r="GW262" s="12"/>
      <c r="GX262" s="12"/>
      <c r="GY262" s="12"/>
      <c r="GZ262" s="12"/>
      <c r="HA262" s="12"/>
      <c r="HB262" s="12"/>
      <c r="HC262" s="12"/>
      <c r="HD262" s="12"/>
      <c r="HE262" s="12"/>
      <c r="HF262" s="12"/>
      <c r="HG262" s="12"/>
      <c r="HH262" s="12"/>
      <c r="HI262" s="12"/>
      <c r="HJ262" s="12"/>
      <c r="HK262" s="12"/>
      <c r="HL262" s="12"/>
      <c r="HM262" s="12"/>
      <c r="HN262" s="12"/>
      <c r="HO262" s="12"/>
      <c r="HP262" s="12"/>
      <c r="HQ262" s="12"/>
      <c r="HR262" s="12"/>
      <c r="HS262" s="12"/>
      <c r="HT262" s="12"/>
      <c r="HU262" s="12"/>
      <c r="HV262" s="12"/>
      <c r="HW262" s="12"/>
      <c r="HX262" s="12"/>
      <c r="HY262" s="12"/>
      <c r="HZ262" s="12"/>
      <c r="IA262" s="12"/>
      <c r="IB262" s="12"/>
      <c r="IC262" s="12"/>
      <c r="ID262" s="12"/>
      <c r="IE262" s="12"/>
      <c r="IF262" s="12"/>
      <c r="IG262" s="12"/>
      <c r="IH262" s="12"/>
      <c r="II262" s="12"/>
      <c r="IJ262" s="12"/>
      <c r="IK262" s="12"/>
      <c r="IL262" s="12"/>
      <c r="IM262" s="12"/>
      <c r="IN262" s="12"/>
      <c r="IO262" s="12"/>
      <c r="IP262" s="12"/>
      <c r="IQ262" s="12"/>
      <c r="IR262" s="12"/>
      <c r="IS262" s="12"/>
      <c r="IT262" s="12"/>
      <c r="IU262" s="12"/>
      <c r="IV262" s="12"/>
      <c r="IW262" s="12"/>
    </row>
    <row r="263" customFormat="false" ht="11.25" hidden="false" customHeight="false" outlineLevel="0" collapsed="false">
      <c r="A263" s="25" t="n">
        <f aca="false">DATE(YEAR(A262),MONTH(A262)+1,1)</f>
        <v>53724</v>
      </c>
      <c r="B263" s="21" t="n">
        <v>3.778</v>
      </c>
      <c r="C263" s="21" t="n">
        <v>3.878</v>
      </c>
      <c r="D263" s="25" t="n">
        <f aca="false">DATE(YEAR(D262),MONTH(D262)+1,1)</f>
        <v>53724</v>
      </c>
      <c r="E263" s="5"/>
      <c r="F263" s="5"/>
      <c r="G263" s="6"/>
      <c r="H263" s="22" t="n">
        <f aca="false">A263</f>
        <v>53724</v>
      </c>
      <c r="I263" s="23" t="n">
        <f aca="false">IF($J$1="bid",B263,C263)</f>
        <v>3.878</v>
      </c>
      <c r="J263" s="22"/>
      <c r="K263" s="23"/>
      <c r="L263" s="11"/>
      <c r="M263" s="11"/>
      <c r="N263" s="11"/>
      <c r="O263" s="11"/>
      <c r="P263" s="11"/>
      <c r="Q263" s="11"/>
      <c r="R263" s="11"/>
      <c r="S263" s="11"/>
      <c r="T263" s="11"/>
      <c r="U263" s="11"/>
      <c r="V263" s="11"/>
      <c r="W263" s="11"/>
      <c r="X263" s="11"/>
      <c r="Y263" s="11"/>
      <c r="Z263" s="11"/>
      <c r="AA263" s="11"/>
      <c r="AB263" s="11"/>
      <c r="AC263" s="11"/>
      <c r="AD263" s="11"/>
      <c r="AE263" s="11"/>
      <c r="AF263" s="11"/>
      <c r="AG263" s="11"/>
      <c r="AH263" s="11"/>
      <c r="AI263" s="11"/>
      <c r="AJ263" s="11"/>
      <c r="AK263" s="11"/>
      <c r="AL263" s="11"/>
      <c r="AM263" s="11"/>
      <c r="AN263" s="11"/>
      <c r="AO263" s="11"/>
      <c r="AP263" s="11"/>
      <c r="AQ263" s="11"/>
      <c r="AR263" s="5"/>
      <c r="AS263" s="12"/>
      <c r="AT263" s="12"/>
      <c r="AU263" s="12"/>
      <c r="AV263" s="12"/>
      <c r="AW263" s="12"/>
      <c r="AX263" s="12"/>
      <c r="AY263" s="12"/>
      <c r="AZ263" s="12"/>
      <c r="BA263" s="12"/>
      <c r="BB263" s="12"/>
      <c r="BC263" s="12"/>
      <c r="BD263" s="12"/>
      <c r="BE263" s="12"/>
      <c r="BF263" s="12"/>
      <c r="BG263" s="12"/>
      <c r="BH263" s="12"/>
      <c r="BI263" s="12"/>
      <c r="BJ263" s="12"/>
      <c r="BK263" s="12"/>
      <c r="BL263" s="12"/>
      <c r="BM263" s="12"/>
      <c r="BN263" s="12"/>
      <c r="BO263" s="12"/>
      <c r="BP263" s="12"/>
      <c r="BQ263" s="12"/>
      <c r="BR263" s="12"/>
      <c r="BS263" s="12"/>
      <c r="BT263" s="12"/>
      <c r="BU263" s="12"/>
      <c r="BV263" s="12"/>
      <c r="BW263" s="12"/>
      <c r="BX263" s="12"/>
      <c r="BY263" s="12"/>
      <c r="BZ263" s="12"/>
      <c r="CA263" s="12"/>
      <c r="CB263" s="12"/>
      <c r="CC263" s="12"/>
      <c r="CD263" s="12"/>
      <c r="CE263" s="12"/>
      <c r="CF263" s="12"/>
      <c r="CG263" s="12"/>
      <c r="CH263" s="12"/>
      <c r="CI263" s="12"/>
      <c r="CJ263" s="12"/>
      <c r="CK263" s="12"/>
      <c r="CL263" s="12"/>
      <c r="CM263" s="12"/>
      <c r="CN263" s="12"/>
      <c r="CO263" s="12"/>
      <c r="CP263" s="12"/>
      <c r="CQ263" s="12"/>
      <c r="CR263" s="12"/>
      <c r="CS263" s="12"/>
      <c r="CT263" s="12"/>
      <c r="CU263" s="12"/>
      <c r="CV263" s="12"/>
      <c r="CW263" s="12"/>
      <c r="CX263" s="12"/>
      <c r="CY263" s="12"/>
      <c r="CZ263" s="12"/>
      <c r="DA263" s="12"/>
      <c r="DB263" s="12"/>
      <c r="DC263" s="12"/>
      <c r="DD263" s="12"/>
      <c r="DE263" s="12"/>
      <c r="DF263" s="12"/>
      <c r="DG263" s="12"/>
      <c r="DH263" s="12"/>
      <c r="DI263" s="12"/>
      <c r="DJ263" s="12"/>
      <c r="DK263" s="12"/>
      <c r="DL263" s="12"/>
      <c r="DM263" s="12"/>
      <c r="DN263" s="12"/>
      <c r="DO263" s="12"/>
      <c r="DP263" s="12"/>
      <c r="DQ263" s="12"/>
      <c r="DR263" s="12"/>
      <c r="DS263" s="12"/>
      <c r="DT263" s="12"/>
      <c r="DU263" s="12"/>
      <c r="DV263" s="12"/>
      <c r="DW263" s="12"/>
      <c r="DX263" s="12"/>
      <c r="DY263" s="12"/>
      <c r="DZ263" s="12"/>
      <c r="EA263" s="12"/>
      <c r="EB263" s="12"/>
      <c r="EC263" s="12"/>
      <c r="ED263" s="12"/>
      <c r="EE263" s="12"/>
      <c r="EF263" s="12"/>
      <c r="EG263" s="12"/>
      <c r="EH263" s="12"/>
      <c r="EI263" s="12"/>
      <c r="EJ263" s="12"/>
      <c r="EK263" s="12"/>
      <c r="EL263" s="12"/>
      <c r="EM263" s="12"/>
      <c r="EN263" s="12"/>
      <c r="EO263" s="12"/>
      <c r="EP263" s="12"/>
      <c r="EQ263" s="12"/>
      <c r="ER263" s="12"/>
      <c r="ES263" s="12"/>
      <c r="ET263" s="12"/>
      <c r="EU263" s="12"/>
      <c r="EV263" s="12"/>
      <c r="EW263" s="12"/>
      <c r="EX263" s="12"/>
      <c r="EY263" s="12"/>
      <c r="EZ263" s="12"/>
      <c r="FA263" s="12"/>
      <c r="FB263" s="12"/>
      <c r="FC263" s="12"/>
      <c r="FD263" s="12"/>
      <c r="FE263" s="12"/>
      <c r="FF263" s="12"/>
      <c r="FG263" s="12"/>
      <c r="FH263" s="12"/>
      <c r="FI263" s="12"/>
      <c r="FJ263" s="12"/>
      <c r="FK263" s="12"/>
      <c r="FL263" s="12"/>
      <c r="FM263" s="12"/>
      <c r="FN263" s="12"/>
      <c r="FO263" s="12"/>
      <c r="FP263" s="12"/>
      <c r="FQ263" s="12"/>
      <c r="FR263" s="12"/>
      <c r="FS263" s="12"/>
      <c r="FT263" s="12"/>
      <c r="FU263" s="12"/>
      <c r="FV263" s="12"/>
      <c r="FW263" s="12"/>
      <c r="FX263" s="12"/>
      <c r="FY263" s="12"/>
      <c r="FZ263" s="12"/>
      <c r="GA263" s="12"/>
      <c r="GB263" s="12"/>
      <c r="GC263" s="12"/>
      <c r="GD263" s="12"/>
      <c r="GE263" s="12"/>
      <c r="GF263" s="12"/>
      <c r="GG263" s="12"/>
      <c r="GH263" s="12"/>
      <c r="GI263" s="12"/>
      <c r="GJ263" s="12"/>
      <c r="GK263" s="12"/>
      <c r="GL263" s="12"/>
      <c r="GM263" s="12"/>
      <c r="GN263" s="12"/>
      <c r="GO263" s="12"/>
      <c r="GP263" s="12"/>
      <c r="GQ263" s="12"/>
      <c r="GR263" s="12"/>
      <c r="GS263" s="12"/>
      <c r="GT263" s="12"/>
      <c r="GU263" s="12"/>
      <c r="GV263" s="12"/>
      <c r="GW263" s="12"/>
      <c r="GX263" s="12"/>
      <c r="GY263" s="12"/>
      <c r="GZ263" s="12"/>
      <c r="HA263" s="12"/>
      <c r="HB263" s="12"/>
      <c r="HC263" s="12"/>
      <c r="HD263" s="12"/>
      <c r="HE263" s="12"/>
      <c r="HF263" s="12"/>
      <c r="HG263" s="12"/>
      <c r="HH263" s="12"/>
      <c r="HI263" s="12"/>
      <c r="HJ263" s="12"/>
      <c r="HK263" s="12"/>
      <c r="HL263" s="12"/>
      <c r="HM263" s="12"/>
      <c r="HN263" s="12"/>
      <c r="HO263" s="12"/>
      <c r="HP263" s="12"/>
      <c r="HQ263" s="12"/>
      <c r="HR263" s="12"/>
      <c r="HS263" s="12"/>
      <c r="HT263" s="12"/>
      <c r="HU263" s="12"/>
      <c r="HV263" s="12"/>
      <c r="HW263" s="12"/>
      <c r="HX263" s="12"/>
      <c r="HY263" s="12"/>
      <c r="HZ263" s="12"/>
      <c r="IA263" s="12"/>
      <c r="IB263" s="12"/>
      <c r="IC263" s="12"/>
      <c r="ID263" s="12"/>
      <c r="IE263" s="12"/>
      <c r="IF263" s="12"/>
      <c r="IG263" s="12"/>
      <c r="IH263" s="12"/>
      <c r="II263" s="12"/>
      <c r="IJ263" s="12"/>
      <c r="IK263" s="12"/>
      <c r="IL263" s="12"/>
      <c r="IM263" s="12"/>
      <c r="IN263" s="12"/>
      <c r="IO263" s="12"/>
      <c r="IP263" s="12"/>
      <c r="IQ263" s="12"/>
      <c r="IR263" s="12"/>
      <c r="IS263" s="12"/>
      <c r="IT263" s="12"/>
      <c r="IU263" s="12"/>
      <c r="IV263" s="12"/>
      <c r="IW263" s="12"/>
    </row>
    <row r="264" customFormat="false" ht="11.25" hidden="false" customHeight="false" outlineLevel="0" collapsed="false">
      <c r="A264" s="25" t="n">
        <f aca="false">DATE(YEAR(A263),MONTH(A263)+1,1)</f>
        <v>53752</v>
      </c>
      <c r="B264" s="21" t="n">
        <v>3.765</v>
      </c>
      <c r="C264" s="21" t="n">
        <v>3.865</v>
      </c>
      <c r="D264" s="25" t="n">
        <f aca="false">DATE(YEAR(D263),MONTH(D263)+1,1)</f>
        <v>53752</v>
      </c>
      <c r="E264" s="5"/>
      <c r="F264" s="5"/>
      <c r="G264" s="6"/>
      <c r="H264" s="22" t="n">
        <f aca="false">A264</f>
        <v>53752</v>
      </c>
      <c r="I264" s="23" t="n">
        <f aca="false">IF($J$1="bid",B264,C264)</f>
        <v>3.865</v>
      </c>
      <c r="J264" s="22"/>
      <c r="K264" s="23"/>
      <c r="L264" s="11"/>
      <c r="M264" s="11"/>
      <c r="N264" s="11"/>
      <c r="O264" s="11"/>
      <c r="P264" s="11"/>
      <c r="Q264" s="11"/>
      <c r="R264" s="11"/>
      <c r="S264" s="11"/>
      <c r="T264" s="11"/>
      <c r="U264" s="11"/>
      <c r="V264" s="11"/>
      <c r="W264" s="11"/>
      <c r="X264" s="11"/>
      <c r="Y264" s="11"/>
      <c r="Z264" s="11"/>
      <c r="AA264" s="11"/>
      <c r="AB264" s="11"/>
      <c r="AC264" s="11"/>
      <c r="AD264" s="11"/>
      <c r="AE264" s="11"/>
      <c r="AF264" s="11"/>
      <c r="AG264" s="11"/>
      <c r="AH264" s="11"/>
      <c r="AI264" s="11"/>
      <c r="AJ264" s="11"/>
      <c r="AK264" s="11"/>
      <c r="AL264" s="11"/>
      <c r="AM264" s="11"/>
      <c r="AN264" s="11"/>
      <c r="AO264" s="11"/>
      <c r="AP264" s="11"/>
      <c r="AQ264" s="11"/>
      <c r="AR264" s="5"/>
      <c r="AS264" s="12"/>
      <c r="AT264" s="12"/>
      <c r="AU264" s="12"/>
      <c r="AV264" s="12"/>
      <c r="AW264" s="12"/>
      <c r="AX264" s="12"/>
      <c r="AY264" s="12"/>
      <c r="AZ264" s="12"/>
      <c r="BA264" s="12"/>
      <c r="BB264" s="12"/>
      <c r="BC264" s="12"/>
      <c r="BD264" s="12"/>
      <c r="BE264" s="12"/>
      <c r="BF264" s="12"/>
      <c r="BG264" s="12"/>
      <c r="BH264" s="12"/>
      <c r="BI264" s="12"/>
      <c r="BJ264" s="12"/>
      <c r="BK264" s="12"/>
      <c r="BL264" s="12"/>
      <c r="BM264" s="12"/>
      <c r="BN264" s="12"/>
      <c r="BO264" s="12"/>
      <c r="BP264" s="12"/>
      <c r="BQ264" s="12"/>
      <c r="BR264" s="12"/>
      <c r="BS264" s="12"/>
      <c r="BT264" s="12"/>
      <c r="BU264" s="12"/>
      <c r="BV264" s="12"/>
      <c r="BW264" s="12"/>
      <c r="BX264" s="12"/>
      <c r="BY264" s="12"/>
      <c r="BZ264" s="12"/>
      <c r="CA264" s="12"/>
      <c r="CB264" s="12"/>
      <c r="CC264" s="12"/>
      <c r="CD264" s="12"/>
      <c r="CE264" s="12"/>
      <c r="CF264" s="12"/>
      <c r="CG264" s="12"/>
      <c r="CH264" s="12"/>
      <c r="CI264" s="12"/>
      <c r="CJ264" s="12"/>
      <c r="CK264" s="12"/>
      <c r="CL264" s="12"/>
      <c r="CM264" s="12"/>
      <c r="CN264" s="12"/>
      <c r="CO264" s="12"/>
      <c r="CP264" s="12"/>
      <c r="CQ264" s="12"/>
      <c r="CR264" s="12"/>
      <c r="CS264" s="12"/>
      <c r="CT264" s="12"/>
      <c r="CU264" s="12"/>
      <c r="CV264" s="12"/>
      <c r="CW264" s="12"/>
      <c r="CX264" s="12"/>
      <c r="CY264" s="12"/>
      <c r="CZ264" s="12"/>
      <c r="DA264" s="12"/>
      <c r="DB264" s="12"/>
      <c r="DC264" s="12"/>
      <c r="DD264" s="12"/>
      <c r="DE264" s="12"/>
      <c r="DF264" s="12"/>
      <c r="DG264" s="12"/>
      <c r="DH264" s="12"/>
      <c r="DI264" s="12"/>
      <c r="DJ264" s="12"/>
      <c r="DK264" s="12"/>
      <c r="DL264" s="12"/>
      <c r="DM264" s="12"/>
      <c r="DN264" s="12"/>
      <c r="DO264" s="12"/>
      <c r="DP264" s="12"/>
      <c r="DQ264" s="12"/>
      <c r="DR264" s="12"/>
      <c r="DS264" s="12"/>
      <c r="DT264" s="12"/>
      <c r="DU264" s="12"/>
      <c r="DV264" s="12"/>
      <c r="DW264" s="12"/>
      <c r="DX264" s="12"/>
      <c r="DY264" s="12"/>
      <c r="DZ264" s="12"/>
      <c r="EA264" s="12"/>
      <c r="EB264" s="12"/>
      <c r="EC264" s="12"/>
      <c r="ED264" s="12"/>
      <c r="EE264" s="12"/>
      <c r="EF264" s="12"/>
      <c r="EG264" s="12"/>
      <c r="EH264" s="12"/>
      <c r="EI264" s="12"/>
      <c r="EJ264" s="12"/>
      <c r="EK264" s="12"/>
      <c r="EL264" s="12"/>
      <c r="EM264" s="12"/>
      <c r="EN264" s="12"/>
      <c r="EO264" s="12"/>
      <c r="EP264" s="12"/>
      <c r="EQ264" s="12"/>
      <c r="ER264" s="12"/>
      <c r="ES264" s="12"/>
      <c r="ET264" s="12"/>
      <c r="EU264" s="12"/>
      <c r="EV264" s="12"/>
      <c r="EW264" s="12"/>
      <c r="EX264" s="12"/>
      <c r="EY264" s="12"/>
      <c r="EZ264" s="12"/>
      <c r="FA264" s="12"/>
      <c r="FB264" s="12"/>
      <c r="FC264" s="12"/>
      <c r="FD264" s="12"/>
      <c r="FE264" s="12"/>
      <c r="FF264" s="12"/>
      <c r="FG264" s="12"/>
      <c r="FH264" s="12"/>
      <c r="FI264" s="12"/>
      <c r="FJ264" s="12"/>
      <c r="FK264" s="12"/>
      <c r="FL264" s="12"/>
      <c r="FM264" s="12"/>
      <c r="FN264" s="12"/>
      <c r="FO264" s="12"/>
      <c r="FP264" s="12"/>
      <c r="FQ264" s="12"/>
      <c r="FR264" s="12"/>
      <c r="FS264" s="12"/>
      <c r="FT264" s="12"/>
      <c r="FU264" s="12"/>
      <c r="FV264" s="12"/>
      <c r="FW264" s="12"/>
      <c r="FX264" s="12"/>
      <c r="FY264" s="12"/>
      <c r="FZ264" s="12"/>
      <c r="GA264" s="12"/>
      <c r="GB264" s="12"/>
      <c r="GC264" s="12"/>
      <c r="GD264" s="12"/>
      <c r="GE264" s="12"/>
      <c r="GF264" s="12"/>
      <c r="GG264" s="12"/>
      <c r="GH264" s="12"/>
      <c r="GI264" s="12"/>
      <c r="GJ264" s="12"/>
      <c r="GK264" s="12"/>
      <c r="GL264" s="12"/>
      <c r="GM264" s="12"/>
      <c r="GN264" s="12"/>
      <c r="GO264" s="12"/>
      <c r="GP264" s="12"/>
      <c r="GQ264" s="12"/>
      <c r="GR264" s="12"/>
      <c r="GS264" s="12"/>
      <c r="GT264" s="12"/>
      <c r="GU264" s="12"/>
      <c r="GV264" s="12"/>
      <c r="GW264" s="12"/>
      <c r="GX264" s="12"/>
      <c r="GY264" s="12"/>
      <c r="GZ264" s="12"/>
      <c r="HA264" s="12"/>
      <c r="HB264" s="12"/>
      <c r="HC264" s="12"/>
      <c r="HD264" s="12"/>
      <c r="HE264" s="12"/>
      <c r="HF264" s="12"/>
      <c r="HG264" s="12"/>
      <c r="HH264" s="12"/>
      <c r="HI264" s="12"/>
      <c r="HJ264" s="12"/>
      <c r="HK264" s="12"/>
      <c r="HL264" s="12"/>
      <c r="HM264" s="12"/>
      <c r="HN264" s="12"/>
      <c r="HO264" s="12"/>
      <c r="HP264" s="12"/>
      <c r="HQ264" s="12"/>
      <c r="HR264" s="12"/>
      <c r="HS264" s="12"/>
      <c r="HT264" s="12"/>
      <c r="HU264" s="12"/>
      <c r="HV264" s="12"/>
      <c r="HW264" s="12"/>
      <c r="HX264" s="12"/>
      <c r="HY264" s="12"/>
      <c r="HZ264" s="12"/>
      <c r="IA264" s="12"/>
      <c r="IB264" s="12"/>
      <c r="IC264" s="12"/>
      <c r="ID264" s="12"/>
      <c r="IE264" s="12"/>
      <c r="IF264" s="12"/>
      <c r="IG264" s="12"/>
      <c r="IH264" s="12"/>
      <c r="II264" s="12"/>
      <c r="IJ264" s="12"/>
      <c r="IK264" s="12"/>
      <c r="IL264" s="12"/>
      <c r="IM264" s="12"/>
      <c r="IN264" s="12"/>
      <c r="IO264" s="12"/>
      <c r="IP264" s="12"/>
      <c r="IQ264" s="12"/>
      <c r="IR264" s="12"/>
      <c r="IS264" s="12"/>
      <c r="IT264" s="12"/>
      <c r="IU264" s="12"/>
      <c r="IV264" s="12"/>
      <c r="IW264" s="12"/>
    </row>
    <row r="265" customFormat="false" ht="11.25" hidden="false" customHeight="false" outlineLevel="0" collapsed="false">
      <c r="A265" s="25" t="n">
        <f aca="false">DATE(YEAR(A264),MONTH(A264)+1,1)</f>
        <v>53783</v>
      </c>
      <c r="B265" s="21" t="n">
        <v>3.773</v>
      </c>
      <c r="C265" s="21" t="n">
        <v>3.873</v>
      </c>
      <c r="D265" s="25" t="n">
        <f aca="false">DATE(YEAR(D264),MONTH(D264)+1,1)</f>
        <v>53783</v>
      </c>
      <c r="E265" s="5"/>
      <c r="F265" s="5"/>
      <c r="G265" s="6"/>
      <c r="H265" s="22" t="n">
        <f aca="false">A265</f>
        <v>53783</v>
      </c>
      <c r="I265" s="23" t="n">
        <f aca="false">IF($J$1="bid",B265,C265)</f>
        <v>3.873</v>
      </c>
      <c r="J265" s="22"/>
      <c r="K265" s="23"/>
      <c r="L265" s="11"/>
      <c r="M265" s="11"/>
      <c r="N265" s="11"/>
      <c r="O265" s="11"/>
      <c r="P265" s="11"/>
      <c r="Q265" s="11"/>
      <c r="R265" s="11"/>
      <c r="S265" s="11"/>
      <c r="T265" s="11"/>
      <c r="U265" s="11"/>
      <c r="V265" s="11"/>
      <c r="W265" s="11"/>
      <c r="X265" s="11"/>
      <c r="Y265" s="11"/>
      <c r="Z265" s="11"/>
      <c r="AA265" s="11"/>
      <c r="AB265" s="11"/>
      <c r="AC265" s="11"/>
      <c r="AD265" s="11"/>
      <c r="AE265" s="11"/>
      <c r="AF265" s="11"/>
      <c r="AG265" s="11"/>
      <c r="AH265" s="11"/>
      <c r="AI265" s="11"/>
      <c r="AJ265" s="11"/>
      <c r="AK265" s="11"/>
      <c r="AL265" s="11"/>
      <c r="AM265" s="11"/>
      <c r="AN265" s="11"/>
      <c r="AO265" s="11"/>
      <c r="AP265" s="11"/>
      <c r="AQ265" s="11"/>
      <c r="AR265" s="5"/>
      <c r="AS265" s="12"/>
      <c r="AT265" s="12"/>
      <c r="AU265" s="12"/>
      <c r="AV265" s="12"/>
      <c r="AW265" s="12"/>
      <c r="AX265" s="12"/>
      <c r="AY265" s="12"/>
      <c r="AZ265" s="12"/>
      <c r="BA265" s="12"/>
      <c r="BB265" s="12"/>
      <c r="BC265" s="12"/>
      <c r="BD265" s="12"/>
      <c r="BE265" s="12"/>
      <c r="BF265" s="12"/>
      <c r="BG265" s="12"/>
      <c r="BH265" s="12"/>
      <c r="BI265" s="12"/>
      <c r="BJ265" s="12"/>
      <c r="BK265" s="12"/>
      <c r="BL265" s="12"/>
      <c r="BM265" s="12"/>
      <c r="BN265" s="12"/>
      <c r="BO265" s="12"/>
      <c r="BP265" s="12"/>
      <c r="BQ265" s="12"/>
      <c r="BR265" s="12"/>
      <c r="BS265" s="12"/>
      <c r="BT265" s="12"/>
      <c r="BU265" s="12"/>
      <c r="BV265" s="12"/>
      <c r="BW265" s="12"/>
      <c r="BX265" s="12"/>
      <c r="BY265" s="12"/>
      <c r="BZ265" s="12"/>
      <c r="CA265" s="12"/>
      <c r="CB265" s="12"/>
      <c r="CC265" s="12"/>
      <c r="CD265" s="12"/>
      <c r="CE265" s="12"/>
      <c r="CF265" s="12"/>
      <c r="CG265" s="12"/>
      <c r="CH265" s="12"/>
      <c r="CI265" s="12"/>
      <c r="CJ265" s="12"/>
      <c r="CK265" s="12"/>
      <c r="CL265" s="12"/>
      <c r="CM265" s="12"/>
      <c r="CN265" s="12"/>
      <c r="CO265" s="12"/>
      <c r="CP265" s="12"/>
      <c r="CQ265" s="12"/>
      <c r="CR265" s="12"/>
      <c r="CS265" s="12"/>
      <c r="CT265" s="12"/>
      <c r="CU265" s="12"/>
      <c r="CV265" s="12"/>
      <c r="CW265" s="12"/>
      <c r="CX265" s="12"/>
      <c r="CY265" s="12"/>
      <c r="CZ265" s="12"/>
      <c r="DA265" s="12"/>
      <c r="DB265" s="12"/>
      <c r="DC265" s="12"/>
      <c r="DD265" s="12"/>
      <c r="DE265" s="12"/>
      <c r="DF265" s="12"/>
      <c r="DG265" s="12"/>
      <c r="DH265" s="12"/>
      <c r="DI265" s="12"/>
      <c r="DJ265" s="12"/>
      <c r="DK265" s="12"/>
      <c r="DL265" s="12"/>
      <c r="DM265" s="12"/>
      <c r="DN265" s="12"/>
      <c r="DO265" s="12"/>
      <c r="DP265" s="12"/>
      <c r="DQ265" s="12"/>
      <c r="DR265" s="12"/>
      <c r="DS265" s="12"/>
      <c r="DT265" s="12"/>
      <c r="DU265" s="12"/>
      <c r="DV265" s="12"/>
      <c r="DW265" s="12"/>
      <c r="DX265" s="12"/>
      <c r="DY265" s="12"/>
      <c r="DZ265" s="12"/>
      <c r="EA265" s="12"/>
      <c r="EB265" s="12"/>
      <c r="EC265" s="12"/>
      <c r="ED265" s="12"/>
      <c r="EE265" s="12"/>
      <c r="EF265" s="12"/>
      <c r="EG265" s="12"/>
      <c r="EH265" s="12"/>
      <c r="EI265" s="12"/>
      <c r="EJ265" s="12"/>
      <c r="EK265" s="12"/>
      <c r="EL265" s="12"/>
      <c r="EM265" s="12"/>
      <c r="EN265" s="12"/>
      <c r="EO265" s="12"/>
      <c r="EP265" s="12"/>
      <c r="EQ265" s="12"/>
      <c r="ER265" s="12"/>
      <c r="ES265" s="12"/>
      <c r="ET265" s="12"/>
      <c r="EU265" s="12"/>
      <c r="EV265" s="12"/>
      <c r="EW265" s="12"/>
      <c r="EX265" s="12"/>
      <c r="EY265" s="12"/>
      <c r="EZ265" s="12"/>
      <c r="FA265" s="12"/>
      <c r="FB265" s="12"/>
      <c r="FC265" s="12"/>
      <c r="FD265" s="12"/>
      <c r="FE265" s="12"/>
      <c r="FF265" s="12"/>
      <c r="FG265" s="12"/>
      <c r="FH265" s="12"/>
      <c r="FI265" s="12"/>
      <c r="FJ265" s="12"/>
      <c r="FK265" s="12"/>
      <c r="FL265" s="12"/>
      <c r="FM265" s="12"/>
      <c r="FN265" s="12"/>
      <c r="FO265" s="12"/>
      <c r="FP265" s="12"/>
      <c r="FQ265" s="12"/>
      <c r="FR265" s="12"/>
      <c r="FS265" s="12"/>
      <c r="FT265" s="12"/>
      <c r="FU265" s="12"/>
      <c r="FV265" s="12"/>
      <c r="FW265" s="12"/>
      <c r="FX265" s="12"/>
      <c r="FY265" s="12"/>
      <c r="FZ265" s="12"/>
      <c r="GA265" s="12"/>
      <c r="GB265" s="12"/>
      <c r="GC265" s="12"/>
      <c r="GD265" s="12"/>
      <c r="GE265" s="12"/>
      <c r="GF265" s="12"/>
      <c r="GG265" s="12"/>
      <c r="GH265" s="12"/>
      <c r="GI265" s="12"/>
      <c r="GJ265" s="12"/>
      <c r="GK265" s="12"/>
      <c r="GL265" s="12"/>
      <c r="GM265" s="12"/>
      <c r="GN265" s="12"/>
      <c r="GO265" s="12"/>
      <c r="GP265" s="12"/>
      <c r="GQ265" s="12"/>
      <c r="GR265" s="12"/>
      <c r="GS265" s="12"/>
      <c r="GT265" s="12"/>
      <c r="GU265" s="12"/>
      <c r="GV265" s="12"/>
      <c r="GW265" s="12"/>
      <c r="GX265" s="12"/>
      <c r="GY265" s="12"/>
      <c r="GZ265" s="12"/>
      <c r="HA265" s="12"/>
      <c r="HB265" s="12"/>
      <c r="HC265" s="12"/>
      <c r="HD265" s="12"/>
      <c r="HE265" s="12"/>
      <c r="HF265" s="12"/>
      <c r="HG265" s="12"/>
      <c r="HH265" s="12"/>
      <c r="HI265" s="12"/>
      <c r="HJ265" s="12"/>
      <c r="HK265" s="12"/>
      <c r="HL265" s="12"/>
      <c r="HM265" s="12"/>
      <c r="HN265" s="12"/>
      <c r="HO265" s="12"/>
      <c r="HP265" s="12"/>
      <c r="HQ265" s="12"/>
      <c r="HR265" s="12"/>
      <c r="HS265" s="12"/>
      <c r="HT265" s="12"/>
      <c r="HU265" s="12"/>
      <c r="HV265" s="12"/>
      <c r="HW265" s="12"/>
      <c r="HX265" s="12"/>
      <c r="HY265" s="12"/>
      <c r="HZ265" s="12"/>
      <c r="IA265" s="12"/>
      <c r="IB265" s="12"/>
      <c r="IC265" s="12"/>
      <c r="ID265" s="12"/>
      <c r="IE265" s="12"/>
      <c r="IF265" s="12"/>
      <c r="IG265" s="12"/>
      <c r="IH265" s="12"/>
      <c r="II265" s="12"/>
      <c r="IJ265" s="12"/>
      <c r="IK265" s="12"/>
      <c r="IL265" s="12"/>
      <c r="IM265" s="12"/>
      <c r="IN265" s="12"/>
      <c r="IO265" s="12"/>
      <c r="IP265" s="12"/>
      <c r="IQ265" s="12"/>
      <c r="IR265" s="12"/>
      <c r="IS265" s="12"/>
      <c r="IT265" s="12"/>
      <c r="IU265" s="12"/>
      <c r="IV265" s="12"/>
      <c r="IW265" s="12"/>
    </row>
    <row r="266" customFormat="false" ht="11.25" hidden="false" customHeight="false" outlineLevel="0" collapsed="false">
      <c r="A266" s="25" t="n">
        <f aca="false">DATE(YEAR(A265),MONTH(A265)+1,1)</f>
        <v>53813</v>
      </c>
      <c r="B266" s="21" t="n">
        <v>3.765</v>
      </c>
      <c r="C266" s="21" t="n">
        <v>3.865</v>
      </c>
      <c r="D266" s="25" t="n">
        <f aca="false">DATE(YEAR(D265),MONTH(D265)+1,1)</f>
        <v>53813</v>
      </c>
      <c r="E266" s="5"/>
      <c r="F266" s="5"/>
      <c r="G266" s="6"/>
      <c r="H266" s="22" t="n">
        <f aca="false">A266</f>
        <v>53813</v>
      </c>
      <c r="I266" s="23" t="n">
        <f aca="false">IF($J$1="bid",B266,C266)</f>
        <v>3.865</v>
      </c>
      <c r="J266" s="22"/>
      <c r="K266" s="23"/>
      <c r="L266" s="11"/>
      <c r="M266" s="11"/>
      <c r="N266" s="11"/>
      <c r="O266" s="11"/>
      <c r="P266" s="11"/>
      <c r="Q266" s="11"/>
      <c r="R266" s="11"/>
      <c r="S266" s="11"/>
      <c r="T266" s="11"/>
      <c r="U266" s="11"/>
      <c r="V266" s="11"/>
      <c r="W266" s="11"/>
      <c r="X266" s="11"/>
      <c r="Y266" s="11"/>
      <c r="Z266" s="11"/>
      <c r="AA266" s="11"/>
      <c r="AB266" s="11"/>
      <c r="AC266" s="11"/>
      <c r="AD266" s="11"/>
      <c r="AE266" s="11"/>
      <c r="AF266" s="11"/>
      <c r="AG266" s="11"/>
      <c r="AH266" s="11"/>
      <c r="AI266" s="11"/>
      <c r="AJ266" s="11"/>
      <c r="AK266" s="11"/>
      <c r="AL266" s="11"/>
      <c r="AM266" s="11"/>
      <c r="AN266" s="11"/>
      <c r="AO266" s="11"/>
      <c r="AP266" s="11"/>
      <c r="AQ266" s="11"/>
      <c r="AR266" s="5"/>
      <c r="AS266" s="12"/>
      <c r="AT266" s="12"/>
      <c r="AU266" s="12"/>
      <c r="AV266" s="12"/>
      <c r="AW266" s="12"/>
      <c r="AX266" s="12"/>
      <c r="AY266" s="12"/>
      <c r="AZ266" s="12"/>
      <c r="BA266" s="12"/>
      <c r="BB266" s="12"/>
      <c r="BC266" s="12"/>
      <c r="BD266" s="12"/>
      <c r="BE266" s="12"/>
      <c r="BF266" s="12"/>
      <c r="BG266" s="12"/>
      <c r="BH266" s="12"/>
      <c r="BI266" s="12"/>
      <c r="BJ266" s="12"/>
      <c r="BK266" s="12"/>
      <c r="BL266" s="12"/>
      <c r="BM266" s="12"/>
      <c r="BN266" s="12"/>
      <c r="BO266" s="12"/>
      <c r="BP266" s="12"/>
      <c r="BQ266" s="12"/>
      <c r="BR266" s="12"/>
      <c r="BS266" s="12"/>
      <c r="BT266" s="12"/>
      <c r="BU266" s="12"/>
      <c r="BV266" s="12"/>
      <c r="BW266" s="12"/>
      <c r="BX266" s="12"/>
      <c r="BY266" s="12"/>
      <c r="BZ266" s="12"/>
      <c r="CA266" s="12"/>
      <c r="CB266" s="12"/>
      <c r="CC266" s="12"/>
      <c r="CD266" s="12"/>
      <c r="CE266" s="12"/>
      <c r="CF266" s="12"/>
      <c r="CG266" s="12"/>
      <c r="CH266" s="12"/>
      <c r="CI266" s="12"/>
      <c r="CJ266" s="12"/>
      <c r="CK266" s="12"/>
      <c r="CL266" s="12"/>
      <c r="CM266" s="12"/>
      <c r="CN266" s="12"/>
      <c r="CO266" s="12"/>
      <c r="CP266" s="12"/>
      <c r="CQ266" s="12"/>
      <c r="CR266" s="12"/>
      <c r="CS266" s="12"/>
      <c r="CT266" s="12"/>
      <c r="CU266" s="12"/>
      <c r="CV266" s="12"/>
      <c r="CW266" s="12"/>
      <c r="CX266" s="12"/>
      <c r="CY266" s="12"/>
      <c r="CZ266" s="12"/>
      <c r="DA266" s="12"/>
      <c r="DB266" s="12"/>
      <c r="DC266" s="12"/>
      <c r="DD266" s="12"/>
      <c r="DE266" s="12"/>
      <c r="DF266" s="12"/>
      <c r="DG266" s="12"/>
      <c r="DH266" s="12"/>
      <c r="DI266" s="12"/>
      <c r="DJ266" s="12"/>
      <c r="DK266" s="12"/>
      <c r="DL266" s="12"/>
      <c r="DM266" s="12"/>
      <c r="DN266" s="12"/>
      <c r="DO266" s="12"/>
      <c r="DP266" s="12"/>
      <c r="DQ266" s="12"/>
      <c r="DR266" s="12"/>
      <c r="DS266" s="12"/>
      <c r="DT266" s="12"/>
      <c r="DU266" s="12"/>
      <c r="DV266" s="12"/>
      <c r="DW266" s="12"/>
      <c r="DX266" s="12"/>
      <c r="DY266" s="12"/>
      <c r="DZ266" s="12"/>
      <c r="EA266" s="12"/>
      <c r="EB266" s="12"/>
      <c r="EC266" s="12"/>
      <c r="ED266" s="12"/>
      <c r="EE266" s="12"/>
      <c r="EF266" s="12"/>
      <c r="EG266" s="12"/>
      <c r="EH266" s="12"/>
      <c r="EI266" s="12"/>
      <c r="EJ266" s="12"/>
      <c r="EK266" s="12"/>
      <c r="EL266" s="12"/>
      <c r="EM266" s="12"/>
      <c r="EN266" s="12"/>
      <c r="EO266" s="12"/>
      <c r="EP266" s="12"/>
      <c r="EQ266" s="12"/>
      <c r="ER266" s="12"/>
      <c r="ES266" s="12"/>
      <c r="ET266" s="12"/>
      <c r="EU266" s="12"/>
      <c r="EV266" s="12"/>
      <c r="EW266" s="12"/>
      <c r="EX266" s="12"/>
      <c r="EY266" s="12"/>
      <c r="EZ266" s="12"/>
      <c r="FA266" s="12"/>
      <c r="FB266" s="12"/>
      <c r="FC266" s="12"/>
      <c r="FD266" s="12"/>
      <c r="FE266" s="12"/>
      <c r="FF266" s="12"/>
      <c r="FG266" s="12"/>
      <c r="FH266" s="12"/>
      <c r="FI266" s="12"/>
      <c r="FJ266" s="12"/>
      <c r="FK266" s="12"/>
      <c r="FL266" s="12"/>
      <c r="FM266" s="12"/>
      <c r="FN266" s="12"/>
      <c r="FO266" s="12"/>
      <c r="FP266" s="12"/>
      <c r="FQ266" s="12"/>
      <c r="FR266" s="12"/>
      <c r="FS266" s="12"/>
      <c r="FT266" s="12"/>
      <c r="FU266" s="12"/>
      <c r="FV266" s="12"/>
      <c r="FW266" s="12"/>
      <c r="FX266" s="12"/>
      <c r="FY266" s="12"/>
      <c r="FZ266" s="12"/>
      <c r="GA266" s="12"/>
      <c r="GB266" s="12"/>
      <c r="GC266" s="12"/>
      <c r="GD266" s="12"/>
      <c r="GE266" s="12"/>
      <c r="GF266" s="12"/>
      <c r="GG266" s="12"/>
      <c r="GH266" s="12"/>
      <c r="GI266" s="12"/>
      <c r="GJ266" s="12"/>
      <c r="GK266" s="12"/>
      <c r="GL266" s="12"/>
      <c r="GM266" s="12"/>
      <c r="GN266" s="12"/>
      <c r="GO266" s="12"/>
      <c r="GP266" s="12"/>
      <c r="GQ266" s="12"/>
      <c r="GR266" s="12"/>
      <c r="GS266" s="12"/>
      <c r="GT266" s="12"/>
      <c r="GU266" s="12"/>
      <c r="GV266" s="12"/>
      <c r="GW266" s="12"/>
      <c r="GX266" s="12"/>
      <c r="GY266" s="12"/>
      <c r="GZ266" s="12"/>
      <c r="HA266" s="12"/>
      <c r="HB266" s="12"/>
      <c r="HC266" s="12"/>
      <c r="HD266" s="12"/>
      <c r="HE266" s="12"/>
      <c r="HF266" s="12"/>
      <c r="HG266" s="12"/>
      <c r="HH266" s="12"/>
      <c r="HI266" s="12"/>
      <c r="HJ266" s="12"/>
      <c r="HK266" s="12"/>
      <c r="HL266" s="12"/>
      <c r="HM266" s="12"/>
      <c r="HN266" s="12"/>
      <c r="HO266" s="12"/>
      <c r="HP266" s="12"/>
      <c r="HQ266" s="12"/>
      <c r="HR266" s="12"/>
      <c r="HS266" s="12"/>
      <c r="HT266" s="12"/>
      <c r="HU266" s="12"/>
      <c r="HV266" s="12"/>
      <c r="HW266" s="12"/>
      <c r="HX266" s="12"/>
      <c r="HY266" s="12"/>
      <c r="HZ266" s="12"/>
      <c r="IA266" s="12"/>
      <c r="IB266" s="12"/>
      <c r="IC266" s="12"/>
      <c r="ID266" s="12"/>
      <c r="IE266" s="12"/>
      <c r="IF266" s="12"/>
      <c r="IG266" s="12"/>
      <c r="IH266" s="12"/>
      <c r="II266" s="12"/>
      <c r="IJ266" s="12"/>
      <c r="IK266" s="12"/>
      <c r="IL266" s="12"/>
      <c r="IM266" s="12"/>
      <c r="IN266" s="12"/>
      <c r="IO266" s="12"/>
      <c r="IP266" s="12"/>
      <c r="IQ266" s="12"/>
      <c r="IR266" s="12"/>
      <c r="IS266" s="12"/>
      <c r="IT266" s="12"/>
      <c r="IU266" s="12"/>
      <c r="IV266" s="12"/>
      <c r="IW266" s="12"/>
    </row>
    <row r="267" customFormat="false" ht="11.25" hidden="false" customHeight="false" outlineLevel="0" collapsed="false">
      <c r="A267" s="25" t="n">
        <f aca="false">DATE(YEAR(A266),MONTH(A266)+1,1)</f>
        <v>53844</v>
      </c>
      <c r="B267" s="21" t="n">
        <v>3.765</v>
      </c>
      <c r="C267" s="21" t="n">
        <v>3.865</v>
      </c>
      <c r="D267" s="25" t="n">
        <f aca="false">DATE(YEAR(D266),MONTH(D266)+1,1)</f>
        <v>53844</v>
      </c>
      <c r="E267" s="5"/>
      <c r="F267" s="5"/>
      <c r="G267" s="6"/>
      <c r="H267" s="22" t="n">
        <f aca="false">A267</f>
        <v>53844</v>
      </c>
      <c r="I267" s="23" t="n">
        <f aca="false">IF($J$1="bid",B267,C267)</f>
        <v>3.865</v>
      </c>
      <c r="J267" s="22"/>
      <c r="K267" s="23"/>
      <c r="L267" s="11"/>
      <c r="M267" s="11"/>
      <c r="N267" s="11"/>
      <c r="O267" s="11"/>
      <c r="P267" s="11"/>
      <c r="Q267" s="11"/>
      <c r="R267" s="11"/>
      <c r="S267" s="11"/>
      <c r="T267" s="11"/>
      <c r="U267" s="11"/>
      <c r="V267" s="11"/>
      <c r="W267" s="11"/>
      <c r="X267" s="11"/>
      <c r="Y267" s="11"/>
      <c r="Z267" s="11"/>
      <c r="AA267" s="11"/>
      <c r="AB267" s="11"/>
      <c r="AC267" s="11"/>
      <c r="AD267" s="11"/>
      <c r="AE267" s="11"/>
      <c r="AF267" s="11"/>
      <c r="AG267" s="11"/>
      <c r="AH267" s="11"/>
      <c r="AI267" s="11"/>
      <c r="AJ267" s="11"/>
      <c r="AK267" s="11"/>
      <c r="AL267" s="11"/>
      <c r="AM267" s="11"/>
      <c r="AN267" s="11"/>
      <c r="AO267" s="11"/>
      <c r="AP267" s="11"/>
      <c r="AQ267" s="11"/>
      <c r="AR267" s="5"/>
      <c r="AS267" s="12"/>
      <c r="AT267" s="12"/>
      <c r="AU267" s="12"/>
      <c r="AV267" s="12"/>
      <c r="AW267" s="12"/>
      <c r="AX267" s="12"/>
      <c r="AY267" s="12"/>
      <c r="AZ267" s="12"/>
      <c r="BA267" s="12"/>
      <c r="BB267" s="12"/>
      <c r="BC267" s="12"/>
      <c r="BD267" s="12"/>
      <c r="BE267" s="12"/>
      <c r="BF267" s="12"/>
      <c r="BG267" s="12"/>
      <c r="BH267" s="12"/>
      <c r="BI267" s="12"/>
      <c r="BJ267" s="12"/>
      <c r="BK267" s="12"/>
      <c r="BL267" s="12"/>
      <c r="BM267" s="12"/>
      <c r="BN267" s="12"/>
      <c r="BO267" s="12"/>
      <c r="BP267" s="12"/>
      <c r="BQ267" s="12"/>
      <c r="BR267" s="12"/>
      <c r="BS267" s="12"/>
      <c r="BT267" s="12"/>
      <c r="BU267" s="12"/>
      <c r="BV267" s="12"/>
      <c r="BW267" s="12"/>
      <c r="BX267" s="12"/>
      <c r="BY267" s="12"/>
      <c r="BZ267" s="12"/>
      <c r="CA267" s="12"/>
      <c r="CB267" s="12"/>
      <c r="CC267" s="12"/>
      <c r="CD267" s="12"/>
      <c r="CE267" s="12"/>
      <c r="CF267" s="12"/>
      <c r="CG267" s="12"/>
      <c r="CH267" s="12"/>
      <c r="CI267" s="12"/>
      <c r="CJ267" s="12"/>
      <c r="CK267" s="12"/>
      <c r="CL267" s="12"/>
      <c r="CM267" s="12"/>
      <c r="CN267" s="12"/>
      <c r="CO267" s="12"/>
      <c r="CP267" s="12"/>
      <c r="CQ267" s="12"/>
      <c r="CR267" s="12"/>
      <c r="CS267" s="12"/>
      <c r="CT267" s="12"/>
      <c r="CU267" s="12"/>
      <c r="CV267" s="12"/>
      <c r="CW267" s="12"/>
      <c r="CX267" s="12"/>
      <c r="CY267" s="12"/>
      <c r="CZ267" s="12"/>
      <c r="DA267" s="12"/>
      <c r="DB267" s="12"/>
      <c r="DC267" s="12"/>
      <c r="DD267" s="12"/>
      <c r="DE267" s="12"/>
      <c r="DF267" s="12"/>
      <c r="DG267" s="12"/>
      <c r="DH267" s="12"/>
      <c r="DI267" s="12"/>
      <c r="DJ267" s="12"/>
      <c r="DK267" s="12"/>
      <c r="DL267" s="12"/>
      <c r="DM267" s="12"/>
      <c r="DN267" s="12"/>
      <c r="DO267" s="12"/>
      <c r="DP267" s="12"/>
      <c r="DQ267" s="12"/>
      <c r="DR267" s="12"/>
      <c r="DS267" s="12"/>
      <c r="DT267" s="12"/>
      <c r="DU267" s="12"/>
      <c r="DV267" s="12"/>
      <c r="DW267" s="12"/>
      <c r="DX267" s="12"/>
      <c r="DY267" s="12"/>
      <c r="DZ267" s="12"/>
      <c r="EA267" s="12"/>
      <c r="EB267" s="12"/>
      <c r="EC267" s="12"/>
      <c r="ED267" s="12"/>
      <c r="EE267" s="12"/>
      <c r="EF267" s="12"/>
      <c r="EG267" s="12"/>
      <c r="EH267" s="12"/>
      <c r="EI267" s="12"/>
      <c r="EJ267" s="12"/>
      <c r="EK267" s="12"/>
      <c r="EL267" s="12"/>
      <c r="EM267" s="12"/>
      <c r="EN267" s="12"/>
      <c r="EO267" s="12"/>
      <c r="EP267" s="12"/>
      <c r="EQ267" s="12"/>
      <c r="ER267" s="12"/>
      <c r="ES267" s="12"/>
      <c r="ET267" s="12"/>
      <c r="EU267" s="12"/>
      <c r="EV267" s="12"/>
      <c r="EW267" s="12"/>
      <c r="EX267" s="12"/>
      <c r="EY267" s="12"/>
      <c r="EZ267" s="12"/>
      <c r="FA267" s="12"/>
      <c r="FB267" s="12"/>
      <c r="FC267" s="12"/>
      <c r="FD267" s="12"/>
      <c r="FE267" s="12"/>
      <c r="FF267" s="12"/>
      <c r="FG267" s="12"/>
      <c r="FH267" s="12"/>
      <c r="FI267" s="12"/>
      <c r="FJ267" s="12"/>
      <c r="FK267" s="12"/>
      <c r="FL267" s="12"/>
      <c r="FM267" s="12"/>
      <c r="FN267" s="12"/>
      <c r="FO267" s="12"/>
      <c r="FP267" s="12"/>
      <c r="FQ267" s="12"/>
      <c r="FR267" s="12"/>
      <c r="FS267" s="12"/>
      <c r="FT267" s="12"/>
      <c r="FU267" s="12"/>
      <c r="FV267" s="12"/>
      <c r="FW267" s="12"/>
      <c r="FX267" s="12"/>
      <c r="FY267" s="12"/>
      <c r="FZ267" s="12"/>
      <c r="GA267" s="12"/>
      <c r="GB267" s="12"/>
      <c r="GC267" s="12"/>
      <c r="GD267" s="12"/>
      <c r="GE267" s="12"/>
      <c r="GF267" s="12"/>
      <c r="GG267" s="12"/>
      <c r="GH267" s="12"/>
      <c r="GI267" s="12"/>
      <c r="GJ267" s="12"/>
      <c r="GK267" s="12"/>
      <c r="GL267" s="12"/>
      <c r="GM267" s="12"/>
      <c r="GN267" s="12"/>
      <c r="GO267" s="12"/>
      <c r="GP267" s="12"/>
      <c r="GQ267" s="12"/>
      <c r="GR267" s="12"/>
      <c r="GS267" s="12"/>
      <c r="GT267" s="12"/>
      <c r="GU267" s="12"/>
      <c r="GV267" s="12"/>
      <c r="GW267" s="12"/>
      <c r="GX267" s="12"/>
      <c r="GY267" s="12"/>
      <c r="GZ267" s="12"/>
      <c r="HA267" s="12"/>
      <c r="HB267" s="12"/>
      <c r="HC267" s="12"/>
      <c r="HD267" s="12"/>
      <c r="HE267" s="12"/>
      <c r="HF267" s="12"/>
      <c r="HG267" s="12"/>
      <c r="HH267" s="12"/>
      <c r="HI267" s="12"/>
      <c r="HJ267" s="12"/>
      <c r="HK267" s="12"/>
      <c r="HL267" s="12"/>
      <c r="HM267" s="12"/>
      <c r="HN267" s="12"/>
      <c r="HO267" s="12"/>
      <c r="HP267" s="12"/>
      <c r="HQ267" s="12"/>
      <c r="HR267" s="12"/>
      <c r="HS267" s="12"/>
      <c r="HT267" s="12"/>
      <c r="HU267" s="12"/>
      <c r="HV267" s="12"/>
      <c r="HW267" s="12"/>
      <c r="HX267" s="12"/>
      <c r="HY267" s="12"/>
      <c r="HZ267" s="12"/>
      <c r="IA267" s="12"/>
      <c r="IB267" s="12"/>
      <c r="IC267" s="12"/>
      <c r="ID267" s="12"/>
      <c r="IE267" s="12"/>
      <c r="IF267" s="12"/>
      <c r="IG267" s="12"/>
      <c r="IH267" s="12"/>
      <c r="II267" s="12"/>
      <c r="IJ267" s="12"/>
      <c r="IK267" s="12"/>
      <c r="IL267" s="12"/>
      <c r="IM267" s="12"/>
      <c r="IN267" s="12"/>
      <c r="IO267" s="12"/>
      <c r="IP267" s="12"/>
      <c r="IQ267" s="12"/>
      <c r="IR267" s="12"/>
      <c r="IS267" s="12"/>
      <c r="IT267" s="12"/>
      <c r="IU267" s="12"/>
      <c r="IV267" s="12"/>
      <c r="IW267" s="12"/>
    </row>
    <row r="268" customFormat="false" ht="11.25" hidden="false" customHeight="false" outlineLevel="0" collapsed="false">
      <c r="A268" s="25" t="n">
        <f aca="false">DATE(YEAR(A267),MONTH(A267)+1,1)</f>
        <v>53874</v>
      </c>
      <c r="B268" s="21" t="n">
        <v>3.765</v>
      </c>
      <c r="C268" s="21" t="n">
        <v>3.865</v>
      </c>
      <c r="D268" s="25" t="n">
        <f aca="false">DATE(YEAR(D267),MONTH(D267)+1,1)</f>
        <v>53874</v>
      </c>
      <c r="E268" s="5"/>
      <c r="F268" s="5"/>
      <c r="G268" s="6"/>
      <c r="H268" s="22" t="n">
        <f aca="false">A268</f>
        <v>53874</v>
      </c>
      <c r="I268" s="23" t="n">
        <f aca="false">IF($J$1="bid",B268,C268)</f>
        <v>3.865</v>
      </c>
      <c r="J268" s="22"/>
      <c r="K268" s="23"/>
      <c r="L268" s="11"/>
      <c r="M268" s="11"/>
      <c r="N268" s="11"/>
      <c r="O268" s="11"/>
      <c r="P268" s="11"/>
      <c r="Q268" s="11"/>
      <c r="R268" s="11"/>
      <c r="S268" s="11"/>
      <c r="T268" s="11"/>
      <c r="U268" s="11"/>
      <c r="V268" s="11"/>
      <c r="W268" s="11"/>
      <c r="X268" s="11"/>
      <c r="Y268" s="11"/>
      <c r="Z268" s="11"/>
      <c r="AA268" s="11"/>
      <c r="AB268" s="11"/>
      <c r="AC268" s="11"/>
      <c r="AD268" s="11"/>
      <c r="AE268" s="11"/>
      <c r="AF268" s="11"/>
      <c r="AG268" s="11"/>
      <c r="AH268" s="11"/>
      <c r="AI268" s="11"/>
      <c r="AJ268" s="11"/>
      <c r="AK268" s="11"/>
      <c r="AL268" s="11"/>
      <c r="AM268" s="11"/>
      <c r="AN268" s="11"/>
      <c r="AO268" s="11"/>
      <c r="AP268" s="11"/>
      <c r="AQ268" s="11"/>
      <c r="AR268" s="5"/>
      <c r="AS268" s="12"/>
      <c r="AT268" s="12"/>
      <c r="AU268" s="12"/>
      <c r="AV268" s="12"/>
      <c r="AW268" s="12"/>
      <c r="AX268" s="12"/>
      <c r="AY268" s="12"/>
      <c r="AZ268" s="12"/>
      <c r="BA268" s="12"/>
      <c r="BB268" s="12"/>
      <c r="BC268" s="12"/>
      <c r="BD268" s="12"/>
      <c r="BE268" s="12"/>
      <c r="BF268" s="12"/>
      <c r="BG268" s="12"/>
      <c r="BH268" s="12"/>
      <c r="BI268" s="12"/>
      <c r="BJ268" s="12"/>
      <c r="BK268" s="12"/>
      <c r="BL268" s="12"/>
      <c r="BM268" s="12"/>
      <c r="BN268" s="12"/>
      <c r="BO268" s="12"/>
      <c r="BP268" s="12"/>
      <c r="BQ268" s="12"/>
      <c r="BR268" s="12"/>
      <c r="BS268" s="12"/>
      <c r="BT268" s="12"/>
      <c r="BU268" s="12"/>
      <c r="BV268" s="12"/>
      <c r="BW268" s="12"/>
      <c r="BX268" s="12"/>
      <c r="BY268" s="12"/>
      <c r="BZ268" s="12"/>
      <c r="CA268" s="12"/>
      <c r="CB268" s="12"/>
      <c r="CC268" s="12"/>
      <c r="CD268" s="12"/>
      <c r="CE268" s="12"/>
      <c r="CF268" s="12"/>
      <c r="CG268" s="12"/>
      <c r="CH268" s="12"/>
      <c r="CI268" s="12"/>
      <c r="CJ268" s="12"/>
      <c r="CK268" s="12"/>
      <c r="CL268" s="12"/>
      <c r="CM268" s="12"/>
      <c r="CN268" s="12"/>
      <c r="CO268" s="12"/>
      <c r="CP268" s="12"/>
      <c r="CQ268" s="12"/>
      <c r="CR268" s="12"/>
      <c r="CS268" s="12"/>
      <c r="CT268" s="12"/>
      <c r="CU268" s="12"/>
      <c r="CV268" s="12"/>
      <c r="CW268" s="12"/>
      <c r="CX268" s="12"/>
      <c r="CY268" s="12"/>
      <c r="CZ268" s="12"/>
      <c r="DA268" s="12"/>
      <c r="DB268" s="12"/>
      <c r="DC268" s="12"/>
      <c r="DD268" s="12"/>
      <c r="DE268" s="12"/>
      <c r="DF268" s="12"/>
      <c r="DG268" s="12"/>
      <c r="DH268" s="12"/>
      <c r="DI268" s="12"/>
      <c r="DJ268" s="12"/>
      <c r="DK268" s="12"/>
      <c r="DL268" s="12"/>
      <c r="DM268" s="12"/>
      <c r="DN268" s="12"/>
      <c r="DO268" s="12"/>
      <c r="DP268" s="12"/>
      <c r="DQ268" s="12"/>
      <c r="DR268" s="12"/>
      <c r="DS268" s="12"/>
      <c r="DT268" s="12"/>
      <c r="DU268" s="12"/>
      <c r="DV268" s="12"/>
      <c r="DW268" s="12"/>
      <c r="DX268" s="12"/>
      <c r="DY268" s="12"/>
      <c r="DZ268" s="12"/>
      <c r="EA268" s="12"/>
      <c r="EB268" s="12"/>
      <c r="EC268" s="12"/>
      <c r="ED268" s="12"/>
      <c r="EE268" s="12"/>
      <c r="EF268" s="12"/>
      <c r="EG268" s="12"/>
      <c r="EH268" s="12"/>
      <c r="EI268" s="12"/>
      <c r="EJ268" s="12"/>
      <c r="EK268" s="12"/>
      <c r="EL268" s="12"/>
      <c r="EM268" s="12"/>
      <c r="EN268" s="12"/>
      <c r="EO268" s="12"/>
      <c r="EP268" s="12"/>
      <c r="EQ268" s="12"/>
      <c r="ER268" s="12"/>
      <c r="ES268" s="12"/>
      <c r="ET268" s="12"/>
      <c r="EU268" s="12"/>
      <c r="EV268" s="12"/>
      <c r="EW268" s="12"/>
      <c r="EX268" s="12"/>
      <c r="EY268" s="12"/>
      <c r="EZ268" s="12"/>
      <c r="FA268" s="12"/>
      <c r="FB268" s="12"/>
      <c r="FC268" s="12"/>
      <c r="FD268" s="12"/>
      <c r="FE268" s="12"/>
      <c r="FF268" s="12"/>
      <c r="FG268" s="12"/>
      <c r="FH268" s="12"/>
      <c r="FI268" s="12"/>
      <c r="FJ268" s="12"/>
      <c r="FK268" s="12"/>
      <c r="FL268" s="12"/>
      <c r="FM268" s="12"/>
      <c r="FN268" s="12"/>
      <c r="FO268" s="12"/>
      <c r="FP268" s="12"/>
      <c r="FQ268" s="12"/>
      <c r="FR268" s="12"/>
      <c r="FS268" s="12"/>
      <c r="FT268" s="12"/>
      <c r="FU268" s="12"/>
      <c r="FV268" s="12"/>
      <c r="FW268" s="12"/>
      <c r="FX268" s="12"/>
      <c r="FY268" s="12"/>
      <c r="FZ268" s="12"/>
      <c r="GA268" s="12"/>
      <c r="GB268" s="12"/>
      <c r="GC268" s="12"/>
      <c r="GD268" s="12"/>
      <c r="GE268" s="12"/>
      <c r="GF268" s="12"/>
      <c r="GG268" s="12"/>
      <c r="GH268" s="12"/>
      <c r="GI268" s="12"/>
      <c r="GJ268" s="12"/>
      <c r="GK268" s="12"/>
      <c r="GL268" s="12"/>
      <c r="GM268" s="12"/>
      <c r="GN268" s="12"/>
      <c r="GO268" s="12"/>
      <c r="GP268" s="12"/>
      <c r="GQ268" s="12"/>
      <c r="GR268" s="12"/>
      <c r="GS268" s="12"/>
      <c r="GT268" s="12"/>
      <c r="GU268" s="12"/>
      <c r="GV268" s="12"/>
      <c r="GW268" s="12"/>
      <c r="GX268" s="12"/>
      <c r="GY268" s="12"/>
      <c r="GZ268" s="12"/>
      <c r="HA268" s="12"/>
      <c r="HB268" s="12"/>
      <c r="HC268" s="12"/>
      <c r="HD268" s="12"/>
      <c r="HE268" s="12"/>
      <c r="HF268" s="12"/>
      <c r="HG268" s="12"/>
      <c r="HH268" s="12"/>
      <c r="HI268" s="12"/>
      <c r="HJ268" s="12"/>
      <c r="HK268" s="12"/>
      <c r="HL268" s="12"/>
      <c r="HM268" s="12"/>
      <c r="HN268" s="12"/>
      <c r="HO268" s="12"/>
      <c r="HP268" s="12"/>
      <c r="HQ268" s="12"/>
      <c r="HR268" s="12"/>
      <c r="HS268" s="12"/>
      <c r="HT268" s="12"/>
      <c r="HU268" s="12"/>
      <c r="HV268" s="12"/>
      <c r="HW268" s="12"/>
      <c r="HX268" s="12"/>
      <c r="HY268" s="12"/>
      <c r="HZ268" s="12"/>
      <c r="IA268" s="12"/>
      <c r="IB268" s="12"/>
      <c r="IC268" s="12"/>
      <c r="ID268" s="12"/>
      <c r="IE268" s="12"/>
      <c r="IF268" s="12"/>
      <c r="IG268" s="12"/>
      <c r="IH268" s="12"/>
      <c r="II268" s="12"/>
      <c r="IJ268" s="12"/>
      <c r="IK268" s="12"/>
      <c r="IL268" s="12"/>
      <c r="IM268" s="12"/>
      <c r="IN268" s="12"/>
      <c r="IO268" s="12"/>
      <c r="IP268" s="12"/>
      <c r="IQ268" s="12"/>
      <c r="IR268" s="12"/>
      <c r="IS268" s="12"/>
      <c r="IT268" s="12"/>
      <c r="IU268" s="12"/>
      <c r="IV268" s="12"/>
      <c r="IW268" s="12"/>
    </row>
    <row r="269" customFormat="false" ht="11.25" hidden="false" customHeight="false" outlineLevel="0" collapsed="false">
      <c r="A269" s="25" t="n">
        <f aca="false">DATE(YEAR(A268),MONTH(A268)+1,1)</f>
        <v>53905</v>
      </c>
      <c r="B269" s="21" t="n">
        <v>3.765</v>
      </c>
      <c r="C269" s="21" t="n">
        <v>3.865</v>
      </c>
      <c r="D269" s="25" t="n">
        <f aca="false">DATE(YEAR(D268),MONTH(D268)+1,1)</f>
        <v>53905</v>
      </c>
      <c r="E269" s="5"/>
      <c r="F269" s="5"/>
      <c r="G269" s="6"/>
      <c r="H269" s="22" t="n">
        <f aca="false">A269</f>
        <v>53905</v>
      </c>
      <c r="I269" s="23" t="n">
        <f aca="false">IF($J$1="bid",B269,C269)</f>
        <v>3.865</v>
      </c>
      <c r="J269" s="22"/>
      <c r="K269" s="23"/>
      <c r="L269" s="11"/>
      <c r="M269" s="11"/>
      <c r="N269" s="11"/>
      <c r="O269" s="11"/>
      <c r="P269" s="11"/>
      <c r="Q269" s="11"/>
      <c r="R269" s="11"/>
      <c r="S269" s="11"/>
      <c r="T269" s="11"/>
      <c r="U269" s="11"/>
      <c r="V269" s="11"/>
      <c r="W269" s="11"/>
      <c r="X269" s="11"/>
      <c r="Y269" s="11"/>
      <c r="Z269" s="11"/>
      <c r="AA269" s="11"/>
      <c r="AB269" s="11"/>
      <c r="AC269" s="11"/>
      <c r="AD269" s="11"/>
      <c r="AE269" s="11"/>
      <c r="AF269" s="11"/>
      <c r="AG269" s="11"/>
      <c r="AH269" s="11"/>
      <c r="AI269" s="11"/>
      <c r="AJ269" s="11"/>
      <c r="AK269" s="11"/>
      <c r="AL269" s="11"/>
      <c r="AM269" s="11"/>
      <c r="AN269" s="11"/>
      <c r="AO269" s="11"/>
      <c r="AP269" s="11"/>
      <c r="AQ269" s="11"/>
      <c r="AR269" s="5"/>
      <c r="AS269" s="12"/>
      <c r="AT269" s="12"/>
      <c r="AU269" s="12"/>
      <c r="AV269" s="12"/>
      <c r="AW269" s="12"/>
      <c r="AX269" s="12"/>
      <c r="AY269" s="12"/>
      <c r="AZ269" s="12"/>
      <c r="BA269" s="12"/>
      <c r="BB269" s="12"/>
      <c r="BC269" s="12"/>
      <c r="BD269" s="12"/>
      <c r="BE269" s="12"/>
      <c r="BF269" s="12"/>
      <c r="BG269" s="12"/>
      <c r="BH269" s="12"/>
      <c r="BI269" s="12"/>
      <c r="BJ269" s="12"/>
      <c r="BK269" s="12"/>
      <c r="BL269" s="12"/>
      <c r="BM269" s="12"/>
      <c r="BN269" s="12"/>
      <c r="BO269" s="12"/>
      <c r="BP269" s="12"/>
      <c r="BQ269" s="12"/>
      <c r="BR269" s="12"/>
      <c r="BS269" s="12"/>
      <c r="BT269" s="12"/>
      <c r="BU269" s="12"/>
      <c r="BV269" s="12"/>
      <c r="BW269" s="12"/>
      <c r="BX269" s="12"/>
      <c r="BY269" s="12"/>
      <c r="BZ269" s="12"/>
      <c r="CA269" s="12"/>
      <c r="CB269" s="12"/>
      <c r="CC269" s="12"/>
      <c r="CD269" s="12"/>
      <c r="CE269" s="12"/>
      <c r="CF269" s="12"/>
      <c r="CG269" s="12"/>
      <c r="CH269" s="12"/>
      <c r="CI269" s="12"/>
      <c r="CJ269" s="12"/>
      <c r="CK269" s="12"/>
      <c r="CL269" s="12"/>
      <c r="CM269" s="12"/>
      <c r="CN269" s="12"/>
      <c r="CO269" s="12"/>
      <c r="CP269" s="12"/>
      <c r="CQ269" s="12"/>
      <c r="CR269" s="12"/>
      <c r="CS269" s="12"/>
      <c r="CT269" s="12"/>
      <c r="CU269" s="12"/>
      <c r="CV269" s="12"/>
      <c r="CW269" s="12"/>
      <c r="CX269" s="12"/>
      <c r="CY269" s="12"/>
      <c r="CZ269" s="12"/>
      <c r="DA269" s="12"/>
      <c r="DB269" s="12"/>
      <c r="DC269" s="12"/>
      <c r="DD269" s="12"/>
      <c r="DE269" s="12"/>
      <c r="DF269" s="12"/>
      <c r="DG269" s="12"/>
      <c r="DH269" s="12"/>
      <c r="DI269" s="12"/>
      <c r="DJ269" s="12"/>
      <c r="DK269" s="12"/>
      <c r="DL269" s="12"/>
      <c r="DM269" s="12"/>
      <c r="DN269" s="12"/>
      <c r="DO269" s="12"/>
      <c r="DP269" s="12"/>
      <c r="DQ269" s="12"/>
      <c r="DR269" s="12"/>
      <c r="DS269" s="12"/>
      <c r="DT269" s="12"/>
      <c r="DU269" s="12"/>
      <c r="DV269" s="12"/>
      <c r="DW269" s="12"/>
      <c r="DX269" s="12"/>
      <c r="DY269" s="12"/>
      <c r="DZ269" s="12"/>
      <c r="EA269" s="12"/>
      <c r="EB269" s="12"/>
      <c r="EC269" s="12"/>
      <c r="ED269" s="12"/>
      <c r="EE269" s="12"/>
      <c r="EF269" s="12"/>
      <c r="EG269" s="12"/>
      <c r="EH269" s="12"/>
      <c r="EI269" s="12"/>
      <c r="EJ269" s="12"/>
      <c r="EK269" s="12"/>
      <c r="EL269" s="12"/>
      <c r="EM269" s="12"/>
      <c r="EN269" s="12"/>
      <c r="EO269" s="12"/>
      <c r="EP269" s="12"/>
      <c r="EQ269" s="12"/>
      <c r="ER269" s="12"/>
      <c r="ES269" s="12"/>
      <c r="ET269" s="12"/>
      <c r="EU269" s="12"/>
      <c r="EV269" s="12"/>
      <c r="EW269" s="12"/>
      <c r="EX269" s="12"/>
      <c r="EY269" s="12"/>
      <c r="EZ269" s="12"/>
      <c r="FA269" s="12"/>
      <c r="FB269" s="12"/>
      <c r="FC269" s="12"/>
      <c r="FD269" s="12"/>
      <c r="FE269" s="12"/>
      <c r="FF269" s="12"/>
      <c r="FG269" s="12"/>
      <c r="FH269" s="12"/>
      <c r="FI269" s="12"/>
      <c r="FJ269" s="12"/>
      <c r="FK269" s="12"/>
      <c r="FL269" s="12"/>
      <c r="FM269" s="12"/>
      <c r="FN269" s="12"/>
      <c r="FO269" s="12"/>
      <c r="FP269" s="12"/>
      <c r="FQ269" s="12"/>
      <c r="FR269" s="12"/>
      <c r="FS269" s="12"/>
      <c r="FT269" s="12"/>
      <c r="FU269" s="12"/>
      <c r="FV269" s="12"/>
      <c r="FW269" s="12"/>
      <c r="FX269" s="12"/>
      <c r="FY269" s="12"/>
      <c r="FZ269" s="12"/>
      <c r="GA269" s="12"/>
      <c r="GB269" s="12"/>
      <c r="GC269" s="12"/>
      <c r="GD269" s="12"/>
      <c r="GE269" s="12"/>
      <c r="GF269" s="12"/>
      <c r="GG269" s="12"/>
      <c r="GH269" s="12"/>
      <c r="GI269" s="12"/>
      <c r="GJ269" s="12"/>
      <c r="GK269" s="12"/>
      <c r="GL269" s="12"/>
      <c r="GM269" s="12"/>
      <c r="GN269" s="12"/>
      <c r="GO269" s="12"/>
      <c r="GP269" s="12"/>
      <c r="GQ269" s="12"/>
      <c r="GR269" s="12"/>
      <c r="GS269" s="12"/>
      <c r="GT269" s="12"/>
      <c r="GU269" s="12"/>
      <c r="GV269" s="12"/>
      <c r="GW269" s="12"/>
      <c r="GX269" s="12"/>
      <c r="GY269" s="12"/>
      <c r="GZ269" s="12"/>
      <c r="HA269" s="12"/>
      <c r="HB269" s="12"/>
      <c r="HC269" s="12"/>
      <c r="HD269" s="12"/>
      <c r="HE269" s="12"/>
      <c r="HF269" s="12"/>
      <c r="HG269" s="12"/>
      <c r="HH269" s="12"/>
      <c r="HI269" s="12"/>
      <c r="HJ269" s="12"/>
      <c r="HK269" s="12"/>
      <c r="HL269" s="12"/>
      <c r="HM269" s="12"/>
      <c r="HN269" s="12"/>
      <c r="HO269" s="12"/>
      <c r="HP269" s="12"/>
      <c r="HQ269" s="12"/>
      <c r="HR269" s="12"/>
      <c r="HS269" s="12"/>
      <c r="HT269" s="12"/>
      <c r="HU269" s="12"/>
      <c r="HV269" s="12"/>
      <c r="HW269" s="12"/>
      <c r="HX269" s="12"/>
      <c r="HY269" s="12"/>
      <c r="HZ269" s="12"/>
      <c r="IA269" s="12"/>
      <c r="IB269" s="12"/>
      <c r="IC269" s="12"/>
      <c r="ID269" s="12"/>
      <c r="IE269" s="12"/>
      <c r="IF269" s="12"/>
      <c r="IG269" s="12"/>
      <c r="IH269" s="12"/>
      <c r="II269" s="12"/>
      <c r="IJ269" s="12"/>
      <c r="IK269" s="12"/>
      <c r="IL269" s="12"/>
      <c r="IM269" s="12"/>
      <c r="IN269" s="12"/>
      <c r="IO269" s="12"/>
      <c r="IP269" s="12"/>
      <c r="IQ269" s="12"/>
      <c r="IR269" s="12"/>
      <c r="IS269" s="12"/>
      <c r="IT269" s="12"/>
      <c r="IU269" s="12"/>
      <c r="IV269" s="12"/>
      <c r="IW269" s="12"/>
    </row>
    <row r="270" customFormat="false" ht="11.25" hidden="false" customHeight="false" outlineLevel="0" collapsed="false">
      <c r="A270" s="25" t="n">
        <f aca="false">DATE(YEAR(A269),MONTH(A269)+1,1)</f>
        <v>53936</v>
      </c>
      <c r="B270" s="21" t="n">
        <v>3.839</v>
      </c>
      <c r="C270" s="21" t="n">
        <v>3.939</v>
      </c>
      <c r="D270" s="25" t="n">
        <f aca="false">DATE(YEAR(D269),MONTH(D269)+1,1)</f>
        <v>53936</v>
      </c>
      <c r="E270" s="5"/>
      <c r="F270" s="5"/>
      <c r="G270" s="6"/>
      <c r="H270" s="22" t="n">
        <f aca="false">A270</f>
        <v>53936</v>
      </c>
      <c r="I270" s="23" t="n">
        <f aca="false">IF($J$1="bid",B270,C270)</f>
        <v>3.939</v>
      </c>
      <c r="J270" s="22"/>
      <c r="K270" s="23"/>
      <c r="L270" s="11"/>
      <c r="M270" s="11"/>
      <c r="N270" s="11"/>
      <c r="O270" s="11"/>
      <c r="P270" s="11"/>
      <c r="Q270" s="11"/>
      <c r="R270" s="11"/>
      <c r="S270" s="11"/>
      <c r="T270" s="11"/>
      <c r="U270" s="11"/>
      <c r="V270" s="11"/>
      <c r="W270" s="11"/>
      <c r="X270" s="11"/>
      <c r="Y270" s="11"/>
      <c r="Z270" s="11"/>
      <c r="AA270" s="11"/>
      <c r="AB270" s="11"/>
      <c r="AC270" s="11"/>
      <c r="AD270" s="11"/>
      <c r="AE270" s="11"/>
      <c r="AF270" s="11"/>
      <c r="AG270" s="11"/>
      <c r="AH270" s="11"/>
      <c r="AI270" s="11"/>
      <c r="AJ270" s="11"/>
      <c r="AK270" s="11"/>
      <c r="AL270" s="11"/>
      <c r="AM270" s="11"/>
      <c r="AN270" s="11"/>
      <c r="AO270" s="11"/>
      <c r="AP270" s="11"/>
      <c r="AQ270" s="11"/>
      <c r="AR270" s="5"/>
      <c r="AS270" s="12"/>
      <c r="AT270" s="12"/>
      <c r="AU270" s="12"/>
      <c r="AV270" s="12"/>
      <c r="AW270" s="12"/>
      <c r="AX270" s="12"/>
      <c r="AY270" s="12"/>
      <c r="AZ270" s="12"/>
      <c r="BA270" s="12"/>
      <c r="BB270" s="12"/>
      <c r="BC270" s="12"/>
      <c r="BD270" s="12"/>
      <c r="BE270" s="12"/>
      <c r="BF270" s="12"/>
      <c r="BG270" s="12"/>
      <c r="BH270" s="12"/>
      <c r="BI270" s="12"/>
      <c r="BJ270" s="12"/>
      <c r="BK270" s="12"/>
      <c r="BL270" s="12"/>
      <c r="BM270" s="12"/>
      <c r="BN270" s="12"/>
      <c r="BO270" s="12"/>
      <c r="BP270" s="12"/>
      <c r="BQ270" s="12"/>
      <c r="BR270" s="12"/>
      <c r="BS270" s="12"/>
      <c r="BT270" s="12"/>
      <c r="BU270" s="12"/>
      <c r="BV270" s="12"/>
      <c r="BW270" s="12"/>
      <c r="BX270" s="12"/>
      <c r="BY270" s="12"/>
      <c r="BZ270" s="12"/>
      <c r="CA270" s="12"/>
      <c r="CB270" s="12"/>
      <c r="CC270" s="12"/>
      <c r="CD270" s="12"/>
      <c r="CE270" s="12"/>
      <c r="CF270" s="12"/>
      <c r="CG270" s="12"/>
      <c r="CH270" s="12"/>
      <c r="CI270" s="12"/>
      <c r="CJ270" s="12"/>
      <c r="CK270" s="12"/>
      <c r="CL270" s="12"/>
      <c r="CM270" s="12"/>
      <c r="CN270" s="12"/>
      <c r="CO270" s="12"/>
      <c r="CP270" s="12"/>
      <c r="CQ270" s="12"/>
      <c r="CR270" s="12"/>
      <c r="CS270" s="12"/>
      <c r="CT270" s="12"/>
      <c r="CU270" s="12"/>
      <c r="CV270" s="12"/>
      <c r="CW270" s="12"/>
      <c r="CX270" s="12"/>
      <c r="CY270" s="12"/>
      <c r="CZ270" s="12"/>
      <c r="DA270" s="12"/>
      <c r="DB270" s="12"/>
      <c r="DC270" s="12"/>
      <c r="DD270" s="12"/>
      <c r="DE270" s="12"/>
      <c r="DF270" s="12"/>
      <c r="DG270" s="12"/>
      <c r="DH270" s="12"/>
      <c r="DI270" s="12"/>
      <c r="DJ270" s="12"/>
      <c r="DK270" s="12"/>
      <c r="DL270" s="12"/>
      <c r="DM270" s="12"/>
      <c r="DN270" s="12"/>
      <c r="DO270" s="12"/>
      <c r="DP270" s="12"/>
      <c r="DQ270" s="12"/>
      <c r="DR270" s="12"/>
      <c r="DS270" s="12"/>
      <c r="DT270" s="12"/>
      <c r="DU270" s="12"/>
      <c r="DV270" s="12"/>
      <c r="DW270" s="12"/>
      <c r="DX270" s="12"/>
      <c r="DY270" s="12"/>
      <c r="DZ270" s="12"/>
      <c r="EA270" s="12"/>
      <c r="EB270" s="12"/>
      <c r="EC270" s="12"/>
      <c r="ED270" s="12"/>
      <c r="EE270" s="12"/>
      <c r="EF270" s="12"/>
      <c r="EG270" s="12"/>
      <c r="EH270" s="12"/>
      <c r="EI270" s="12"/>
      <c r="EJ270" s="12"/>
      <c r="EK270" s="12"/>
      <c r="EL270" s="12"/>
      <c r="EM270" s="12"/>
      <c r="EN270" s="12"/>
      <c r="EO270" s="12"/>
      <c r="EP270" s="12"/>
      <c r="EQ270" s="12"/>
      <c r="ER270" s="12"/>
      <c r="ES270" s="12"/>
      <c r="ET270" s="12"/>
      <c r="EU270" s="12"/>
      <c r="EV270" s="12"/>
      <c r="EW270" s="12"/>
      <c r="EX270" s="12"/>
      <c r="EY270" s="12"/>
      <c r="EZ270" s="12"/>
      <c r="FA270" s="12"/>
      <c r="FB270" s="12"/>
      <c r="FC270" s="12"/>
      <c r="FD270" s="12"/>
      <c r="FE270" s="12"/>
      <c r="FF270" s="12"/>
      <c r="FG270" s="12"/>
      <c r="FH270" s="12"/>
      <c r="FI270" s="12"/>
      <c r="FJ270" s="12"/>
      <c r="FK270" s="12"/>
      <c r="FL270" s="12"/>
      <c r="FM270" s="12"/>
      <c r="FN270" s="12"/>
      <c r="FO270" s="12"/>
      <c r="FP270" s="12"/>
      <c r="FQ270" s="12"/>
      <c r="FR270" s="12"/>
      <c r="FS270" s="12"/>
      <c r="FT270" s="12"/>
      <c r="FU270" s="12"/>
      <c r="FV270" s="12"/>
      <c r="FW270" s="12"/>
      <c r="FX270" s="12"/>
      <c r="FY270" s="12"/>
      <c r="FZ270" s="12"/>
      <c r="GA270" s="12"/>
      <c r="GB270" s="12"/>
      <c r="GC270" s="12"/>
      <c r="GD270" s="12"/>
      <c r="GE270" s="12"/>
      <c r="GF270" s="12"/>
      <c r="GG270" s="12"/>
      <c r="GH270" s="12"/>
      <c r="GI270" s="12"/>
      <c r="GJ270" s="12"/>
      <c r="GK270" s="12"/>
      <c r="GL270" s="12"/>
      <c r="GM270" s="12"/>
      <c r="GN270" s="12"/>
      <c r="GO270" s="12"/>
      <c r="GP270" s="12"/>
      <c r="GQ270" s="12"/>
      <c r="GR270" s="12"/>
      <c r="GS270" s="12"/>
      <c r="GT270" s="12"/>
      <c r="GU270" s="12"/>
      <c r="GV270" s="12"/>
      <c r="GW270" s="12"/>
      <c r="GX270" s="12"/>
      <c r="GY270" s="12"/>
      <c r="GZ270" s="12"/>
      <c r="HA270" s="12"/>
      <c r="HB270" s="12"/>
      <c r="HC270" s="12"/>
      <c r="HD270" s="12"/>
      <c r="HE270" s="12"/>
      <c r="HF270" s="12"/>
      <c r="HG270" s="12"/>
      <c r="HH270" s="12"/>
      <c r="HI270" s="12"/>
      <c r="HJ270" s="12"/>
      <c r="HK270" s="12"/>
      <c r="HL270" s="12"/>
      <c r="HM270" s="12"/>
      <c r="HN270" s="12"/>
      <c r="HO270" s="12"/>
      <c r="HP270" s="12"/>
      <c r="HQ270" s="12"/>
      <c r="HR270" s="12"/>
      <c r="HS270" s="12"/>
      <c r="HT270" s="12"/>
      <c r="HU270" s="12"/>
      <c r="HV270" s="12"/>
      <c r="HW270" s="12"/>
      <c r="HX270" s="12"/>
      <c r="HY270" s="12"/>
      <c r="HZ270" s="12"/>
      <c r="IA270" s="12"/>
      <c r="IB270" s="12"/>
      <c r="IC270" s="12"/>
      <c r="ID270" s="12"/>
      <c r="IE270" s="12"/>
      <c r="IF270" s="12"/>
      <c r="IG270" s="12"/>
      <c r="IH270" s="12"/>
      <c r="II270" s="12"/>
      <c r="IJ270" s="12"/>
      <c r="IK270" s="12"/>
      <c r="IL270" s="12"/>
      <c r="IM270" s="12"/>
      <c r="IN270" s="12"/>
      <c r="IO270" s="12"/>
      <c r="IP270" s="12"/>
      <c r="IQ270" s="12"/>
      <c r="IR270" s="12"/>
      <c r="IS270" s="12"/>
      <c r="IT270" s="12"/>
      <c r="IU270" s="12"/>
      <c r="IV270" s="12"/>
      <c r="IW270" s="12"/>
    </row>
    <row r="271" customFormat="false" ht="11.25" hidden="false" customHeight="false" outlineLevel="0" collapsed="false">
      <c r="A271" s="25" t="n">
        <f aca="false">DATE(YEAR(A270),MONTH(A270)+1,1)</f>
        <v>53966</v>
      </c>
      <c r="B271" s="21" t="n">
        <v>3.957</v>
      </c>
      <c r="C271" s="21" t="n">
        <v>4.057</v>
      </c>
      <c r="D271" s="25" t="n">
        <f aca="false">DATE(YEAR(D270),MONTH(D270)+1,1)</f>
        <v>53966</v>
      </c>
      <c r="E271" s="5"/>
      <c r="F271" s="5"/>
      <c r="G271" s="6"/>
      <c r="H271" s="22" t="n">
        <f aca="false">A271</f>
        <v>53966</v>
      </c>
      <c r="I271" s="23" t="n">
        <f aca="false">IF($J$1="bid",B271,C271)</f>
        <v>4.057</v>
      </c>
      <c r="J271" s="22"/>
      <c r="K271" s="23"/>
      <c r="L271" s="11"/>
      <c r="M271" s="11"/>
      <c r="N271" s="11"/>
      <c r="O271" s="11"/>
      <c r="P271" s="11"/>
      <c r="Q271" s="11"/>
      <c r="R271" s="11"/>
      <c r="S271" s="11"/>
      <c r="T271" s="11"/>
      <c r="U271" s="11"/>
      <c r="V271" s="11"/>
      <c r="W271" s="11"/>
      <c r="X271" s="11"/>
      <c r="Y271" s="11"/>
      <c r="Z271" s="11"/>
      <c r="AA271" s="11"/>
      <c r="AB271" s="11"/>
      <c r="AC271" s="11"/>
      <c r="AD271" s="11"/>
      <c r="AE271" s="11"/>
      <c r="AF271" s="11"/>
      <c r="AG271" s="11"/>
      <c r="AH271" s="11"/>
      <c r="AI271" s="11"/>
      <c r="AJ271" s="11"/>
      <c r="AK271" s="11"/>
      <c r="AL271" s="11"/>
      <c r="AM271" s="11"/>
      <c r="AN271" s="11"/>
      <c r="AO271" s="11"/>
      <c r="AP271" s="11"/>
      <c r="AQ271" s="11"/>
      <c r="AR271" s="5"/>
      <c r="AS271" s="12"/>
      <c r="AT271" s="12"/>
      <c r="AU271" s="12"/>
      <c r="AV271" s="12"/>
      <c r="AW271" s="12"/>
      <c r="AX271" s="12"/>
      <c r="AY271" s="12"/>
      <c r="AZ271" s="12"/>
      <c r="BA271" s="12"/>
      <c r="BB271" s="12"/>
      <c r="BC271" s="12"/>
      <c r="BD271" s="12"/>
      <c r="BE271" s="12"/>
      <c r="BF271" s="12"/>
      <c r="BG271" s="12"/>
      <c r="BH271" s="12"/>
      <c r="BI271" s="12"/>
      <c r="BJ271" s="12"/>
      <c r="BK271" s="12"/>
      <c r="BL271" s="12"/>
      <c r="BM271" s="12"/>
      <c r="BN271" s="12"/>
      <c r="BO271" s="12"/>
      <c r="BP271" s="12"/>
      <c r="BQ271" s="12"/>
      <c r="BR271" s="12"/>
      <c r="BS271" s="12"/>
      <c r="BT271" s="12"/>
      <c r="BU271" s="12"/>
      <c r="BV271" s="12"/>
      <c r="BW271" s="12"/>
      <c r="BX271" s="12"/>
      <c r="BY271" s="12"/>
      <c r="BZ271" s="12"/>
      <c r="CA271" s="12"/>
      <c r="CB271" s="12"/>
      <c r="CC271" s="12"/>
      <c r="CD271" s="12"/>
      <c r="CE271" s="12"/>
      <c r="CF271" s="12"/>
      <c r="CG271" s="12"/>
      <c r="CH271" s="12"/>
      <c r="CI271" s="12"/>
      <c r="CJ271" s="12"/>
      <c r="CK271" s="12"/>
      <c r="CL271" s="12"/>
      <c r="CM271" s="12"/>
      <c r="CN271" s="12"/>
      <c r="CO271" s="12"/>
      <c r="CP271" s="12"/>
      <c r="CQ271" s="12"/>
      <c r="CR271" s="12"/>
      <c r="CS271" s="12"/>
      <c r="CT271" s="12"/>
      <c r="CU271" s="12"/>
      <c r="CV271" s="12"/>
      <c r="CW271" s="12"/>
      <c r="CX271" s="12"/>
      <c r="CY271" s="12"/>
      <c r="CZ271" s="12"/>
      <c r="DA271" s="12"/>
      <c r="DB271" s="12"/>
      <c r="DC271" s="12"/>
      <c r="DD271" s="12"/>
      <c r="DE271" s="12"/>
      <c r="DF271" s="12"/>
      <c r="DG271" s="12"/>
      <c r="DH271" s="12"/>
      <c r="DI271" s="12"/>
      <c r="DJ271" s="12"/>
      <c r="DK271" s="12"/>
      <c r="DL271" s="12"/>
      <c r="DM271" s="12"/>
      <c r="DN271" s="12"/>
      <c r="DO271" s="12"/>
      <c r="DP271" s="12"/>
      <c r="DQ271" s="12"/>
      <c r="DR271" s="12"/>
      <c r="DS271" s="12"/>
      <c r="DT271" s="12"/>
      <c r="DU271" s="12"/>
      <c r="DV271" s="12"/>
      <c r="DW271" s="12"/>
      <c r="DX271" s="12"/>
      <c r="DY271" s="12"/>
      <c r="DZ271" s="12"/>
      <c r="EA271" s="12"/>
      <c r="EB271" s="12"/>
      <c r="EC271" s="12"/>
      <c r="ED271" s="12"/>
      <c r="EE271" s="12"/>
      <c r="EF271" s="12"/>
      <c r="EG271" s="12"/>
      <c r="EH271" s="12"/>
      <c r="EI271" s="12"/>
      <c r="EJ271" s="12"/>
      <c r="EK271" s="12"/>
      <c r="EL271" s="12"/>
      <c r="EM271" s="12"/>
      <c r="EN271" s="12"/>
      <c r="EO271" s="12"/>
      <c r="EP271" s="12"/>
      <c r="EQ271" s="12"/>
      <c r="ER271" s="12"/>
      <c r="ES271" s="12"/>
      <c r="ET271" s="12"/>
      <c r="EU271" s="12"/>
      <c r="EV271" s="12"/>
      <c r="EW271" s="12"/>
      <c r="EX271" s="12"/>
      <c r="EY271" s="12"/>
      <c r="EZ271" s="12"/>
      <c r="FA271" s="12"/>
      <c r="FB271" s="12"/>
      <c r="FC271" s="12"/>
      <c r="FD271" s="12"/>
      <c r="FE271" s="12"/>
      <c r="FF271" s="12"/>
      <c r="FG271" s="12"/>
      <c r="FH271" s="12"/>
      <c r="FI271" s="12"/>
      <c r="FJ271" s="12"/>
      <c r="FK271" s="12"/>
      <c r="FL271" s="12"/>
      <c r="FM271" s="12"/>
      <c r="FN271" s="12"/>
      <c r="FO271" s="12"/>
      <c r="FP271" s="12"/>
      <c r="FQ271" s="12"/>
      <c r="FR271" s="12"/>
      <c r="FS271" s="12"/>
      <c r="FT271" s="12"/>
      <c r="FU271" s="12"/>
      <c r="FV271" s="12"/>
      <c r="FW271" s="12"/>
      <c r="FX271" s="12"/>
      <c r="FY271" s="12"/>
      <c r="FZ271" s="12"/>
      <c r="GA271" s="12"/>
      <c r="GB271" s="12"/>
      <c r="GC271" s="12"/>
      <c r="GD271" s="12"/>
      <c r="GE271" s="12"/>
      <c r="GF271" s="12"/>
      <c r="GG271" s="12"/>
      <c r="GH271" s="12"/>
      <c r="GI271" s="12"/>
      <c r="GJ271" s="12"/>
      <c r="GK271" s="12"/>
      <c r="GL271" s="12"/>
      <c r="GM271" s="12"/>
      <c r="GN271" s="12"/>
      <c r="GO271" s="12"/>
      <c r="GP271" s="12"/>
      <c r="GQ271" s="12"/>
      <c r="GR271" s="12"/>
      <c r="GS271" s="12"/>
      <c r="GT271" s="12"/>
      <c r="GU271" s="12"/>
      <c r="GV271" s="12"/>
      <c r="GW271" s="12"/>
      <c r="GX271" s="12"/>
      <c r="GY271" s="12"/>
      <c r="GZ271" s="12"/>
      <c r="HA271" s="12"/>
      <c r="HB271" s="12"/>
      <c r="HC271" s="12"/>
      <c r="HD271" s="12"/>
      <c r="HE271" s="12"/>
      <c r="HF271" s="12"/>
      <c r="HG271" s="12"/>
      <c r="HH271" s="12"/>
      <c r="HI271" s="12"/>
      <c r="HJ271" s="12"/>
      <c r="HK271" s="12"/>
      <c r="HL271" s="12"/>
      <c r="HM271" s="12"/>
      <c r="HN271" s="12"/>
      <c r="HO271" s="12"/>
      <c r="HP271" s="12"/>
      <c r="HQ271" s="12"/>
      <c r="HR271" s="12"/>
      <c r="HS271" s="12"/>
      <c r="HT271" s="12"/>
      <c r="HU271" s="12"/>
      <c r="HV271" s="12"/>
      <c r="HW271" s="12"/>
      <c r="HX271" s="12"/>
      <c r="HY271" s="12"/>
      <c r="HZ271" s="12"/>
      <c r="IA271" s="12"/>
      <c r="IB271" s="12"/>
      <c r="IC271" s="12"/>
      <c r="ID271" s="12"/>
      <c r="IE271" s="12"/>
      <c r="IF271" s="12"/>
      <c r="IG271" s="12"/>
      <c r="IH271" s="12"/>
      <c r="II271" s="12"/>
      <c r="IJ271" s="12"/>
      <c r="IK271" s="12"/>
      <c r="IL271" s="12"/>
      <c r="IM271" s="12"/>
      <c r="IN271" s="12"/>
      <c r="IO271" s="12"/>
      <c r="IP271" s="12"/>
      <c r="IQ271" s="12"/>
      <c r="IR271" s="12"/>
      <c r="IS271" s="12"/>
      <c r="IT271" s="12"/>
      <c r="IU271" s="12"/>
      <c r="IV271" s="12"/>
      <c r="IW271" s="12"/>
    </row>
    <row r="272" customFormat="false" ht="11.25" hidden="false" customHeight="false" outlineLevel="0" collapsed="false">
      <c r="A272" s="25" t="n">
        <f aca="false">DATE(YEAR(A271),MONTH(A271)+1,1)</f>
        <v>53997</v>
      </c>
      <c r="B272" s="21" t="n">
        <v>4.133</v>
      </c>
      <c r="C272" s="21" t="n">
        <v>4.233</v>
      </c>
      <c r="D272" s="25" t="n">
        <f aca="false">DATE(YEAR(D271),MONTH(D271)+1,1)</f>
        <v>53997</v>
      </c>
      <c r="E272" s="5"/>
      <c r="F272" s="5"/>
      <c r="G272" s="6"/>
      <c r="H272" s="22" t="n">
        <f aca="false">A272</f>
        <v>53997</v>
      </c>
      <c r="I272" s="23" t="n">
        <f aca="false">IF($J$1="bid",B272,C272)</f>
        <v>4.233</v>
      </c>
      <c r="J272" s="22"/>
      <c r="K272" s="23"/>
      <c r="L272" s="11"/>
      <c r="M272" s="11"/>
      <c r="N272" s="11"/>
      <c r="O272" s="11"/>
      <c r="P272" s="11"/>
      <c r="Q272" s="11"/>
      <c r="R272" s="11"/>
      <c r="S272" s="11"/>
      <c r="T272" s="11"/>
      <c r="U272" s="11"/>
      <c r="V272" s="11"/>
      <c r="W272" s="11"/>
      <c r="X272" s="11"/>
      <c r="Y272" s="11"/>
      <c r="Z272" s="11"/>
      <c r="AA272" s="11"/>
      <c r="AB272" s="11"/>
      <c r="AC272" s="11"/>
      <c r="AD272" s="11"/>
      <c r="AE272" s="11"/>
      <c r="AF272" s="11"/>
      <c r="AG272" s="11"/>
      <c r="AH272" s="11"/>
      <c r="AI272" s="11"/>
      <c r="AJ272" s="11"/>
      <c r="AK272" s="11"/>
      <c r="AL272" s="11"/>
      <c r="AM272" s="11"/>
      <c r="AN272" s="11"/>
      <c r="AO272" s="11"/>
      <c r="AP272" s="11"/>
      <c r="AQ272" s="11"/>
      <c r="AR272" s="5"/>
      <c r="AS272" s="12"/>
      <c r="AT272" s="12"/>
      <c r="AU272" s="12"/>
      <c r="AV272" s="12"/>
      <c r="AW272" s="12"/>
      <c r="AX272" s="12"/>
      <c r="AY272" s="12"/>
      <c r="AZ272" s="12"/>
      <c r="BA272" s="12"/>
      <c r="BB272" s="12"/>
      <c r="BC272" s="12"/>
      <c r="BD272" s="12"/>
      <c r="BE272" s="12"/>
      <c r="BF272" s="12"/>
      <c r="BG272" s="12"/>
      <c r="BH272" s="12"/>
      <c r="BI272" s="12"/>
      <c r="BJ272" s="12"/>
      <c r="BK272" s="12"/>
      <c r="BL272" s="12"/>
      <c r="BM272" s="12"/>
      <c r="BN272" s="12"/>
      <c r="BO272" s="12"/>
      <c r="BP272" s="12"/>
      <c r="BQ272" s="12"/>
      <c r="BR272" s="12"/>
      <c r="BS272" s="12"/>
      <c r="BT272" s="12"/>
      <c r="BU272" s="12"/>
      <c r="BV272" s="12"/>
      <c r="BW272" s="12"/>
      <c r="BX272" s="12"/>
      <c r="BY272" s="12"/>
      <c r="BZ272" s="12"/>
      <c r="CA272" s="12"/>
      <c r="CB272" s="12"/>
      <c r="CC272" s="12"/>
      <c r="CD272" s="12"/>
      <c r="CE272" s="12"/>
      <c r="CF272" s="12"/>
      <c r="CG272" s="12"/>
      <c r="CH272" s="12"/>
      <c r="CI272" s="12"/>
      <c r="CJ272" s="12"/>
      <c r="CK272" s="12"/>
      <c r="CL272" s="12"/>
      <c r="CM272" s="12"/>
      <c r="CN272" s="12"/>
      <c r="CO272" s="12"/>
      <c r="CP272" s="12"/>
      <c r="CQ272" s="12"/>
      <c r="CR272" s="12"/>
      <c r="CS272" s="12"/>
      <c r="CT272" s="12"/>
      <c r="CU272" s="12"/>
      <c r="CV272" s="12"/>
      <c r="CW272" s="12"/>
      <c r="CX272" s="12"/>
      <c r="CY272" s="12"/>
      <c r="CZ272" s="12"/>
      <c r="DA272" s="12"/>
      <c r="DB272" s="12"/>
      <c r="DC272" s="12"/>
      <c r="DD272" s="12"/>
      <c r="DE272" s="12"/>
      <c r="DF272" s="12"/>
      <c r="DG272" s="12"/>
      <c r="DH272" s="12"/>
      <c r="DI272" s="12"/>
      <c r="DJ272" s="12"/>
      <c r="DK272" s="12"/>
      <c r="DL272" s="12"/>
      <c r="DM272" s="12"/>
      <c r="DN272" s="12"/>
      <c r="DO272" s="12"/>
      <c r="DP272" s="12"/>
      <c r="DQ272" s="12"/>
      <c r="DR272" s="12"/>
      <c r="DS272" s="12"/>
      <c r="DT272" s="12"/>
      <c r="DU272" s="12"/>
      <c r="DV272" s="12"/>
      <c r="DW272" s="12"/>
      <c r="DX272" s="12"/>
      <c r="DY272" s="12"/>
      <c r="DZ272" s="12"/>
      <c r="EA272" s="12"/>
      <c r="EB272" s="12"/>
      <c r="EC272" s="12"/>
      <c r="ED272" s="12"/>
      <c r="EE272" s="12"/>
      <c r="EF272" s="12"/>
      <c r="EG272" s="12"/>
      <c r="EH272" s="12"/>
      <c r="EI272" s="12"/>
      <c r="EJ272" s="12"/>
      <c r="EK272" s="12"/>
      <c r="EL272" s="12"/>
      <c r="EM272" s="12"/>
      <c r="EN272" s="12"/>
      <c r="EO272" s="12"/>
      <c r="EP272" s="12"/>
      <c r="EQ272" s="12"/>
      <c r="ER272" s="12"/>
      <c r="ES272" s="12"/>
      <c r="ET272" s="12"/>
      <c r="EU272" s="12"/>
      <c r="EV272" s="12"/>
      <c r="EW272" s="12"/>
      <c r="EX272" s="12"/>
      <c r="EY272" s="12"/>
      <c r="EZ272" s="12"/>
      <c r="FA272" s="12"/>
      <c r="FB272" s="12"/>
      <c r="FC272" s="12"/>
      <c r="FD272" s="12"/>
      <c r="FE272" s="12"/>
      <c r="FF272" s="12"/>
      <c r="FG272" s="12"/>
      <c r="FH272" s="12"/>
      <c r="FI272" s="12"/>
      <c r="FJ272" s="12"/>
      <c r="FK272" s="12"/>
      <c r="FL272" s="12"/>
      <c r="FM272" s="12"/>
      <c r="FN272" s="12"/>
      <c r="FO272" s="12"/>
      <c r="FP272" s="12"/>
      <c r="FQ272" s="12"/>
      <c r="FR272" s="12"/>
      <c r="FS272" s="12"/>
      <c r="FT272" s="12"/>
      <c r="FU272" s="12"/>
      <c r="FV272" s="12"/>
      <c r="FW272" s="12"/>
      <c r="FX272" s="12"/>
      <c r="FY272" s="12"/>
      <c r="FZ272" s="12"/>
      <c r="GA272" s="12"/>
      <c r="GB272" s="12"/>
      <c r="GC272" s="12"/>
      <c r="GD272" s="12"/>
      <c r="GE272" s="12"/>
      <c r="GF272" s="12"/>
      <c r="GG272" s="12"/>
      <c r="GH272" s="12"/>
      <c r="GI272" s="12"/>
      <c r="GJ272" s="12"/>
      <c r="GK272" s="12"/>
      <c r="GL272" s="12"/>
      <c r="GM272" s="12"/>
      <c r="GN272" s="12"/>
      <c r="GO272" s="12"/>
      <c r="GP272" s="12"/>
      <c r="GQ272" s="12"/>
      <c r="GR272" s="12"/>
      <c r="GS272" s="12"/>
      <c r="GT272" s="12"/>
      <c r="GU272" s="12"/>
      <c r="GV272" s="12"/>
      <c r="GW272" s="12"/>
      <c r="GX272" s="12"/>
      <c r="GY272" s="12"/>
      <c r="GZ272" s="12"/>
      <c r="HA272" s="12"/>
      <c r="HB272" s="12"/>
      <c r="HC272" s="12"/>
      <c r="HD272" s="12"/>
      <c r="HE272" s="12"/>
      <c r="HF272" s="12"/>
      <c r="HG272" s="12"/>
      <c r="HH272" s="12"/>
      <c r="HI272" s="12"/>
      <c r="HJ272" s="12"/>
      <c r="HK272" s="12"/>
      <c r="HL272" s="12"/>
      <c r="HM272" s="12"/>
      <c r="HN272" s="12"/>
      <c r="HO272" s="12"/>
      <c r="HP272" s="12"/>
      <c r="HQ272" s="12"/>
      <c r="HR272" s="12"/>
      <c r="HS272" s="12"/>
      <c r="HT272" s="12"/>
      <c r="HU272" s="12"/>
      <c r="HV272" s="12"/>
      <c r="HW272" s="12"/>
      <c r="HX272" s="12"/>
      <c r="HY272" s="12"/>
      <c r="HZ272" s="12"/>
      <c r="IA272" s="12"/>
      <c r="IB272" s="12"/>
      <c r="IC272" s="12"/>
      <c r="ID272" s="12"/>
      <c r="IE272" s="12"/>
      <c r="IF272" s="12"/>
      <c r="IG272" s="12"/>
      <c r="IH272" s="12"/>
      <c r="II272" s="12"/>
      <c r="IJ272" s="12"/>
      <c r="IK272" s="12"/>
      <c r="IL272" s="12"/>
      <c r="IM272" s="12"/>
      <c r="IN272" s="12"/>
      <c r="IO272" s="12"/>
      <c r="IP272" s="12"/>
      <c r="IQ272" s="12"/>
      <c r="IR272" s="12"/>
      <c r="IS272" s="12"/>
      <c r="IT272" s="12"/>
      <c r="IU272" s="12"/>
      <c r="IV272" s="12"/>
      <c r="IW272" s="12"/>
    </row>
    <row r="273" customFormat="false" ht="11.25" hidden="false" customHeight="false" outlineLevel="0" collapsed="false">
      <c r="A273" s="25" t="n">
        <f aca="false">DATE(YEAR(A272),MONTH(A272)+1,1)</f>
        <v>54027</v>
      </c>
      <c r="B273" s="21" t="n">
        <v>4.048</v>
      </c>
      <c r="C273" s="21" t="n">
        <v>4.148</v>
      </c>
      <c r="D273" s="25" t="n">
        <f aca="false">DATE(YEAR(D272),MONTH(D272)+1,1)</f>
        <v>54027</v>
      </c>
      <c r="E273" s="5"/>
      <c r="F273" s="5"/>
      <c r="G273" s="6"/>
      <c r="H273" s="22" t="n">
        <f aca="false">A273</f>
        <v>54027</v>
      </c>
      <c r="I273" s="23" t="n">
        <f aca="false">IF($J$1="bid",B273,C273)</f>
        <v>4.148</v>
      </c>
      <c r="J273" s="22"/>
      <c r="K273" s="23"/>
      <c r="L273" s="11"/>
      <c r="M273" s="11"/>
      <c r="N273" s="11"/>
      <c r="O273" s="11"/>
      <c r="P273" s="11"/>
      <c r="Q273" s="11"/>
      <c r="R273" s="11"/>
      <c r="S273" s="11"/>
      <c r="T273" s="11"/>
      <c r="U273" s="11"/>
      <c r="V273" s="11"/>
      <c r="W273" s="11"/>
      <c r="X273" s="11"/>
      <c r="Y273" s="11"/>
      <c r="Z273" s="11"/>
      <c r="AA273" s="11"/>
      <c r="AB273" s="11"/>
      <c r="AC273" s="11"/>
      <c r="AD273" s="11"/>
      <c r="AE273" s="11"/>
      <c r="AF273" s="11"/>
      <c r="AG273" s="11"/>
      <c r="AH273" s="11"/>
      <c r="AI273" s="11"/>
      <c r="AJ273" s="11"/>
      <c r="AK273" s="11"/>
      <c r="AL273" s="11"/>
      <c r="AM273" s="11"/>
      <c r="AN273" s="11"/>
      <c r="AO273" s="11"/>
      <c r="AP273" s="11"/>
      <c r="AQ273" s="11"/>
      <c r="AR273" s="5"/>
      <c r="AS273" s="12"/>
      <c r="AT273" s="12"/>
      <c r="AU273" s="12"/>
      <c r="AV273" s="12"/>
      <c r="AW273" s="12"/>
      <c r="AX273" s="12"/>
      <c r="AY273" s="12"/>
      <c r="AZ273" s="12"/>
      <c r="BA273" s="12"/>
      <c r="BB273" s="12"/>
      <c r="BC273" s="12"/>
      <c r="BD273" s="12"/>
      <c r="BE273" s="12"/>
      <c r="BF273" s="12"/>
      <c r="BG273" s="12"/>
      <c r="BH273" s="12"/>
      <c r="BI273" s="12"/>
      <c r="BJ273" s="12"/>
      <c r="BK273" s="12"/>
      <c r="BL273" s="12"/>
      <c r="BM273" s="12"/>
      <c r="BN273" s="12"/>
      <c r="BO273" s="12"/>
      <c r="BP273" s="12"/>
      <c r="BQ273" s="12"/>
      <c r="BR273" s="12"/>
      <c r="BS273" s="12"/>
      <c r="BT273" s="12"/>
      <c r="BU273" s="12"/>
      <c r="BV273" s="12"/>
      <c r="BW273" s="12"/>
      <c r="BX273" s="12"/>
      <c r="BY273" s="12"/>
      <c r="BZ273" s="12"/>
      <c r="CA273" s="12"/>
      <c r="CB273" s="12"/>
      <c r="CC273" s="12"/>
      <c r="CD273" s="12"/>
      <c r="CE273" s="12"/>
      <c r="CF273" s="12"/>
      <c r="CG273" s="12"/>
      <c r="CH273" s="12"/>
      <c r="CI273" s="12"/>
      <c r="CJ273" s="12"/>
      <c r="CK273" s="12"/>
      <c r="CL273" s="12"/>
      <c r="CM273" s="12"/>
      <c r="CN273" s="12"/>
      <c r="CO273" s="12"/>
      <c r="CP273" s="12"/>
      <c r="CQ273" s="12"/>
      <c r="CR273" s="12"/>
      <c r="CS273" s="12"/>
      <c r="CT273" s="12"/>
      <c r="CU273" s="12"/>
      <c r="CV273" s="12"/>
      <c r="CW273" s="12"/>
      <c r="CX273" s="12"/>
      <c r="CY273" s="12"/>
      <c r="CZ273" s="12"/>
      <c r="DA273" s="12"/>
      <c r="DB273" s="12"/>
      <c r="DC273" s="12"/>
      <c r="DD273" s="12"/>
      <c r="DE273" s="12"/>
      <c r="DF273" s="12"/>
      <c r="DG273" s="12"/>
      <c r="DH273" s="12"/>
      <c r="DI273" s="12"/>
      <c r="DJ273" s="12"/>
      <c r="DK273" s="12"/>
      <c r="DL273" s="12"/>
      <c r="DM273" s="12"/>
      <c r="DN273" s="12"/>
      <c r="DO273" s="12"/>
      <c r="DP273" s="12"/>
      <c r="DQ273" s="12"/>
      <c r="DR273" s="12"/>
      <c r="DS273" s="12"/>
      <c r="DT273" s="12"/>
      <c r="DU273" s="12"/>
      <c r="DV273" s="12"/>
      <c r="DW273" s="12"/>
      <c r="DX273" s="12"/>
      <c r="DY273" s="12"/>
      <c r="DZ273" s="12"/>
      <c r="EA273" s="12"/>
      <c r="EB273" s="12"/>
      <c r="EC273" s="12"/>
      <c r="ED273" s="12"/>
      <c r="EE273" s="12"/>
      <c r="EF273" s="12"/>
      <c r="EG273" s="12"/>
      <c r="EH273" s="12"/>
      <c r="EI273" s="12"/>
      <c r="EJ273" s="12"/>
      <c r="EK273" s="12"/>
      <c r="EL273" s="12"/>
      <c r="EM273" s="12"/>
      <c r="EN273" s="12"/>
      <c r="EO273" s="12"/>
      <c r="EP273" s="12"/>
      <c r="EQ273" s="12"/>
      <c r="ER273" s="12"/>
      <c r="ES273" s="12"/>
      <c r="ET273" s="12"/>
      <c r="EU273" s="12"/>
      <c r="EV273" s="12"/>
      <c r="EW273" s="12"/>
      <c r="EX273" s="12"/>
      <c r="EY273" s="12"/>
      <c r="EZ273" s="12"/>
      <c r="FA273" s="12"/>
      <c r="FB273" s="12"/>
      <c r="FC273" s="12"/>
      <c r="FD273" s="12"/>
      <c r="FE273" s="12"/>
      <c r="FF273" s="12"/>
      <c r="FG273" s="12"/>
      <c r="FH273" s="12"/>
      <c r="FI273" s="12"/>
      <c r="FJ273" s="12"/>
      <c r="FK273" s="12"/>
      <c r="FL273" s="12"/>
      <c r="FM273" s="12"/>
      <c r="FN273" s="12"/>
      <c r="FO273" s="12"/>
      <c r="FP273" s="12"/>
      <c r="FQ273" s="12"/>
      <c r="FR273" s="12"/>
      <c r="FS273" s="12"/>
      <c r="FT273" s="12"/>
      <c r="FU273" s="12"/>
      <c r="FV273" s="12"/>
      <c r="FW273" s="12"/>
      <c r="FX273" s="12"/>
      <c r="FY273" s="12"/>
      <c r="FZ273" s="12"/>
      <c r="GA273" s="12"/>
      <c r="GB273" s="12"/>
      <c r="GC273" s="12"/>
      <c r="GD273" s="12"/>
      <c r="GE273" s="12"/>
      <c r="GF273" s="12"/>
      <c r="GG273" s="12"/>
      <c r="GH273" s="12"/>
      <c r="GI273" s="12"/>
      <c r="GJ273" s="12"/>
      <c r="GK273" s="12"/>
      <c r="GL273" s="12"/>
      <c r="GM273" s="12"/>
      <c r="GN273" s="12"/>
      <c r="GO273" s="12"/>
      <c r="GP273" s="12"/>
      <c r="GQ273" s="12"/>
      <c r="GR273" s="12"/>
      <c r="GS273" s="12"/>
      <c r="GT273" s="12"/>
      <c r="GU273" s="12"/>
      <c r="GV273" s="12"/>
      <c r="GW273" s="12"/>
      <c r="GX273" s="12"/>
      <c r="GY273" s="12"/>
      <c r="GZ273" s="12"/>
      <c r="HA273" s="12"/>
      <c r="HB273" s="12"/>
      <c r="HC273" s="12"/>
      <c r="HD273" s="12"/>
      <c r="HE273" s="12"/>
      <c r="HF273" s="12"/>
      <c r="HG273" s="12"/>
      <c r="HH273" s="12"/>
      <c r="HI273" s="12"/>
      <c r="HJ273" s="12"/>
      <c r="HK273" s="12"/>
      <c r="HL273" s="12"/>
      <c r="HM273" s="12"/>
      <c r="HN273" s="12"/>
      <c r="HO273" s="12"/>
      <c r="HP273" s="12"/>
      <c r="HQ273" s="12"/>
      <c r="HR273" s="12"/>
      <c r="HS273" s="12"/>
      <c r="HT273" s="12"/>
      <c r="HU273" s="12"/>
      <c r="HV273" s="12"/>
      <c r="HW273" s="12"/>
      <c r="HX273" s="12"/>
      <c r="HY273" s="12"/>
      <c r="HZ273" s="12"/>
      <c r="IA273" s="12"/>
      <c r="IB273" s="12"/>
      <c r="IC273" s="12"/>
      <c r="ID273" s="12"/>
      <c r="IE273" s="12"/>
      <c r="IF273" s="12"/>
      <c r="IG273" s="12"/>
      <c r="IH273" s="12"/>
      <c r="II273" s="12"/>
      <c r="IJ273" s="12"/>
      <c r="IK273" s="12"/>
      <c r="IL273" s="12"/>
      <c r="IM273" s="12"/>
      <c r="IN273" s="12"/>
      <c r="IO273" s="12"/>
      <c r="IP273" s="12"/>
      <c r="IQ273" s="12"/>
      <c r="IR273" s="12"/>
      <c r="IS273" s="12"/>
      <c r="IT273" s="12"/>
      <c r="IU273" s="12"/>
      <c r="IV273" s="12"/>
      <c r="IW273" s="12"/>
    </row>
    <row r="274" customFormat="false" ht="11.25" hidden="false" customHeight="false" outlineLevel="0" collapsed="false">
      <c r="A274" s="25" t="n">
        <f aca="false">DATE(YEAR(A273),MONTH(A273)+1,1)</f>
        <v>54058</v>
      </c>
      <c r="B274" s="21" t="n">
        <v>3.982</v>
      </c>
      <c r="C274" s="21" t="n">
        <v>4.082</v>
      </c>
      <c r="D274" s="25" t="n">
        <f aca="false">DATE(YEAR(D273),MONTH(D273)+1,1)</f>
        <v>54058</v>
      </c>
      <c r="E274" s="5"/>
      <c r="F274" s="5"/>
      <c r="G274" s="6"/>
      <c r="H274" s="22" t="n">
        <f aca="false">A274</f>
        <v>54058</v>
      </c>
      <c r="I274" s="23" t="n">
        <f aca="false">IF($J$1="bid",B274,C274)</f>
        <v>4.082</v>
      </c>
      <c r="J274" s="22"/>
      <c r="K274" s="23"/>
      <c r="L274" s="11"/>
      <c r="M274" s="11"/>
      <c r="N274" s="11"/>
      <c r="O274" s="11"/>
      <c r="P274" s="11"/>
      <c r="Q274" s="11"/>
      <c r="R274" s="11"/>
      <c r="S274" s="11"/>
      <c r="T274" s="11"/>
      <c r="U274" s="11"/>
      <c r="V274" s="11"/>
      <c r="W274" s="11"/>
      <c r="X274" s="11"/>
      <c r="Y274" s="11"/>
      <c r="Z274" s="11"/>
      <c r="AA274" s="11"/>
      <c r="AB274" s="11"/>
      <c r="AC274" s="11"/>
      <c r="AD274" s="11"/>
      <c r="AE274" s="11"/>
      <c r="AF274" s="11"/>
      <c r="AG274" s="11"/>
      <c r="AH274" s="11"/>
      <c r="AI274" s="11"/>
      <c r="AJ274" s="11"/>
      <c r="AK274" s="11"/>
      <c r="AL274" s="11"/>
      <c r="AM274" s="11"/>
      <c r="AN274" s="11"/>
      <c r="AO274" s="11"/>
      <c r="AP274" s="11"/>
      <c r="AQ274" s="11"/>
      <c r="AR274" s="5"/>
      <c r="AS274" s="12"/>
      <c r="AT274" s="12"/>
      <c r="AU274" s="12"/>
      <c r="AV274" s="12"/>
      <c r="AW274" s="12"/>
      <c r="AX274" s="12"/>
      <c r="AY274" s="12"/>
      <c r="AZ274" s="12"/>
      <c r="BA274" s="12"/>
      <c r="BB274" s="12"/>
      <c r="BC274" s="12"/>
      <c r="BD274" s="12"/>
      <c r="BE274" s="12"/>
      <c r="BF274" s="12"/>
      <c r="BG274" s="12"/>
      <c r="BH274" s="12"/>
      <c r="BI274" s="12"/>
      <c r="BJ274" s="12"/>
      <c r="BK274" s="12"/>
      <c r="BL274" s="12"/>
      <c r="BM274" s="12"/>
      <c r="BN274" s="12"/>
      <c r="BO274" s="12"/>
      <c r="BP274" s="12"/>
      <c r="BQ274" s="12"/>
      <c r="BR274" s="12"/>
      <c r="BS274" s="12"/>
      <c r="BT274" s="12"/>
      <c r="BU274" s="12"/>
      <c r="BV274" s="12"/>
      <c r="BW274" s="12"/>
      <c r="BX274" s="12"/>
      <c r="BY274" s="12"/>
      <c r="BZ274" s="12"/>
      <c r="CA274" s="12"/>
      <c r="CB274" s="12"/>
      <c r="CC274" s="12"/>
      <c r="CD274" s="12"/>
      <c r="CE274" s="12"/>
      <c r="CF274" s="12"/>
      <c r="CG274" s="12"/>
      <c r="CH274" s="12"/>
      <c r="CI274" s="12"/>
      <c r="CJ274" s="12"/>
      <c r="CK274" s="12"/>
      <c r="CL274" s="12"/>
      <c r="CM274" s="12"/>
      <c r="CN274" s="12"/>
      <c r="CO274" s="12"/>
      <c r="CP274" s="12"/>
      <c r="CQ274" s="12"/>
      <c r="CR274" s="12"/>
      <c r="CS274" s="12"/>
      <c r="CT274" s="12"/>
      <c r="CU274" s="12"/>
      <c r="CV274" s="12"/>
      <c r="CW274" s="12"/>
      <c r="CX274" s="12"/>
      <c r="CY274" s="12"/>
      <c r="CZ274" s="12"/>
      <c r="DA274" s="12"/>
      <c r="DB274" s="12"/>
      <c r="DC274" s="12"/>
      <c r="DD274" s="12"/>
      <c r="DE274" s="12"/>
      <c r="DF274" s="12"/>
      <c r="DG274" s="12"/>
      <c r="DH274" s="12"/>
      <c r="DI274" s="12"/>
      <c r="DJ274" s="12"/>
      <c r="DK274" s="12"/>
      <c r="DL274" s="12"/>
      <c r="DM274" s="12"/>
      <c r="DN274" s="12"/>
      <c r="DO274" s="12"/>
      <c r="DP274" s="12"/>
      <c r="DQ274" s="12"/>
      <c r="DR274" s="12"/>
      <c r="DS274" s="12"/>
      <c r="DT274" s="12"/>
      <c r="DU274" s="12"/>
      <c r="DV274" s="12"/>
      <c r="DW274" s="12"/>
      <c r="DX274" s="12"/>
      <c r="DY274" s="12"/>
      <c r="DZ274" s="12"/>
      <c r="EA274" s="12"/>
      <c r="EB274" s="12"/>
      <c r="EC274" s="12"/>
      <c r="ED274" s="12"/>
      <c r="EE274" s="12"/>
      <c r="EF274" s="12"/>
      <c r="EG274" s="12"/>
      <c r="EH274" s="12"/>
      <c r="EI274" s="12"/>
      <c r="EJ274" s="12"/>
      <c r="EK274" s="12"/>
      <c r="EL274" s="12"/>
      <c r="EM274" s="12"/>
      <c r="EN274" s="12"/>
      <c r="EO274" s="12"/>
      <c r="EP274" s="12"/>
      <c r="EQ274" s="12"/>
      <c r="ER274" s="12"/>
      <c r="ES274" s="12"/>
      <c r="ET274" s="12"/>
      <c r="EU274" s="12"/>
      <c r="EV274" s="12"/>
      <c r="EW274" s="12"/>
      <c r="EX274" s="12"/>
      <c r="EY274" s="12"/>
      <c r="EZ274" s="12"/>
      <c r="FA274" s="12"/>
      <c r="FB274" s="12"/>
      <c r="FC274" s="12"/>
      <c r="FD274" s="12"/>
      <c r="FE274" s="12"/>
      <c r="FF274" s="12"/>
      <c r="FG274" s="12"/>
      <c r="FH274" s="12"/>
      <c r="FI274" s="12"/>
      <c r="FJ274" s="12"/>
      <c r="FK274" s="12"/>
      <c r="FL274" s="12"/>
      <c r="FM274" s="12"/>
      <c r="FN274" s="12"/>
      <c r="FO274" s="12"/>
      <c r="FP274" s="12"/>
      <c r="FQ274" s="12"/>
      <c r="FR274" s="12"/>
      <c r="FS274" s="12"/>
      <c r="FT274" s="12"/>
      <c r="FU274" s="12"/>
      <c r="FV274" s="12"/>
      <c r="FW274" s="12"/>
      <c r="FX274" s="12"/>
      <c r="FY274" s="12"/>
      <c r="FZ274" s="12"/>
      <c r="GA274" s="12"/>
      <c r="GB274" s="12"/>
      <c r="GC274" s="12"/>
      <c r="GD274" s="12"/>
      <c r="GE274" s="12"/>
      <c r="GF274" s="12"/>
      <c r="GG274" s="12"/>
      <c r="GH274" s="12"/>
      <c r="GI274" s="12"/>
      <c r="GJ274" s="12"/>
      <c r="GK274" s="12"/>
      <c r="GL274" s="12"/>
      <c r="GM274" s="12"/>
      <c r="GN274" s="12"/>
      <c r="GO274" s="12"/>
      <c r="GP274" s="12"/>
      <c r="GQ274" s="12"/>
      <c r="GR274" s="12"/>
      <c r="GS274" s="12"/>
      <c r="GT274" s="12"/>
      <c r="GU274" s="12"/>
      <c r="GV274" s="12"/>
      <c r="GW274" s="12"/>
      <c r="GX274" s="12"/>
      <c r="GY274" s="12"/>
      <c r="GZ274" s="12"/>
      <c r="HA274" s="12"/>
      <c r="HB274" s="12"/>
      <c r="HC274" s="12"/>
      <c r="HD274" s="12"/>
      <c r="HE274" s="12"/>
      <c r="HF274" s="12"/>
      <c r="HG274" s="12"/>
      <c r="HH274" s="12"/>
      <c r="HI274" s="12"/>
      <c r="HJ274" s="12"/>
      <c r="HK274" s="12"/>
      <c r="HL274" s="12"/>
      <c r="HM274" s="12"/>
      <c r="HN274" s="12"/>
      <c r="HO274" s="12"/>
      <c r="HP274" s="12"/>
      <c r="HQ274" s="12"/>
      <c r="HR274" s="12"/>
      <c r="HS274" s="12"/>
      <c r="HT274" s="12"/>
      <c r="HU274" s="12"/>
      <c r="HV274" s="12"/>
      <c r="HW274" s="12"/>
      <c r="HX274" s="12"/>
      <c r="HY274" s="12"/>
      <c r="HZ274" s="12"/>
      <c r="IA274" s="12"/>
      <c r="IB274" s="12"/>
      <c r="IC274" s="12"/>
      <c r="ID274" s="12"/>
      <c r="IE274" s="12"/>
      <c r="IF274" s="12"/>
      <c r="IG274" s="12"/>
      <c r="IH274" s="12"/>
      <c r="II274" s="12"/>
      <c r="IJ274" s="12"/>
      <c r="IK274" s="12"/>
      <c r="IL274" s="12"/>
      <c r="IM274" s="12"/>
      <c r="IN274" s="12"/>
      <c r="IO274" s="12"/>
      <c r="IP274" s="12"/>
      <c r="IQ274" s="12"/>
      <c r="IR274" s="12"/>
      <c r="IS274" s="12"/>
      <c r="IT274" s="12"/>
      <c r="IU274" s="12"/>
      <c r="IV274" s="12"/>
      <c r="IW274" s="12"/>
    </row>
    <row r="275" customFormat="false" ht="11.25" hidden="false" customHeight="false" outlineLevel="0" collapsed="false">
      <c r="A275" s="25" t="n">
        <f aca="false">DATE(YEAR(A274),MONTH(A274)+1,1)</f>
        <v>54089</v>
      </c>
      <c r="B275" s="21" t="n">
        <v>3.933</v>
      </c>
      <c r="C275" s="21" t="n">
        <v>4.033</v>
      </c>
      <c r="D275" s="25" t="n">
        <f aca="false">DATE(YEAR(D274),MONTH(D274)+1,1)</f>
        <v>54089</v>
      </c>
      <c r="E275" s="5"/>
      <c r="F275" s="5"/>
      <c r="G275" s="6"/>
      <c r="H275" s="22" t="n">
        <f aca="false">A275</f>
        <v>54089</v>
      </c>
      <c r="I275" s="23" t="n">
        <f aca="false">IF($J$1="bid",B275,C275)</f>
        <v>4.033</v>
      </c>
      <c r="J275" s="22"/>
      <c r="K275" s="23"/>
      <c r="L275" s="11"/>
      <c r="M275" s="11"/>
      <c r="N275" s="11"/>
      <c r="O275" s="11"/>
      <c r="P275" s="11"/>
      <c r="Q275" s="11"/>
      <c r="R275" s="11"/>
      <c r="S275" s="11"/>
      <c r="T275" s="11"/>
      <c r="U275" s="11"/>
      <c r="V275" s="11"/>
      <c r="W275" s="11"/>
      <c r="X275" s="11"/>
      <c r="Y275" s="11"/>
      <c r="Z275" s="11"/>
      <c r="AA275" s="11"/>
      <c r="AB275" s="11"/>
      <c r="AC275" s="11"/>
      <c r="AD275" s="11"/>
      <c r="AE275" s="11"/>
      <c r="AF275" s="11"/>
      <c r="AG275" s="11"/>
      <c r="AH275" s="11"/>
      <c r="AI275" s="11"/>
      <c r="AJ275" s="11"/>
      <c r="AK275" s="11"/>
      <c r="AL275" s="11"/>
      <c r="AM275" s="11"/>
      <c r="AN275" s="11"/>
      <c r="AO275" s="11"/>
      <c r="AP275" s="11"/>
      <c r="AQ275" s="11"/>
      <c r="AR275" s="5"/>
      <c r="AS275" s="12"/>
      <c r="AT275" s="12"/>
      <c r="AU275" s="12"/>
      <c r="AV275" s="12"/>
      <c r="AW275" s="12"/>
      <c r="AX275" s="12"/>
      <c r="AY275" s="12"/>
      <c r="AZ275" s="12"/>
      <c r="BA275" s="12"/>
      <c r="BB275" s="12"/>
      <c r="BC275" s="12"/>
      <c r="BD275" s="12"/>
      <c r="BE275" s="12"/>
      <c r="BF275" s="12"/>
      <c r="BG275" s="12"/>
      <c r="BH275" s="12"/>
      <c r="BI275" s="12"/>
      <c r="BJ275" s="12"/>
      <c r="BK275" s="12"/>
      <c r="BL275" s="12"/>
      <c r="BM275" s="12"/>
      <c r="BN275" s="12"/>
      <c r="BO275" s="12"/>
      <c r="BP275" s="12"/>
      <c r="BQ275" s="12"/>
      <c r="BR275" s="12"/>
      <c r="BS275" s="12"/>
      <c r="BT275" s="12"/>
      <c r="BU275" s="12"/>
      <c r="BV275" s="12"/>
      <c r="BW275" s="12"/>
      <c r="BX275" s="12"/>
      <c r="BY275" s="12"/>
      <c r="BZ275" s="12"/>
      <c r="CA275" s="12"/>
      <c r="CB275" s="12"/>
      <c r="CC275" s="12"/>
      <c r="CD275" s="12"/>
      <c r="CE275" s="12"/>
      <c r="CF275" s="12"/>
      <c r="CG275" s="12"/>
      <c r="CH275" s="12"/>
      <c r="CI275" s="12"/>
      <c r="CJ275" s="12"/>
      <c r="CK275" s="12"/>
      <c r="CL275" s="12"/>
      <c r="CM275" s="12"/>
      <c r="CN275" s="12"/>
      <c r="CO275" s="12"/>
      <c r="CP275" s="12"/>
      <c r="CQ275" s="12"/>
      <c r="CR275" s="12"/>
      <c r="CS275" s="12"/>
      <c r="CT275" s="12"/>
      <c r="CU275" s="12"/>
      <c r="CV275" s="12"/>
      <c r="CW275" s="12"/>
      <c r="CX275" s="12"/>
      <c r="CY275" s="12"/>
      <c r="CZ275" s="12"/>
      <c r="DA275" s="12"/>
      <c r="DB275" s="12"/>
      <c r="DC275" s="12"/>
      <c r="DD275" s="12"/>
      <c r="DE275" s="12"/>
      <c r="DF275" s="12"/>
      <c r="DG275" s="12"/>
      <c r="DH275" s="12"/>
      <c r="DI275" s="12"/>
      <c r="DJ275" s="12"/>
      <c r="DK275" s="12"/>
      <c r="DL275" s="12"/>
      <c r="DM275" s="12"/>
      <c r="DN275" s="12"/>
      <c r="DO275" s="12"/>
      <c r="DP275" s="12"/>
      <c r="DQ275" s="12"/>
      <c r="DR275" s="12"/>
      <c r="DS275" s="12"/>
      <c r="DT275" s="12"/>
      <c r="DU275" s="12"/>
      <c r="DV275" s="12"/>
      <c r="DW275" s="12"/>
      <c r="DX275" s="12"/>
      <c r="DY275" s="12"/>
      <c r="DZ275" s="12"/>
      <c r="EA275" s="12"/>
      <c r="EB275" s="12"/>
      <c r="EC275" s="12"/>
      <c r="ED275" s="12"/>
      <c r="EE275" s="12"/>
      <c r="EF275" s="12"/>
      <c r="EG275" s="12"/>
      <c r="EH275" s="12"/>
      <c r="EI275" s="12"/>
      <c r="EJ275" s="12"/>
      <c r="EK275" s="12"/>
      <c r="EL275" s="12"/>
      <c r="EM275" s="12"/>
      <c r="EN275" s="12"/>
      <c r="EO275" s="12"/>
      <c r="EP275" s="12"/>
      <c r="EQ275" s="12"/>
      <c r="ER275" s="12"/>
      <c r="ES275" s="12"/>
      <c r="ET275" s="12"/>
      <c r="EU275" s="12"/>
      <c r="EV275" s="12"/>
      <c r="EW275" s="12"/>
      <c r="EX275" s="12"/>
      <c r="EY275" s="12"/>
      <c r="EZ275" s="12"/>
      <c r="FA275" s="12"/>
      <c r="FB275" s="12"/>
      <c r="FC275" s="12"/>
      <c r="FD275" s="12"/>
      <c r="FE275" s="12"/>
      <c r="FF275" s="12"/>
      <c r="FG275" s="12"/>
      <c r="FH275" s="12"/>
      <c r="FI275" s="12"/>
      <c r="FJ275" s="12"/>
      <c r="FK275" s="12"/>
      <c r="FL275" s="12"/>
      <c r="FM275" s="12"/>
      <c r="FN275" s="12"/>
      <c r="FO275" s="12"/>
      <c r="FP275" s="12"/>
      <c r="FQ275" s="12"/>
      <c r="FR275" s="12"/>
      <c r="FS275" s="12"/>
      <c r="FT275" s="12"/>
      <c r="FU275" s="12"/>
      <c r="FV275" s="12"/>
      <c r="FW275" s="12"/>
      <c r="FX275" s="12"/>
      <c r="FY275" s="12"/>
      <c r="FZ275" s="12"/>
      <c r="GA275" s="12"/>
      <c r="GB275" s="12"/>
      <c r="GC275" s="12"/>
      <c r="GD275" s="12"/>
      <c r="GE275" s="12"/>
      <c r="GF275" s="12"/>
      <c r="GG275" s="12"/>
      <c r="GH275" s="12"/>
      <c r="GI275" s="12"/>
      <c r="GJ275" s="12"/>
      <c r="GK275" s="12"/>
      <c r="GL275" s="12"/>
      <c r="GM275" s="12"/>
      <c r="GN275" s="12"/>
      <c r="GO275" s="12"/>
      <c r="GP275" s="12"/>
      <c r="GQ275" s="12"/>
      <c r="GR275" s="12"/>
      <c r="GS275" s="12"/>
      <c r="GT275" s="12"/>
      <c r="GU275" s="12"/>
      <c r="GV275" s="12"/>
      <c r="GW275" s="12"/>
      <c r="GX275" s="12"/>
      <c r="GY275" s="12"/>
      <c r="GZ275" s="12"/>
      <c r="HA275" s="12"/>
      <c r="HB275" s="12"/>
      <c r="HC275" s="12"/>
      <c r="HD275" s="12"/>
      <c r="HE275" s="12"/>
      <c r="HF275" s="12"/>
      <c r="HG275" s="12"/>
      <c r="HH275" s="12"/>
      <c r="HI275" s="12"/>
      <c r="HJ275" s="12"/>
      <c r="HK275" s="12"/>
      <c r="HL275" s="12"/>
      <c r="HM275" s="12"/>
      <c r="HN275" s="12"/>
      <c r="HO275" s="12"/>
      <c r="HP275" s="12"/>
      <c r="HQ275" s="12"/>
      <c r="HR275" s="12"/>
      <c r="HS275" s="12"/>
      <c r="HT275" s="12"/>
      <c r="HU275" s="12"/>
      <c r="HV275" s="12"/>
      <c r="HW275" s="12"/>
      <c r="HX275" s="12"/>
      <c r="HY275" s="12"/>
      <c r="HZ275" s="12"/>
      <c r="IA275" s="12"/>
      <c r="IB275" s="12"/>
      <c r="IC275" s="12"/>
      <c r="ID275" s="12"/>
      <c r="IE275" s="12"/>
      <c r="IF275" s="12"/>
      <c r="IG275" s="12"/>
      <c r="IH275" s="12"/>
      <c r="II275" s="12"/>
      <c r="IJ275" s="12"/>
      <c r="IK275" s="12"/>
      <c r="IL275" s="12"/>
      <c r="IM275" s="12"/>
      <c r="IN275" s="12"/>
      <c r="IO275" s="12"/>
      <c r="IP275" s="12"/>
      <c r="IQ275" s="12"/>
      <c r="IR275" s="12"/>
      <c r="IS275" s="12"/>
      <c r="IT275" s="12"/>
      <c r="IU275" s="12"/>
      <c r="IV275" s="12"/>
      <c r="IW275" s="12"/>
    </row>
    <row r="276" customFormat="false" ht="11.25" hidden="false" customHeight="false" outlineLevel="0" collapsed="false">
      <c r="A276" s="25" t="n">
        <f aca="false">DATE(YEAR(A275),MONTH(A275)+1,1)</f>
        <v>54118</v>
      </c>
      <c r="B276" s="21" t="n">
        <v>3.92</v>
      </c>
      <c r="C276" s="21" t="n">
        <v>4.02</v>
      </c>
      <c r="D276" s="25" t="n">
        <f aca="false">DATE(YEAR(D275),MONTH(D275)+1,1)</f>
        <v>54118</v>
      </c>
      <c r="E276" s="5"/>
      <c r="F276" s="5"/>
      <c r="G276" s="6"/>
      <c r="H276" s="22" t="n">
        <f aca="false">A276</f>
        <v>54118</v>
      </c>
      <c r="I276" s="23" t="n">
        <f aca="false">IF($J$1="bid",B276,C276)</f>
        <v>4.02</v>
      </c>
      <c r="J276" s="22"/>
      <c r="K276" s="23"/>
      <c r="L276" s="11"/>
      <c r="M276" s="11"/>
      <c r="N276" s="11"/>
      <c r="O276" s="11"/>
      <c r="P276" s="11"/>
      <c r="Q276" s="11"/>
      <c r="R276" s="11"/>
      <c r="S276" s="11"/>
      <c r="T276" s="11"/>
      <c r="U276" s="11"/>
      <c r="V276" s="11"/>
      <c r="W276" s="11"/>
      <c r="X276" s="11"/>
      <c r="Y276" s="11"/>
      <c r="Z276" s="11"/>
      <c r="AA276" s="11"/>
      <c r="AB276" s="11"/>
      <c r="AC276" s="11"/>
      <c r="AD276" s="11"/>
      <c r="AE276" s="11"/>
      <c r="AF276" s="11"/>
      <c r="AG276" s="11"/>
      <c r="AH276" s="11"/>
      <c r="AI276" s="11"/>
      <c r="AJ276" s="11"/>
      <c r="AK276" s="11"/>
      <c r="AL276" s="11"/>
      <c r="AM276" s="11"/>
      <c r="AN276" s="11"/>
      <c r="AO276" s="11"/>
      <c r="AP276" s="11"/>
      <c r="AQ276" s="11"/>
      <c r="AR276" s="5"/>
      <c r="AS276" s="12"/>
      <c r="AT276" s="12"/>
      <c r="AU276" s="12"/>
      <c r="AV276" s="12"/>
      <c r="AW276" s="12"/>
      <c r="AX276" s="12"/>
      <c r="AY276" s="12"/>
      <c r="AZ276" s="12"/>
      <c r="BA276" s="12"/>
      <c r="BB276" s="12"/>
      <c r="BC276" s="12"/>
      <c r="BD276" s="12"/>
      <c r="BE276" s="12"/>
      <c r="BF276" s="12"/>
      <c r="BG276" s="12"/>
      <c r="BH276" s="12"/>
      <c r="BI276" s="12"/>
      <c r="BJ276" s="12"/>
      <c r="BK276" s="12"/>
      <c r="BL276" s="12"/>
      <c r="BM276" s="12"/>
      <c r="BN276" s="12"/>
      <c r="BO276" s="12"/>
      <c r="BP276" s="12"/>
      <c r="BQ276" s="12"/>
      <c r="BR276" s="12"/>
      <c r="BS276" s="12"/>
      <c r="BT276" s="12"/>
      <c r="BU276" s="12"/>
      <c r="BV276" s="12"/>
      <c r="BW276" s="12"/>
      <c r="BX276" s="12"/>
      <c r="BY276" s="12"/>
      <c r="BZ276" s="12"/>
      <c r="CA276" s="12"/>
      <c r="CB276" s="12"/>
      <c r="CC276" s="12"/>
      <c r="CD276" s="12"/>
      <c r="CE276" s="12"/>
      <c r="CF276" s="12"/>
      <c r="CG276" s="12"/>
      <c r="CH276" s="12"/>
      <c r="CI276" s="12"/>
      <c r="CJ276" s="12"/>
      <c r="CK276" s="12"/>
      <c r="CL276" s="12"/>
      <c r="CM276" s="12"/>
      <c r="CN276" s="12"/>
      <c r="CO276" s="12"/>
      <c r="CP276" s="12"/>
      <c r="CQ276" s="12"/>
      <c r="CR276" s="12"/>
      <c r="CS276" s="12"/>
      <c r="CT276" s="12"/>
      <c r="CU276" s="12"/>
      <c r="CV276" s="12"/>
      <c r="CW276" s="12"/>
      <c r="CX276" s="12"/>
      <c r="CY276" s="12"/>
      <c r="CZ276" s="12"/>
      <c r="DA276" s="12"/>
      <c r="DB276" s="12"/>
      <c r="DC276" s="12"/>
      <c r="DD276" s="12"/>
      <c r="DE276" s="12"/>
      <c r="DF276" s="12"/>
      <c r="DG276" s="12"/>
      <c r="DH276" s="12"/>
      <c r="DI276" s="12"/>
      <c r="DJ276" s="12"/>
      <c r="DK276" s="12"/>
      <c r="DL276" s="12"/>
      <c r="DM276" s="12"/>
      <c r="DN276" s="12"/>
      <c r="DO276" s="12"/>
      <c r="DP276" s="12"/>
      <c r="DQ276" s="12"/>
      <c r="DR276" s="12"/>
      <c r="DS276" s="12"/>
      <c r="DT276" s="12"/>
      <c r="DU276" s="12"/>
      <c r="DV276" s="12"/>
      <c r="DW276" s="12"/>
      <c r="DX276" s="12"/>
      <c r="DY276" s="12"/>
      <c r="DZ276" s="12"/>
      <c r="EA276" s="12"/>
      <c r="EB276" s="12"/>
      <c r="EC276" s="12"/>
      <c r="ED276" s="12"/>
      <c r="EE276" s="12"/>
      <c r="EF276" s="12"/>
      <c r="EG276" s="12"/>
      <c r="EH276" s="12"/>
      <c r="EI276" s="12"/>
      <c r="EJ276" s="12"/>
      <c r="EK276" s="12"/>
      <c r="EL276" s="12"/>
      <c r="EM276" s="12"/>
      <c r="EN276" s="12"/>
      <c r="EO276" s="12"/>
      <c r="EP276" s="12"/>
      <c r="EQ276" s="12"/>
      <c r="ER276" s="12"/>
      <c r="ES276" s="12"/>
      <c r="ET276" s="12"/>
      <c r="EU276" s="12"/>
      <c r="EV276" s="12"/>
      <c r="EW276" s="12"/>
      <c r="EX276" s="12"/>
      <c r="EY276" s="12"/>
      <c r="EZ276" s="12"/>
      <c r="FA276" s="12"/>
      <c r="FB276" s="12"/>
      <c r="FC276" s="12"/>
      <c r="FD276" s="12"/>
      <c r="FE276" s="12"/>
      <c r="FF276" s="12"/>
      <c r="FG276" s="12"/>
      <c r="FH276" s="12"/>
      <c r="FI276" s="12"/>
      <c r="FJ276" s="12"/>
      <c r="FK276" s="12"/>
      <c r="FL276" s="12"/>
      <c r="FM276" s="12"/>
      <c r="FN276" s="12"/>
      <c r="FO276" s="12"/>
      <c r="FP276" s="12"/>
      <c r="FQ276" s="12"/>
      <c r="FR276" s="12"/>
      <c r="FS276" s="12"/>
      <c r="FT276" s="12"/>
      <c r="FU276" s="12"/>
      <c r="FV276" s="12"/>
      <c r="FW276" s="12"/>
      <c r="FX276" s="12"/>
      <c r="FY276" s="12"/>
      <c r="FZ276" s="12"/>
      <c r="GA276" s="12"/>
      <c r="GB276" s="12"/>
      <c r="GC276" s="12"/>
      <c r="GD276" s="12"/>
      <c r="GE276" s="12"/>
      <c r="GF276" s="12"/>
      <c r="GG276" s="12"/>
      <c r="GH276" s="12"/>
      <c r="GI276" s="12"/>
      <c r="GJ276" s="12"/>
      <c r="GK276" s="12"/>
      <c r="GL276" s="12"/>
      <c r="GM276" s="12"/>
      <c r="GN276" s="12"/>
      <c r="GO276" s="12"/>
      <c r="GP276" s="12"/>
      <c r="GQ276" s="12"/>
      <c r="GR276" s="12"/>
      <c r="GS276" s="12"/>
      <c r="GT276" s="12"/>
      <c r="GU276" s="12"/>
      <c r="GV276" s="12"/>
      <c r="GW276" s="12"/>
      <c r="GX276" s="12"/>
      <c r="GY276" s="12"/>
      <c r="GZ276" s="12"/>
      <c r="HA276" s="12"/>
      <c r="HB276" s="12"/>
      <c r="HC276" s="12"/>
      <c r="HD276" s="12"/>
      <c r="HE276" s="12"/>
      <c r="HF276" s="12"/>
      <c r="HG276" s="12"/>
      <c r="HH276" s="12"/>
      <c r="HI276" s="12"/>
      <c r="HJ276" s="12"/>
      <c r="HK276" s="12"/>
      <c r="HL276" s="12"/>
      <c r="HM276" s="12"/>
      <c r="HN276" s="12"/>
      <c r="HO276" s="12"/>
      <c r="HP276" s="12"/>
      <c r="HQ276" s="12"/>
      <c r="HR276" s="12"/>
      <c r="HS276" s="12"/>
      <c r="HT276" s="12"/>
      <c r="HU276" s="12"/>
      <c r="HV276" s="12"/>
      <c r="HW276" s="12"/>
      <c r="HX276" s="12"/>
      <c r="HY276" s="12"/>
      <c r="HZ276" s="12"/>
      <c r="IA276" s="12"/>
      <c r="IB276" s="12"/>
      <c r="IC276" s="12"/>
      <c r="ID276" s="12"/>
      <c r="IE276" s="12"/>
      <c r="IF276" s="12"/>
      <c r="IG276" s="12"/>
      <c r="IH276" s="12"/>
      <c r="II276" s="12"/>
      <c r="IJ276" s="12"/>
      <c r="IK276" s="12"/>
      <c r="IL276" s="12"/>
      <c r="IM276" s="12"/>
      <c r="IN276" s="12"/>
      <c r="IO276" s="12"/>
      <c r="IP276" s="12"/>
      <c r="IQ276" s="12"/>
      <c r="IR276" s="12"/>
      <c r="IS276" s="12"/>
      <c r="IT276" s="12"/>
      <c r="IU276" s="12"/>
      <c r="IV276" s="12"/>
      <c r="IW276" s="12"/>
    </row>
    <row r="277" customFormat="false" ht="11.25" hidden="false" customHeight="false" outlineLevel="0" collapsed="false">
      <c r="A277" s="25" t="n">
        <f aca="false">DATE(YEAR(A276),MONTH(A276)+1,1)</f>
        <v>54149</v>
      </c>
      <c r="B277" s="21" t="n">
        <v>3.928</v>
      </c>
      <c r="C277" s="21" t="n">
        <v>4.028</v>
      </c>
      <c r="D277" s="25" t="n">
        <f aca="false">DATE(YEAR(D276),MONTH(D276)+1,1)</f>
        <v>54149</v>
      </c>
      <c r="E277" s="5"/>
      <c r="F277" s="5"/>
      <c r="G277" s="6"/>
      <c r="H277" s="22" t="n">
        <f aca="false">A277</f>
        <v>54149</v>
      </c>
      <c r="I277" s="23" t="n">
        <f aca="false">IF($J$1="bid",B277,C277)</f>
        <v>4.028</v>
      </c>
      <c r="J277" s="22"/>
      <c r="K277" s="23"/>
      <c r="L277" s="11"/>
      <c r="M277" s="11"/>
      <c r="N277" s="11"/>
      <c r="O277" s="11"/>
      <c r="P277" s="11"/>
      <c r="Q277" s="11"/>
      <c r="R277" s="11"/>
      <c r="S277" s="11"/>
      <c r="T277" s="11"/>
      <c r="U277" s="11"/>
      <c r="V277" s="11"/>
      <c r="W277" s="11"/>
      <c r="X277" s="11"/>
      <c r="Y277" s="11"/>
      <c r="Z277" s="11"/>
      <c r="AA277" s="11"/>
      <c r="AB277" s="11"/>
      <c r="AC277" s="11"/>
      <c r="AD277" s="11"/>
      <c r="AE277" s="11"/>
      <c r="AF277" s="11"/>
      <c r="AG277" s="11"/>
      <c r="AH277" s="11"/>
      <c r="AI277" s="11"/>
      <c r="AJ277" s="11"/>
      <c r="AK277" s="11"/>
      <c r="AL277" s="11"/>
      <c r="AM277" s="11"/>
      <c r="AN277" s="11"/>
      <c r="AO277" s="11"/>
      <c r="AP277" s="11"/>
      <c r="AQ277" s="11"/>
      <c r="AR277" s="5"/>
      <c r="AS277" s="12"/>
      <c r="AT277" s="12"/>
      <c r="AU277" s="12"/>
      <c r="AV277" s="12"/>
      <c r="AW277" s="12"/>
      <c r="AX277" s="12"/>
      <c r="AY277" s="12"/>
      <c r="AZ277" s="12"/>
      <c r="BA277" s="12"/>
      <c r="BB277" s="12"/>
      <c r="BC277" s="12"/>
      <c r="BD277" s="12"/>
      <c r="BE277" s="12"/>
      <c r="BF277" s="12"/>
      <c r="BG277" s="12"/>
      <c r="BH277" s="12"/>
      <c r="BI277" s="12"/>
      <c r="BJ277" s="12"/>
      <c r="BK277" s="12"/>
      <c r="BL277" s="12"/>
      <c r="BM277" s="12"/>
      <c r="BN277" s="12"/>
      <c r="BO277" s="12"/>
      <c r="BP277" s="12"/>
      <c r="BQ277" s="12"/>
      <c r="BR277" s="12"/>
      <c r="BS277" s="12"/>
      <c r="BT277" s="12"/>
      <c r="BU277" s="12"/>
      <c r="BV277" s="12"/>
      <c r="BW277" s="12"/>
      <c r="BX277" s="12"/>
      <c r="BY277" s="12"/>
      <c r="BZ277" s="12"/>
      <c r="CA277" s="12"/>
      <c r="CB277" s="12"/>
      <c r="CC277" s="12"/>
      <c r="CD277" s="12"/>
      <c r="CE277" s="12"/>
      <c r="CF277" s="12"/>
      <c r="CG277" s="12"/>
      <c r="CH277" s="12"/>
      <c r="CI277" s="12"/>
      <c r="CJ277" s="12"/>
      <c r="CK277" s="12"/>
      <c r="CL277" s="12"/>
      <c r="CM277" s="12"/>
      <c r="CN277" s="12"/>
      <c r="CO277" s="12"/>
      <c r="CP277" s="12"/>
      <c r="CQ277" s="12"/>
      <c r="CR277" s="12"/>
      <c r="CS277" s="12"/>
      <c r="CT277" s="12"/>
      <c r="CU277" s="12"/>
      <c r="CV277" s="12"/>
      <c r="CW277" s="12"/>
      <c r="CX277" s="12"/>
      <c r="CY277" s="12"/>
      <c r="CZ277" s="12"/>
      <c r="DA277" s="12"/>
      <c r="DB277" s="12"/>
      <c r="DC277" s="12"/>
      <c r="DD277" s="12"/>
      <c r="DE277" s="12"/>
      <c r="DF277" s="12"/>
      <c r="DG277" s="12"/>
      <c r="DH277" s="12"/>
      <c r="DI277" s="12"/>
      <c r="DJ277" s="12"/>
      <c r="DK277" s="12"/>
      <c r="DL277" s="12"/>
      <c r="DM277" s="12"/>
      <c r="DN277" s="12"/>
      <c r="DO277" s="12"/>
      <c r="DP277" s="12"/>
      <c r="DQ277" s="12"/>
      <c r="DR277" s="12"/>
      <c r="DS277" s="12"/>
      <c r="DT277" s="12"/>
      <c r="DU277" s="12"/>
      <c r="DV277" s="12"/>
      <c r="DW277" s="12"/>
      <c r="DX277" s="12"/>
      <c r="DY277" s="12"/>
      <c r="DZ277" s="12"/>
      <c r="EA277" s="12"/>
      <c r="EB277" s="12"/>
      <c r="EC277" s="12"/>
      <c r="ED277" s="12"/>
      <c r="EE277" s="12"/>
      <c r="EF277" s="12"/>
      <c r="EG277" s="12"/>
      <c r="EH277" s="12"/>
      <c r="EI277" s="12"/>
      <c r="EJ277" s="12"/>
      <c r="EK277" s="12"/>
      <c r="EL277" s="12"/>
      <c r="EM277" s="12"/>
      <c r="EN277" s="12"/>
      <c r="EO277" s="12"/>
      <c r="EP277" s="12"/>
      <c r="EQ277" s="12"/>
      <c r="ER277" s="12"/>
      <c r="ES277" s="12"/>
      <c r="ET277" s="12"/>
      <c r="EU277" s="12"/>
      <c r="EV277" s="12"/>
      <c r="EW277" s="12"/>
      <c r="EX277" s="12"/>
      <c r="EY277" s="12"/>
      <c r="EZ277" s="12"/>
      <c r="FA277" s="12"/>
      <c r="FB277" s="12"/>
      <c r="FC277" s="12"/>
      <c r="FD277" s="12"/>
      <c r="FE277" s="12"/>
      <c r="FF277" s="12"/>
      <c r="FG277" s="12"/>
      <c r="FH277" s="12"/>
      <c r="FI277" s="12"/>
      <c r="FJ277" s="12"/>
      <c r="FK277" s="12"/>
      <c r="FL277" s="12"/>
      <c r="FM277" s="12"/>
      <c r="FN277" s="12"/>
      <c r="FO277" s="12"/>
      <c r="FP277" s="12"/>
      <c r="FQ277" s="12"/>
      <c r="FR277" s="12"/>
      <c r="FS277" s="12"/>
      <c r="FT277" s="12"/>
      <c r="FU277" s="12"/>
      <c r="FV277" s="12"/>
      <c r="FW277" s="12"/>
      <c r="FX277" s="12"/>
      <c r="FY277" s="12"/>
      <c r="FZ277" s="12"/>
      <c r="GA277" s="12"/>
      <c r="GB277" s="12"/>
      <c r="GC277" s="12"/>
      <c r="GD277" s="12"/>
      <c r="GE277" s="12"/>
      <c r="GF277" s="12"/>
      <c r="GG277" s="12"/>
      <c r="GH277" s="12"/>
      <c r="GI277" s="12"/>
      <c r="GJ277" s="12"/>
      <c r="GK277" s="12"/>
      <c r="GL277" s="12"/>
      <c r="GM277" s="12"/>
      <c r="GN277" s="12"/>
      <c r="GO277" s="12"/>
      <c r="GP277" s="12"/>
      <c r="GQ277" s="12"/>
      <c r="GR277" s="12"/>
      <c r="GS277" s="12"/>
      <c r="GT277" s="12"/>
      <c r="GU277" s="12"/>
      <c r="GV277" s="12"/>
      <c r="GW277" s="12"/>
      <c r="GX277" s="12"/>
      <c r="GY277" s="12"/>
      <c r="GZ277" s="12"/>
      <c r="HA277" s="12"/>
      <c r="HB277" s="12"/>
      <c r="HC277" s="12"/>
      <c r="HD277" s="12"/>
      <c r="HE277" s="12"/>
      <c r="HF277" s="12"/>
      <c r="HG277" s="12"/>
      <c r="HH277" s="12"/>
      <c r="HI277" s="12"/>
      <c r="HJ277" s="12"/>
      <c r="HK277" s="12"/>
      <c r="HL277" s="12"/>
      <c r="HM277" s="12"/>
      <c r="HN277" s="12"/>
      <c r="HO277" s="12"/>
      <c r="HP277" s="12"/>
      <c r="HQ277" s="12"/>
      <c r="HR277" s="12"/>
      <c r="HS277" s="12"/>
      <c r="HT277" s="12"/>
      <c r="HU277" s="12"/>
      <c r="HV277" s="12"/>
      <c r="HW277" s="12"/>
      <c r="HX277" s="12"/>
      <c r="HY277" s="12"/>
      <c r="HZ277" s="12"/>
      <c r="IA277" s="12"/>
      <c r="IB277" s="12"/>
      <c r="IC277" s="12"/>
      <c r="ID277" s="12"/>
      <c r="IE277" s="12"/>
      <c r="IF277" s="12"/>
      <c r="IG277" s="12"/>
      <c r="IH277" s="12"/>
      <c r="II277" s="12"/>
      <c r="IJ277" s="12"/>
      <c r="IK277" s="12"/>
      <c r="IL277" s="12"/>
      <c r="IM277" s="12"/>
      <c r="IN277" s="12"/>
      <c r="IO277" s="12"/>
      <c r="IP277" s="12"/>
      <c r="IQ277" s="12"/>
      <c r="IR277" s="12"/>
      <c r="IS277" s="12"/>
      <c r="IT277" s="12"/>
      <c r="IU277" s="12"/>
      <c r="IV277" s="12"/>
      <c r="IW277" s="12"/>
    </row>
    <row r="278" customFormat="false" ht="11.25" hidden="false" customHeight="false" outlineLevel="0" collapsed="false">
      <c r="A278" s="25" t="n">
        <f aca="false">DATE(YEAR(A277),MONTH(A277)+1,1)</f>
        <v>54179</v>
      </c>
      <c r="B278" s="21" t="n">
        <v>3.92</v>
      </c>
      <c r="C278" s="21" t="n">
        <v>4.02</v>
      </c>
      <c r="D278" s="25" t="n">
        <f aca="false">DATE(YEAR(D277),MONTH(D277)+1,1)</f>
        <v>54179</v>
      </c>
      <c r="E278" s="5"/>
      <c r="F278" s="5"/>
      <c r="G278" s="6"/>
      <c r="H278" s="22" t="n">
        <f aca="false">A278</f>
        <v>54179</v>
      </c>
      <c r="I278" s="23" t="n">
        <f aca="false">IF($J$1="bid",B278,C278)</f>
        <v>4.02</v>
      </c>
      <c r="J278" s="22"/>
      <c r="K278" s="23"/>
      <c r="L278" s="11"/>
      <c r="M278" s="11"/>
      <c r="N278" s="11"/>
      <c r="O278" s="11"/>
      <c r="P278" s="11"/>
      <c r="Q278" s="11"/>
      <c r="R278" s="11"/>
      <c r="S278" s="11"/>
      <c r="T278" s="11"/>
      <c r="U278" s="11"/>
      <c r="V278" s="11"/>
      <c r="W278" s="11"/>
      <c r="X278" s="11"/>
      <c r="Y278" s="11"/>
      <c r="Z278" s="11"/>
      <c r="AA278" s="11"/>
      <c r="AB278" s="11"/>
      <c r="AC278" s="11"/>
      <c r="AD278" s="11"/>
      <c r="AE278" s="11"/>
      <c r="AF278" s="11"/>
      <c r="AG278" s="11"/>
      <c r="AH278" s="11"/>
      <c r="AI278" s="11"/>
      <c r="AJ278" s="11"/>
      <c r="AK278" s="11"/>
      <c r="AL278" s="11"/>
      <c r="AM278" s="11"/>
      <c r="AN278" s="11"/>
      <c r="AO278" s="11"/>
      <c r="AP278" s="11"/>
      <c r="AQ278" s="11"/>
      <c r="AR278" s="5"/>
      <c r="AS278" s="12"/>
      <c r="AT278" s="12"/>
      <c r="AU278" s="12"/>
      <c r="AV278" s="12"/>
      <c r="AW278" s="12"/>
      <c r="AX278" s="12"/>
      <c r="AY278" s="12"/>
      <c r="AZ278" s="12"/>
      <c r="BA278" s="12"/>
      <c r="BB278" s="12"/>
      <c r="BC278" s="12"/>
      <c r="BD278" s="12"/>
      <c r="BE278" s="12"/>
      <c r="BF278" s="12"/>
      <c r="BG278" s="12"/>
      <c r="BH278" s="12"/>
      <c r="BI278" s="12"/>
      <c r="BJ278" s="12"/>
      <c r="BK278" s="12"/>
      <c r="BL278" s="12"/>
      <c r="BM278" s="12"/>
      <c r="BN278" s="12"/>
      <c r="BO278" s="12"/>
      <c r="BP278" s="12"/>
      <c r="BQ278" s="12"/>
      <c r="BR278" s="12"/>
      <c r="BS278" s="12"/>
      <c r="BT278" s="12"/>
      <c r="BU278" s="12"/>
      <c r="BV278" s="12"/>
      <c r="BW278" s="12"/>
      <c r="BX278" s="12"/>
      <c r="BY278" s="12"/>
      <c r="BZ278" s="12"/>
      <c r="CA278" s="12"/>
      <c r="CB278" s="12"/>
      <c r="CC278" s="12"/>
      <c r="CD278" s="12"/>
      <c r="CE278" s="12"/>
      <c r="CF278" s="12"/>
      <c r="CG278" s="12"/>
      <c r="CH278" s="12"/>
      <c r="CI278" s="12"/>
      <c r="CJ278" s="12"/>
      <c r="CK278" s="12"/>
      <c r="CL278" s="12"/>
      <c r="CM278" s="12"/>
      <c r="CN278" s="12"/>
      <c r="CO278" s="12"/>
      <c r="CP278" s="12"/>
      <c r="CQ278" s="12"/>
      <c r="CR278" s="12"/>
      <c r="CS278" s="12"/>
      <c r="CT278" s="12"/>
      <c r="CU278" s="12"/>
      <c r="CV278" s="12"/>
      <c r="CW278" s="12"/>
      <c r="CX278" s="12"/>
      <c r="CY278" s="12"/>
      <c r="CZ278" s="12"/>
      <c r="DA278" s="12"/>
      <c r="DB278" s="12"/>
      <c r="DC278" s="12"/>
      <c r="DD278" s="12"/>
      <c r="DE278" s="12"/>
      <c r="DF278" s="12"/>
      <c r="DG278" s="12"/>
      <c r="DH278" s="12"/>
      <c r="DI278" s="12"/>
      <c r="DJ278" s="12"/>
      <c r="DK278" s="12"/>
      <c r="DL278" s="12"/>
      <c r="DM278" s="12"/>
      <c r="DN278" s="12"/>
      <c r="DO278" s="12"/>
      <c r="DP278" s="12"/>
      <c r="DQ278" s="12"/>
      <c r="DR278" s="12"/>
      <c r="DS278" s="12"/>
      <c r="DT278" s="12"/>
      <c r="DU278" s="12"/>
      <c r="DV278" s="12"/>
      <c r="DW278" s="12"/>
      <c r="DX278" s="12"/>
      <c r="DY278" s="12"/>
      <c r="DZ278" s="12"/>
      <c r="EA278" s="12"/>
      <c r="EB278" s="12"/>
      <c r="EC278" s="12"/>
      <c r="ED278" s="12"/>
      <c r="EE278" s="12"/>
      <c r="EF278" s="12"/>
      <c r="EG278" s="12"/>
      <c r="EH278" s="12"/>
      <c r="EI278" s="12"/>
      <c r="EJ278" s="12"/>
      <c r="EK278" s="12"/>
      <c r="EL278" s="12"/>
      <c r="EM278" s="12"/>
      <c r="EN278" s="12"/>
      <c r="EO278" s="12"/>
      <c r="EP278" s="12"/>
      <c r="EQ278" s="12"/>
      <c r="ER278" s="12"/>
      <c r="ES278" s="12"/>
      <c r="ET278" s="12"/>
      <c r="EU278" s="12"/>
      <c r="EV278" s="12"/>
      <c r="EW278" s="12"/>
      <c r="EX278" s="12"/>
      <c r="EY278" s="12"/>
      <c r="EZ278" s="12"/>
      <c r="FA278" s="12"/>
      <c r="FB278" s="12"/>
      <c r="FC278" s="12"/>
      <c r="FD278" s="12"/>
      <c r="FE278" s="12"/>
      <c r="FF278" s="12"/>
      <c r="FG278" s="12"/>
      <c r="FH278" s="12"/>
      <c r="FI278" s="12"/>
      <c r="FJ278" s="12"/>
      <c r="FK278" s="12"/>
      <c r="FL278" s="12"/>
      <c r="FM278" s="12"/>
      <c r="FN278" s="12"/>
      <c r="FO278" s="12"/>
      <c r="FP278" s="12"/>
      <c r="FQ278" s="12"/>
      <c r="FR278" s="12"/>
      <c r="FS278" s="12"/>
      <c r="FT278" s="12"/>
      <c r="FU278" s="12"/>
      <c r="FV278" s="12"/>
      <c r="FW278" s="12"/>
      <c r="FX278" s="12"/>
      <c r="FY278" s="12"/>
      <c r="FZ278" s="12"/>
      <c r="GA278" s="12"/>
      <c r="GB278" s="12"/>
      <c r="GC278" s="12"/>
      <c r="GD278" s="12"/>
      <c r="GE278" s="12"/>
      <c r="GF278" s="12"/>
      <c r="GG278" s="12"/>
      <c r="GH278" s="12"/>
      <c r="GI278" s="12"/>
      <c r="GJ278" s="12"/>
      <c r="GK278" s="12"/>
      <c r="GL278" s="12"/>
      <c r="GM278" s="12"/>
      <c r="GN278" s="12"/>
      <c r="GO278" s="12"/>
      <c r="GP278" s="12"/>
      <c r="GQ278" s="12"/>
      <c r="GR278" s="12"/>
      <c r="GS278" s="12"/>
      <c r="GT278" s="12"/>
      <c r="GU278" s="12"/>
      <c r="GV278" s="12"/>
      <c r="GW278" s="12"/>
      <c r="GX278" s="12"/>
      <c r="GY278" s="12"/>
      <c r="GZ278" s="12"/>
      <c r="HA278" s="12"/>
      <c r="HB278" s="12"/>
      <c r="HC278" s="12"/>
      <c r="HD278" s="12"/>
      <c r="HE278" s="12"/>
      <c r="HF278" s="12"/>
      <c r="HG278" s="12"/>
      <c r="HH278" s="12"/>
      <c r="HI278" s="12"/>
      <c r="HJ278" s="12"/>
      <c r="HK278" s="12"/>
      <c r="HL278" s="12"/>
      <c r="HM278" s="12"/>
      <c r="HN278" s="12"/>
      <c r="HO278" s="12"/>
      <c r="HP278" s="12"/>
      <c r="HQ278" s="12"/>
      <c r="HR278" s="12"/>
      <c r="HS278" s="12"/>
      <c r="HT278" s="12"/>
      <c r="HU278" s="12"/>
      <c r="HV278" s="12"/>
      <c r="HW278" s="12"/>
      <c r="HX278" s="12"/>
      <c r="HY278" s="12"/>
      <c r="HZ278" s="12"/>
      <c r="IA278" s="12"/>
      <c r="IB278" s="12"/>
      <c r="IC278" s="12"/>
      <c r="ID278" s="12"/>
      <c r="IE278" s="12"/>
      <c r="IF278" s="12"/>
      <c r="IG278" s="12"/>
      <c r="IH278" s="12"/>
      <c r="II278" s="12"/>
      <c r="IJ278" s="12"/>
      <c r="IK278" s="12"/>
      <c r="IL278" s="12"/>
      <c r="IM278" s="12"/>
      <c r="IN278" s="12"/>
      <c r="IO278" s="12"/>
      <c r="IP278" s="12"/>
      <c r="IQ278" s="12"/>
      <c r="IR278" s="12"/>
      <c r="IS278" s="12"/>
      <c r="IT278" s="12"/>
      <c r="IU278" s="12"/>
      <c r="IV278" s="12"/>
      <c r="IW278" s="12"/>
    </row>
    <row r="279" customFormat="false" ht="11.25" hidden="false" customHeight="false" outlineLevel="0" collapsed="false">
      <c r="A279" s="25" t="n">
        <f aca="false">DATE(YEAR(A278),MONTH(A278)+1,1)</f>
        <v>54210</v>
      </c>
      <c r="B279" s="21" t="n">
        <v>3.92</v>
      </c>
      <c r="C279" s="21" t="n">
        <v>4.02</v>
      </c>
      <c r="D279" s="25" t="n">
        <f aca="false">DATE(YEAR(D278),MONTH(D278)+1,1)</f>
        <v>54210</v>
      </c>
      <c r="E279" s="5"/>
      <c r="F279" s="5"/>
      <c r="G279" s="6"/>
      <c r="H279" s="22" t="n">
        <f aca="false">A279</f>
        <v>54210</v>
      </c>
      <c r="I279" s="23" t="n">
        <f aca="false">IF($J$1="bid",B279,C279)</f>
        <v>4.02</v>
      </c>
      <c r="J279" s="22"/>
      <c r="K279" s="23"/>
      <c r="L279" s="11"/>
      <c r="M279" s="11"/>
      <c r="N279" s="11"/>
      <c r="O279" s="11"/>
      <c r="P279" s="11"/>
      <c r="Q279" s="11"/>
      <c r="R279" s="11"/>
      <c r="S279" s="11"/>
      <c r="T279" s="11"/>
      <c r="U279" s="11"/>
      <c r="V279" s="11"/>
      <c r="W279" s="11"/>
      <c r="X279" s="11"/>
      <c r="Y279" s="11"/>
      <c r="Z279" s="11"/>
      <c r="AA279" s="11"/>
      <c r="AB279" s="11"/>
      <c r="AC279" s="11"/>
      <c r="AD279" s="11"/>
      <c r="AE279" s="11"/>
      <c r="AF279" s="11"/>
      <c r="AG279" s="11"/>
      <c r="AH279" s="11"/>
      <c r="AI279" s="11"/>
      <c r="AJ279" s="11"/>
      <c r="AK279" s="11"/>
      <c r="AL279" s="11"/>
      <c r="AM279" s="11"/>
      <c r="AN279" s="11"/>
      <c r="AO279" s="11"/>
      <c r="AP279" s="11"/>
      <c r="AQ279" s="11"/>
      <c r="AR279" s="5"/>
      <c r="AS279" s="12"/>
      <c r="AT279" s="12"/>
      <c r="AU279" s="12"/>
      <c r="AV279" s="12"/>
      <c r="AW279" s="12"/>
      <c r="AX279" s="12"/>
      <c r="AY279" s="12"/>
      <c r="AZ279" s="12"/>
      <c r="BA279" s="12"/>
      <c r="BB279" s="12"/>
      <c r="BC279" s="12"/>
      <c r="BD279" s="12"/>
      <c r="BE279" s="12"/>
      <c r="BF279" s="12"/>
      <c r="BG279" s="12"/>
      <c r="BH279" s="12"/>
      <c r="BI279" s="12"/>
      <c r="BJ279" s="12"/>
      <c r="BK279" s="12"/>
      <c r="BL279" s="12"/>
      <c r="BM279" s="12"/>
      <c r="BN279" s="12"/>
      <c r="BO279" s="12"/>
      <c r="BP279" s="12"/>
      <c r="BQ279" s="12"/>
      <c r="BR279" s="12"/>
      <c r="BS279" s="12"/>
      <c r="BT279" s="12"/>
      <c r="BU279" s="12"/>
      <c r="BV279" s="12"/>
      <c r="BW279" s="12"/>
      <c r="BX279" s="12"/>
      <c r="BY279" s="12"/>
      <c r="BZ279" s="12"/>
      <c r="CA279" s="12"/>
      <c r="CB279" s="12"/>
      <c r="CC279" s="12"/>
      <c r="CD279" s="12"/>
      <c r="CE279" s="12"/>
      <c r="CF279" s="12"/>
      <c r="CG279" s="12"/>
      <c r="CH279" s="12"/>
      <c r="CI279" s="12"/>
      <c r="CJ279" s="12"/>
      <c r="CK279" s="12"/>
      <c r="CL279" s="12"/>
      <c r="CM279" s="12"/>
      <c r="CN279" s="12"/>
      <c r="CO279" s="12"/>
      <c r="CP279" s="12"/>
      <c r="CQ279" s="12"/>
      <c r="CR279" s="12"/>
      <c r="CS279" s="12"/>
      <c r="CT279" s="12"/>
      <c r="CU279" s="12"/>
      <c r="CV279" s="12"/>
      <c r="CW279" s="12"/>
      <c r="CX279" s="12"/>
      <c r="CY279" s="12"/>
      <c r="CZ279" s="12"/>
      <c r="DA279" s="12"/>
      <c r="DB279" s="12"/>
      <c r="DC279" s="12"/>
      <c r="DD279" s="12"/>
      <c r="DE279" s="12"/>
      <c r="DF279" s="12"/>
      <c r="DG279" s="12"/>
      <c r="DH279" s="12"/>
      <c r="DI279" s="12"/>
      <c r="DJ279" s="12"/>
      <c r="DK279" s="12"/>
      <c r="DL279" s="12"/>
      <c r="DM279" s="12"/>
      <c r="DN279" s="12"/>
      <c r="DO279" s="12"/>
      <c r="DP279" s="12"/>
      <c r="DQ279" s="12"/>
      <c r="DR279" s="12"/>
      <c r="DS279" s="12"/>
      <c r="DT279" s="12"/>
      <c r="DU279" s="12"/>
      <c r="DV279" s="12"/>
      <c r="DW279" s="12"/>
      <c r="DX279" s="12"/>
      <c r="DY279" s="12"/>
      <c r="DZ279" s="12"/>
      <c r="EA279" s="12"/>
      <c r="EB279" s="12"/>
      <c r="EC279" s="12"/>
      <c r="ED279" s="12"/>
      <c r="EE279" s="12"/>
      <c r="EF279" s="12"/>
      <c r="EG279" s="12"/>
      <c r="EH279" s="12"/>
      <c r="EI279" s="12"/>
      <c r="EJ279" s="12"/>
      <c r="EK279" s="12"/>
      <c r="EL279" s="12"/>
      <c r="EM279" s="12"/>
      <c r="EN279" s="12"/>
      <c r="EO279" s="12"/>
      <c r="EP279" s="12"/>
      <c r="EQ279" s="12"/>
      <c r="ER279" s="12"/>
      <c r="ES279" s="12"/>
      <c r="ET279" s="12"/>
      <c r="EU279" s="12"/>
      <c r="EV279" s="12"/>
      <c r="EW279" s="12"/>
      <c r="EX279" s="12"/>
      <c r="EY279" s="12"/>
      <c r="EZ279" s="12"/>
      <c r="FA279" s="12"/>
      <c r="FB279" s="12"/>
      <c r="FC279" s="12"/>
      <c r="FD279" s="12"/>
      <c r="FE279" s="12"/>
      <c r="FF279" s="12"/>
      <c r="FG279" s="12"/>
      <c r="FH279" s="12"/>
      <c r="FI279" s="12"/>
      <c r="FJ279" s="12"/>
      <c r="FK279" s="12"/>
      <c r="FL279" s="12"/>
      <c r="FM279" s="12"/>
      <c r="FN279" s="12"/>
      <c r="FO279" s="12"/>
      <c r="FP279" s="12"/>
      <c r="FQ279" s="12"/>
      <c r="FR279" s="12"/>
      <c r="FS279" s="12"/>
      <c r="FT279" s="12"/>
      <c r="FU279" s="12"/>
      <c r="FV279" s="12"/>
      <c r="FW279" s="12"/>
      <c r="FX279" s="12"/>
      <c r="FY279" s="12"/>
      <c r="FZ279" s="12"/>
      <c r="GA279" s="12"/>
      <c r="GB279" s="12"/>
      <c r="GC279" s="12"/>
      <c r="GD279" s="12"/>
      <c r="GE279" s="12"/>
      <c r="GF279" s="12"/>
      <c r="GG279" s="12"/>
      <c r="GH279" s="12"/>
      <c r="GI279" s="12"/>
      <c r="GJ279" s="12"/>
      <c r="GK279" s="12"/>
      <c r="GL279" s="12"/>
      <c r="GM279" s="12"/>
      <c r="GN279" s="12"/>
      <c r="GO279" s="12"/>
      <c r="GP279" s="12"/>
      <c r="GQ279" s="12"/>
      <c r="GR279" s="12"/>
      <c r="GS279" s="12"/>
      <c r="GT279" s="12"/>
      <c r="GU279" s="12"/>
      <c r="GV279" s="12"/>
      <c r="GW279" s="12"/>
      <c r="GX279" s="12"/>
      <c r="GY279" s="12"/>
      <c r="GZ279" s="12"/>
      <c r="HA279" s="12"/>
      <c r="HB279" s="12"/>
      <c r="HC279" s="12"/>
      <c r="HD279" s="12"/>
      <c r="HE279" s="12"/>
      <c r="HF279" s="12"/>
      <c r="HG279" s="12"/>
      <c r="HH279" s="12"/>
      <c r="HI279" s="12"/>
      <c r="HJ279" s="12"/>
      <c r="HK279" s="12"/>
      <c r="HL279" s="12"/>
      <c r="HM279" s="12"/>
      <c r="HN279" s="12"/>
      <c r="HO279" s="12"/>
      <c r="HP279" s="12"/>
      <c r="HQ279" s="12"/>
      <c r="HR279" s="12"/>
      <c r="HS279" s="12"/>
      <c r="HT279" s="12"/>
      <c r="HU279" s="12"/>
      <c r="HV279" s="12"/>
      <c r="HW279" s="12"/>
      <c r="HX279" s="12"/>
      <c r="HY279" s="12"/>
      <c r="HZ279" s="12"/>
      <c r="IA279" s="12"/>
      <c r="IB279" s="12"/>
      <c r="IC279" s="12"/>
      <c r="ID279" s="12"/>
      <c r="IE279" s="12"/>
      <c r="IF279" s="12"/>
      <c r="IG279" s="12"/>
      <c r="IH279" s="12"/>
      <c r="II279" s="12"/>
      <c r="IJ279" s="12"/>
      <c r="IK279" s="12"/>
      <c r="IL279" s="12"/>
      <c r="IM279" s="12"/>
      <c r="IN279" s="12"/>
      <c r="IO279" s="12"/>
      <c r="IP279" s="12"/>
      <c r="IQ279" s="12"/>
      <c r="IR279" s="12"/>
      <c r="IS279" s="12"/>
      <c r="IT279" s="12"/>
      <c r="IU279" s="12"/>
      <c r="IV279" s="12"/>
      <c r="IW279" s="12"/>
    </row>
    <row r="280" customFormat="false" ht="11.25" hidden="false" customHeight="false" outlineLevel="0" collapsed="false">
      <c r="A280" s="25" t="n">
        <f aca="false">DATE(YEAR(A279),MONTH(A279)+1,1)</f>
        <v>54240</v>
      </c>
      <c r="B280" s="21" t="n">
        <v>3.92</v>
      </c>
      <c r="C280" s="21" t="n">
        <v>4.02</v>
      </c>
      <c r="D280" s="25" t="n">
        <f aca="false">DATE(YEAR(D279),MONTH(D279)+1,1)</f>
        <v>54240</v>
      </c>
      <c r="E280" s="5"/>
      <c r="F280" s="5"/>
      <c r="G280" s="6"/>
      <c r="H280" s="22" t="n">
        <f aca="false">A280</f>
        <v>54240</v>
      </c>
      <c r="I280" s="23" t="n">
        <f aca="false">IF($J$1="bid",B280,C280)</f>
        <v>4.02</v>
      </c>
      <c r="J280" s="22"/>
      <c r="K280" s="23"/>
      <c r="L280" s="11"/>
      <c r="M280" s="11"/>
      <c r="N280" s="11"/>
      <c r="O280" s="11"/>
      <c r="P280" s="11"/>
      <c r="Q280" s="11"/>
      <c r="R280" s="11"/>
      <c r="S280" s="11"/>
      <c r="T280" s="11"/>
      <c r="U280" s="11"/>
      <c r="V280" s="11"/>
      <c r="W280" s="11"/>
      <c r="X280" s="11"/>
      <c r="Y280" s="11"/>
      <c r="Z280" s="11"/>
      <c r="AA280" s="11"/>
      <c r="AB280" s="11"/>
      <c r="AC280" s="11"/>
      <c r="AD280" s="11"/>
      <c r="AE280" s="11"/>
      <c r="AF280" s="11"/>
      <c r="AG280" s="11"/>
      <c r="AH280" s="11"/>
      <c r="AI280" s="11"/>
      <c r="AJ280" s="11"/>
      <c r="AK280" s="11"/>
      <c r="AL280" s="11"/>
      <c r="AM280" s="11"/>
      <c r="AN280" s="11"/>
      <c r="AO280" s="11"/>
      <c r="AP280" s="11"/>
      <c r="AQ280" s="11"/>
      <c r="AR280" s="5"/>
      <c r="AS280" s="12"/>
      <c r="AT280" s="12"/>
      <c r="AU280" s="12"/>
      <c r="AV280" s="12"/>
      <c r="AW280" s="12"/>
      <c r="AX280" s="12"/>
      <c r="AY280" s="12"/>
      <c r="AZ280" s="12"/>
      <c r="BA280" s="12"/>
      <c r="BB280" s="12"/>
      <c r="BC280" s="12"/>
      <c r="BD280" s="12"/>
      <c r="BE280" s="12"/>
      <c r="BF280" s="12"/>
      <c r="BG280" s="12"/>
      <c r="BH280" s="12"/>
      <c r="BI280" s="12"/>
      <c r="BJ280" s="12"/>
      <c r="BK280" s="12"/>
      <c r="BL280" s="12"/>
      <c r="BM280" s="12"/>
      <c r="BN280" s="12"/>
      <c r="BO280" s="12"/>
      <c r="BP280" s="12"/>
      <c r="BQ280" s="12"/>
      <c r="BR280" s="12"/>
      <c r="BS280" s="12"/>
      <c r="BT280" s="12"/>
      <c r="BU280" s="12"/>
      <c r="BV280" s="12"/>
      <c r="BW280" s="12"/>
      <c r="BX280" s="12"/>
      <c r="BY280" s="12"/>
      <c r="BZ280" s="12"/>
      <c r="CA280" s="12"/>
      <c r="CB280" s="12"/>
      <c r="CC280" s="12"/>
      <c r="CD280" s="12"/>
      <c r="CE280" s="12"/>
      <c r="CF280" s="12"/>
      <c r="CG280" s="12"/>
      <c r="CH280" s="12"/>
      <c r="CI280" s="12"/>
      <c r="CJ280" s="12"/>
      <c r="CK280" s="12"/>
      <c r="CL280" s="12"/>
      <c r="CM280" s="12"/>
      <c r="CN280" s="12"/>
      <c r="CO280" s="12"/>
      <c r="CP280" s="12"/>
      <c r="CQ280" s="12"/>
      <c r="CR280" s="12"/>
      <c r="CS280" s="12"/>
      <c r="CT280" s="12"/>
      <c r="CU280" s="12"/>
      <c r="CV280" s="12"/>
      <c r="CW280" s="12"/>
      <c r="CX280" s="12"/>
      <c r="CY280" s="12"/>
      <c r="CZ280" s="12"/>
      <c r="DA280" s="12"/>
      <c r="DB280" s="12"/>
      <c r="DC280" s="12"/>
      <c r="DD280" s="12"/>
      <c r="DE280" s="12"/>
      <c r="DF280" s="12"/>
      <c r="DG280" s="12"/>
      <c r="DH280" s="12"/>
      <c r="DI280" s="12"/>
      <c r="DJ280" s="12"/>
      <c r="DK280" s="12"/>
      <c r="DL280" s="12"/>
      <c r="DM280" s="12"/>
      <c r="DN280" s="12"/>
      <c r="DO280" s="12"/>
      <c r="DP280" s="12"/>
      <c r="DQ280" s="12"/>
      <c r="DR280" s="12"/>
      <c r="DS280" s="12"/>
      <c r="DT280" s="12"/>
      <c r="DU280" s="12"/>
      <c r="DV280" s="12"/>
      <c r="DW280" s="12"/>
      <c r="DX280" s="12"/>
      <c r="DY280" s="12"/>
      <c r="DZ280" s="12"/>
      <c r="EA280" s="12"/>
      <c r="EB280" s="12"/>
      <c r="EC280" s="12"/>
      <c r="ED280" s="12"/>
      <c r="EE280" s="12"/>
      <c r="EF280" s="12"/>
      <c r="EG280" s="12"/>
      <c r="EH280" s="12"/>
      <c r="EI280" s="12"/>
      <c r="EJ280" s="12"/>
      <c r="EK280" s="12"/>
      <c r="EL280" s="12"/>
      <c r="EM280" s="12"/>
      <c r="EN280" s="12"/>
      <c r="EO280" s="12"/>
      <c r="EP280" s="12"/>
      <c r="EQ280" s="12"/>
      <c r="ER280" s="12"/>
      <c r="ES280" s="12"/>
      <c r="ET280" s="12"/>
      <c r="EU280" s="12"/>
      <c r="EV280" s="12"/>
      <c r="EW280" s="12"/>
      <c r="EX280" s="12"/>
      <c r="EY280" s="12"/>
      <c r="EZ280" s="12"/>
      <c r="FA280" s="12"/>
      <c r="FB280" s="12"/>
      <c r="FC280" s="12"/>
      <c r="FD280" s="12"/>
      <c r="FE280" s="12"/>
      <c r="FF280" s="12"/>
      <c r="FG280" s="12"/>
      <c r="FH280" s="12"/>
      <c r="FI280" s="12"/>
      <c r="FJ280" s="12"/>
      <c r="FK280" s="12"/>
      <c r="FL280" s="12"/>
      <c r="FM280" s="12"/>
      <c r="FN280" s="12"/>
      <c r="FO280" s="12"/>
      <c r="FP280" s="12"/>
      <c r="FQ280" s="12"/>
      <c r="FR280" s="12"/>
      <c r="FS280" s="12"/>
      <c r="FT280" s="12"/>
      <c r="FU280" s="12"/>
      <c r="FV280" s="12"/>
      <c r="FW280" s="12"/>
      <c r="FX280" s="12"/>
      <c r="FY280" s="12"/>
      <c r="FZ280" s="12"/>
      <c r="GA280" s="12"/>
      <c r="GB280" s="12"/>
      <c r="GC280" s="12"/>
      <c r="GD280" s="12"/>
      <c r="GE280" s="12"/>
      <c r="GF280" s="12"/>
      <c r="GG280" s="12"/>
      <c r="GH280" s="12"/>
      <c r="GI280" s="12"/>
      <c r="GJ280" s="12"/>
      <c r="GK280" s="12"/>
      <c r="GL280" s="12"/>
      <c r="GM280" s="12"/>
      <c r="GN280" s="12"/>
      <c r="GO280" s="12"/>
      <c r="GP280" s="12"/>
      <c r="GQ280" s="12"/>
      <c r="GR280" s="12"/>
      <c r="GS280" s="12"/>
      <c r="GT280" s="12"/>
      <c r="GU280" s="12"/>
      <c r="GV280" s="12"/>
      <c r="GW280" s="12"/>
      <c r="GX280" s="12"/>
      <c r="GY280" s="12"/>
      <c r="GZ280" s="12"/>
      <c r="HA280" s="12"/>
      <c r="HB280" s="12"/>
      <c r="HC280" s="12"/>
      <c r="HD280" s="12"/>
      <c r="HE280" s="12"/>
      <c r="HF280" s="12"/>
      <c r="HG280" s="12"/>
      <c r="HH280" s="12"/>
      <c r="HI280" s="12"/>
      <c r="HJ280" s="12"/>
      <c r="HK280" s="12"/>
      <c r="HL280" s="12"/>
      <c r="HM280" s="12"/>
      <c r="HN280" s="12"/>
      <c r="HO280" s="12"/>
      <c r="HP280" s="12"/>
      <c r="HQ280" s="12"/>
      <c r="HR280" s="12"/>
      <c r="HS280" s="12"/>
      <c r="HT280" s="12"/>
      <c r="HU280" s="12"/>
      <c r="HV280" s="12"/>
      <c r="HW280" s="12"/>
      <c r="HX280" s="12"/>
      <c r="HY280" s="12"/>
      <c r="HZ280" s="12"/>
      <c r="IA280" s="12"/>
      <c r="IB280" s="12"/>
      <c r="IC280" s="12"/>
      <c r="ID280" s="12"/>
      <c r="IE280" s="12"/>
      <c r="IF280" s="12"/>
      <c r="IG280" s="12"/>
      <c r="IH280" s="12"/>
      <c r="II280" s="12"/>
      <c r="IJ280" s="12"/>
      <c r="IK280" s="12"/>
      <c r="IL280" s="12"/>
      <c r="IM280" s="12"/>
      <c r="IN280" s="12"/>
      <c r="IO280" s="12"/>
      <c r="IP280" s="12"/>
      <c r="IQ280" s="12"/>
      <c r="IR280" s="12"/>
      <c r="IS280" s="12"/>
      <c r="IT280" s="12"/>
      <c r="IU280" s="12"/>
      <c r="IV280" s="12"/>
      <c r="IW280" s="12"/>
    </row>
    <row r="281" customFormat="false" ht="11.25" hidden="false" customHeight="false" outlineLevel="0" collapsed="false">
      <c r="A281" s="25" t="n">
        <f aca="false">DATE(YEAR(A280),MONTH(A280)+1,1)</f>
        <v>54271</v>
      </c>
      <c r="B281" s="21" t="n">
        <v>3.92</v>
      </c>
      <c r="C281" s="21" t="n">
        <v>4.02</v>
      </c>
      <c r="D281" s="25" t="n">
        <f aca="false">DATE(YEAR(D280),MONTH(D280)+1,1)</f>
        <v>54271</v>
      </c>
      <c r="E281" s="5"/>
      <c r="F281" s="5"/>
      <c r="G281" s="6"/>
      <c r="H281" s="22" t="n">
        <f aca="false">A281</f>
        <v>54271</v>
      </c>
      <c r="I281" s="23" t="n">
        <f aca="false">IF($J$1="bid",B281,C281)</f>
        <v>4.02</v>
      </c>
      <c r="J281" s="22"/>
      <c r="K281" s="23"/>
      <c r="L281" s="11"/>
      <c r="M281" s="11"/>
      <c r="N281" s="11"/>
      <c r="O281" s="11"/>
      <c r="P281" s="11"/>
      <c r="Q281" s="11"/>
      <c r="R281" s="11"/>
      <c r="S281" s="11"/>
      <c r="T281" s="11"/>
      <c r="U281" s="11"/>
      <c r="V281" s="11"/>
      <c r="W281" s="11"/>
      <c r="X281" s="11"/>
      <c r="Y281" s="11"/>
      <c r="Z281" s="11"/>
      <c r="AA281" s="11"/>
      <c r="AB281" s="11"/>
      <c r="AC281" s="11"/>
      <c r="AD281" s="11"/>
      <c r="AE281" s="11"/>
      <c r="AF281" s="11"/>
      <c r="AG281" s="11"/>
      <c r="AH281" s="11"/>
      <c r="AI281" s="11"/>
      <c r="AJ281" s="11"/>
      <c r="AK281" s="11"/>
      <c r="AL281" s="11"/>
      <c r="AM281" s="11"/>
      <c r="AN281" s="11"/>
      <c r="AO281" s="11"/>
      <c r="AP281" s="11"/>
      <c r="AQ281" s="11"/>
      <c r="AR281" s="5"/>
      <c r="AS281" s="12"/>
      <c r="AT281" s="12"/>
      <c r="AU281" s="12"/>
      <c r="AV281" s="12"/>
      <c r="AW281" s="12"/>
      <c r="AX281" s="12"/>
      <c r="AY281" s="12"/>
      <c r="AZ281" s="12"/>
      <c r="BA281" s="12"/>
      <c r="BB281" s="12"/>
      <c r="BC281" s="12"/>
      <c r="BD281" s="12"/>
      <c r="BE281" s="12"/>
      <c r="BF281" s="12"/>
      <c r="BG281" s="12"/>
      <c r="BH281" s="12"/>
      <c r="BI281" s="12"/>
      <c r="BJ281" s="12"/>
      <c r="BK281" s="12"/>
      <c r="BL281" s="12"/>
      <c r="BM281" s="12"/>
      <c r="BN281" s="12"/>
      <c r="BO281" s="12"/>
      <c r="BP281" s="12"/>
      <c r="BQ281" s="12"/>
      <c r="BR281" s="12"/>
      <c r="BS281" s="12"/>
      <c r="BT281" s="12"/>
      <c r="BU281" s="12"/>
      <c r="BV281" s="12"/>
      <c r="BW281" s="12"/>
      <c r="BX281" s="12"/>
      <c r="BY281" s="12"/>
      <c r="BZ281" s="12"/>
      <c r="CA281" s="12"/>
      <c r="CB281" s="12"/>
      <c r="CC281" s="12"/>
      <c r="CD281" s="12"/>
      <c r="CE281" s="12"/>
      <c r="CF281" s="12"/>
      <c r="CG281" s="12"/>
      <c r="CH281" s="12"/>
      <c r="CI281" s="12"/>
      <c r="CJ281" s="12"/>
      <c r="CK281" s="12"/>
      <c r="CL281" s="12"/>
      <c r="CM281" s="12"/>
      <c r="CN281" s="12"/>
      <c r="CO281" s="12"/>
      <c r="CP281" s="12"/>
      <c r="CQ281" s="12"/>
      <c r="CR281" s="12"/>
      <c r="CS281" s="12"/>
      <c r="CT281" s="12"/>
      <c r="CU281" s="12"/>
      <c r="CV281" s="12"/>
      <c r="CW281" s="12"/>
      <c r="CX281" s="12"/>
      <c r="CY281" s="12"/>
      <c r="CZ281" s="12"/>
      <c r="DA281" s="12"/>
      <c r="DB281" s="12"/>
      <c r="DC281" s="12"/>
      <c r="DD281" s="12"/>
      <c r="DE281" s="12"/>
      <c r="DF281" s="12"/>
      <c r="DG281" s="12"/>
      <c r="DH281" s="12"/>
      <c r="DI281" s="12"/>
      <c r="DJ281" s="12"/>
      <c r="DK281" s="12"/>
      <c r="DL281" s="12"/>
      <c r="DM281" s="12"/>
      <c r="DN281" s="12"/>
      <c r="DO281" s="12"/>
      <c r="DP281" s="12"/>
      <c r="DQ281" s="12"/>
      <c r="DR281" s="12"/>
      <c r="DS281" s="12"/>
      <c r="DT281" s="12"/>
      <c r="DU281" s="12"/>
      <c r="DV281" s="12"/>
      <c r="DW281" s="12"/>
      <c r="DX281" s="12"/>
      <c r="DY281" s="12"/>
      <c r="DZ281" s="12"/>
      <c r="EA281" s="12"/>
      <c r="EB281" s="12"/>
      <c r="EC281" s="12"/>
      <c r="ED281" s="12"/>
      <c r="EE281" s="12"/>
      <c r="EF281" s="12"/>
      <c r="EG281" s="12"/>
      <c r="EH281" s="12"/>
      <c r="EI281" s="12"/>
      <c r="EJ281" s="12"/>
      <c r="EK281" s="12"/>
      <c r="EL281" s="12"/>
      <c r="EM281" s="12"/>
      <c r="EN281" s="12"/>
      <c r="EO281" s="12"/>
      <c r="EP281" s="12"/>
      <c r="EQ281" s="12"/>
      <c r="ER281" s="12"/>
      <c r="ES281" s="12"/>
      <c r="ET281" s="12"/>
      <c r="EU281" s="12"/>
      <c r="EV281" s="12"/>
      <c r="EW281" s="12"/>
      <c r="EX281" s="12"/>
      <c r="EY281" s="12"/>
      <c r="EZ281" s="12"/>
      <c r="FA281" s="12"/>
      <c r="FB281" s="12"/>
      <c r="FC281" s="12"/>
      <c r="FD281" s="12"/>
      <c r="FE281" s="12"/>
      <c r="FF281" s="12"/>
      <c r="FG281" s="12"/>
      <c r="FH281" s="12"/>
      <c r="FI281" s="12"/>
      <c r="FJ281" s="12"/>
      <c r="FK281" s="12"/>
      <c r="FL281" s="12"/>
      <c r="FM281" s="12"/>
      <c r="FN281" s="12"/>
      <c r="FO281" s="12"/>
      <c r="FP281" s="12"/>
      <c r="FQ281" s="12"/>
      <c r="FR281" s="12"/>
      <c r="FS281" s="12"/>
      <c r="FT281" s="12"/>
      <c r="FU281" s="12"/>
      <c r="FV281" s="12"/>
      <c r="FW281" s="12"/>
      <c r="FX281" s="12"/>
      <c r="FY281" s="12"/>
      <c r="FZ281" s="12"/>
      <c r="GA281" s="12"/>
      <c r="GB281" s="12"/>
      <c r="GC281" s="12"/>
      <c r="GD281" s="12"/>
      <c r="GE281" s="12"/>
      <c r="GF281" s="12"/>
      <c r="GG281" s="12"/>
      <c r="GH281" s="12"/>
      <c r="GI281" s="12"/>
      <c r="GJ281" s="12"/>
      <c r="GK281" s="12"/>
      <c r="GL281" s="12"/>
      <c r="GM281" s="12"/>
      <c r="GN281" s="12"/>
      <c r="GO281" s="12"/>
      <c r="GP281" s="12"/>
      <c r="GQ281" s="12"/>
      <c r="GR281" s="12"/>
      <c r="GS281" s="12"/>
      <c r="GT281" s="12"/>
      <c r="GU281" s="12"/>
      <c r="GV281" s="12"/>
      <c r="GW281" s="12"/>
      <c r="GX281" s="12"/>
      <c r="GY281" s="12"/>
      <c r="GZ281" s="12"/>
      <c r="HA281" s="12"/>
      <c r="HB281" s="12"/>
      <c r="HC281" s="12"/>
      <c r="HD281" s="12"/>
      <c r="HE281" s="12"/>
      <c r="HF281" s="12"/>
      <c r="HG281" s="12"/>
      <c r="HH281" s="12"/>
      <c r="HI281" s="12"/>
      <c r="HJ281" s="12"/>
      <c r="HK281" s="12"/>
      <c r="HL281" s="12"/>
      <c r="HM281" s="12"/>
      <c r="HN281" s="12"/>
      <c r="HO281" s="12"/>
      <c r="HP281" s="12"/>
      <c r="HQ281" s="12"/>
      <c r="HR281" s="12"/>
      <c r="HS281" s="12"/>
      <c r="HT281" s="12"/>
      <c r="HU281" s="12"/>
      <c r="HV281" s="12"/>
      <c r="HW281" s="12"/>
      <c r="HX281" s="12"/>
      <c r="HY281" s="12"/>
      <c r="HZ281" s="12"/>
      <c r="IA281" s="12"/>
      <c r="IB281" s="12"/>
      <c r="IC281" s="12"/>
      <c r="ID281" s="12"/>
      <c r="IE281" s="12"/>
      <c r="IF281" s="12"/>
      <c r="IG281" s="12"/>
      <c r="IH281" s="12"/>
      <c r="II281" s="12"/>
      <c r="IJ281" s="12"/>
      <c r="IK281" s="12"/>
      <c r="IL281" s="12"/>
      <c r="IM281" s="12"/>
      <c r="IN281" s="12"/>
      <c r="IO281" s="12"/>
      <c r="IP281" s="12"/>
      <c r="IQ281" s="12"/>
      <c r="IR281" s="12"/>
      <c r="IS281" s="12"/>
      <c r="IT281" s="12"/>
      <c r="IU281" s="12"/>
      <c r="IV281" s="12"/>
      <c r="IW281" s="12"/>
    </row>
    <row r="282" customFormat="false" ht="11.25" hidden="false" customHeight="false" outlineLevel="0" collapsed="false">
      <c r="A282" s="25" t="n">
        <f aca="false">DATE(YEAR(A281),MONTH(A281)+1,1)</f>
        <v>54302</v>
      </c>
      <c r="B282" s="21" t="n">
        <v>3.994</v>
      </c>
      <c r="C282" s="21" t="n">
        <v>4.094</v>
      </c>
      <c r="D282" s="25" t="n">
        <f aca="false">DATE(YEAR(D281),MONTH(D281)+1,1)</f>
        <v>54302</v>
      </c>
      <c r="E282" s="5"/>
      <c r="F282" s="5"/>
      <c r="G282" s="6"/>
      <c r="H282" s="22" t="n">
        <f aca="false">A282</f>
        <v>54302</v>
      </c>
      <c r="I282" s="23" t="n">
        <f aca="false">IF($J$1="bid",B282,C282)</f>
        <v>4.094</v>
      </c>
      <c r="J282" s="22"/>
      <c r="K282" s="23"/>
      <c r="L282" s="11"/>
      <c r="M282" s="11"/>
      <c r="N282" s="11"/>
      <c r="O282" s="11"/>
      <c r="P282" s="11"/>
      <c r="Q282" s="11"/>
      <c r="R282" s="11"/>
      <c r="S282" s="11"/>
      <c r="T282" s="11"/>
      <c r="U282" s="11"/>
      <c r="V282" s="11"/>
      <c r="W282" s="11"/>
      <c r="X282" s="11"/>
      <c r="Y282" s="11"/>
      <c r="Z282" s="11"/>
      <c r="AA282" s="11"/>
      <c r="AB282" s="11"/>
      <c r="AC282" s="11"/>
      <c r="AD282" s="11"/>
      <c r="AE282" s="11"/>
      <c r="AF282" s="11"/>
      <c r="AG282" s="11"/>
      <c r="AH282" s="11"/>
      <c r="AI282" s="11"/>
      <c r="AJ282" s="11"/>
      <c r="AK282" s="11"/>
      <c r="AL282" s="11"/>
      <c r="AM282" s="11"/>
      <c r="AN282" s="11"/>
      <c r="AO282" s="11"/>
      <c r="AP282" s="11"/>
      <c r="AQ282" s="11"/>
      <c r="AR282" s="5"/>
      <c r="AS282" s="12"/>
      <c r="AT282" s="12"/>
      <c r="AU282" s="12"/>
      <c r="AV282" s="12"/>
      <c r="AW282" s="12"/>
      <c r="AX282" s="12"/>
      <c r="AY282" s="12"/>
      <c r="AZ282" s="12"/>
      <c r="BA282" s="12"/>
      <c r="BB282" s="12"/>
      <c r="BC282" s="12"/>
      <c r="BD282" s="12"/>
      <c r="BE282" s="12"/>
      <c r="BF282" s="12"/>
      <c r="BG282" s="12"/>
      <c r="BH282" s="12"/>
      <c r="BI282" s="12"/>
      <c r="BJ282" s="12"/>
      <c r="BK282" s="12"/>
      <c r="BL282" s="12"/>
      <c r="BM282" s="12"/>
      <c r="BN282" s="12"/>
      <c r="BO282" s="12"/>
      <c r="BP282" s="12"/>
      <c r="BQ282" s="12"/>
      <c r="BR282" s="12"/>
      <c r="BS282" s="12"/>
      <c r="BT282" s="12"/>
      <c r="BU282" s="12"/>
      <c r="BV282" s="12"/>
      <c r="BW282" s="12"/>
      <c r="BX282" s="12"/>
      <c r="BY282" s="12"/>
      <c r="BZ282" s="12"/>
      <c r="CA282" s="12"/>
      <c r="CB282" s="12"/>
      <c r="CC282" s="12"/>
      <c r="CD282" s="12"/>
      <c r="CE282" s="12"/>
      <c r="CF282" s="12"/>
      <c r="CG282" s="12"/>
      <c r="CH282" s="12"/>
      <c r="CI282" s="12"/>
      <c r="CJ282" s="12"/>
      <c r="CK282" s="12"/>
      <c r="CL282" s="12"/>
      <c r="CM282" s="12"/>
      <c r="CN282" s="12"/>
      <c r="CO282" s="12"/>
      <c r="CP282" s="12"/>
      <c r="CQ282" s="12"/>
      <c r="CR282" s="12"/>
      <c r="CS282" s="12"/>
      <c r="CT282" s="12"/>
      <c r="CU282" s="12"/>
      <c r="CV282" s="12"/>
      <c r="CW282" s="12"/>
      <c r="CX282" s="12"/>
      <c r="CY282" s="12"/>
      <c r="CZ282" s="12"/>
      <c r="DA282" s="12"/>
      <c r="DB282" s="12"/>
      <c r="DC282" s="12"/>
      <c r="DD282" s="12"/>
      <c r="DE282" s="12"/>
      <c r="DF282" s="12"/>
      <c r="DG282" s="12"/>
      <c r="DH282" s="12"/>
      <c r="DI282" s="12"/>
      <c r="DJ282" s="12"/>
      <c r="DK282" s="12"/>
      <c r="DL282" s="12"/>
      <c r="DM282" s="12"/>
      <c r="DN282" s="12"/>
      <c r="DO282" s="12"/>
      <c r="DP282" s="12"/>
      <c r="DQ282" s="12"/>
      <c r="DR282" s="12"/>
      <c r="DS282" s="12"/>
      <c r="DT282" s="12"/>
      <c r="DU282" s="12"/>
      <c r="DV282" s="12"/>
      <c r="DW282" s="12"/>
      <c r="DX282" s="12"/>
      <c r="DY282" s="12"/>
      <c r="DZ282" s="12"/>
      <c r="EA282" s="12"/>
      <c r="EB282" s="12"/>
      <c r="EC282" s="12"/>
      <c r="ED282" s="12"/>
      <c r="EE282" s="12"/>
      <c r="EF282" s="12"/>
      <c r="EG282" s="12"/>
      <c r="EH282" s="12"/>
      <c r="EI282" s="12"/>
      <c r="EJ282" s="12"/>
      <c r="EK282" s="12"/>
      <c r="EL282" s="12"/>
      <c r="EM282" s="12"/>
      <c r="EN282" s="12"/>
      <c r="EO282" s="12"/>
      <c r="EP282" s="12"/>
      <c r="EQ282" s="12"/>
      <c r="ER282" s="12"/>
      <c r="ES282" s="12"/>
      <c r="ET282" s="12"/>
      <c r="EU282" s="12"/>
      <c r="EV282" s="12"/>
      <c r="EW282" s="12"/>
      <c r="EX282" s="12"/>
      <c r="EY282" s="12"/>
      <c r="EZ282" s="12"/>
      <c r="FA282" s="12"/>
      <c r="FB282" s="12"/>
      <c r="FC282" s="12"/>
      <c r="FD282" s="12"/>
      <c r="FE282" s="12"/>
      <c r="FF282" s="12"/>
      <c r="FG282" s="12"/>
      <c r="FH282" s="12"/>
      <c r="FI282" s="12"/>
      <c r="FJ282" s="12"/>
      <c r="FK282" s="12"/>
      <c r="FL282" s="12"/>
      <c r="FM282" s="12"/>
      <c r="FN282" s="12"/>
      <c r="FO282" s="12"/>
      <c r="FP282" s="12"/>
      <c r="FQ282" s="12"/>
      <c r="FR282" s="12"/>
      <c r="FS282" s="12"/>
      <c r="FT282" s="12"/>
      <c r="FU282" s="12"/>
      <c r="FV282" s="12"/>
      <c r="FW282" s="12"/>
      <c r="FX282" s="12"/>
      <c r="FY282" s="12"/>
      <c r="FZ282" s="12"/>
      <c r="GA282" s="12"/>
      <c r="GB282" s="12"/>
      <c r="GC282" s="12"/>
      <c r="GD282" s="12"/>
      <c r="GE282" s="12"/>
      <c r="GF282" s="12"/>
      <c r="GG282" s="12"/>
      <c r="GH282" s="12"/>
      <c r="GI282" s="12"/>
      <c r="GJ282" s="12"/>
      <c r="GK282" s="12"/>
      <c r="GL282" s="12"/>
      <c r="GM282" s="12"/>
      <c r="GN282" s="12"/>
      <c r="GO282" s="12"/>
      <c r="GP282" s="12"/>
      <c r="GQ282" s="12"/>
      <c r="GR282" s="12"/>
      <c r="GS282" s="12"/>
      <c r="GT282" s="12"/>
      <c r="GU282" s="12"/>
      <c r="GV282" s="12"/>
      <c r="GW282" s="12"/>
      <c r="GX282" s="12"/>
      <c r="GY282" s="12"/>
      <c r="GZ282" s="12"/>
      <c r="HA282" s="12"/>
      <c r="HB282" s="12"/>
      <c r="HC282" s="12"/>
      <c r="HD282" s="12"/>
      <c r="HE282" s="12"/>
      <c r="HF282" s="12"/>
      <c r="HG282" s="12"/>
      <c r="HH282" s="12"/>
      <c r="HI282" s="12"/>
      <c r="HJ282" s="12"/>
      <c r="HK282" s="12"/>
      <c r="HL282" s="12"/>
      <c r="HM282" s="12"/>
      <c r="HN282" s="12"/>
      <c r="HO282" s="12"/>
      <c r="HP282" s="12"/>
      <c r="HQ282" s="12"/>
      <c r="HR282" s="12"/>
      <c r="HS282" s="12"/>
      <c r="HT282" s="12"/>
      <c r="HU282" s="12"/>
      <c r="HV282" s="12"/>
      <c r="HW282" s="12"/>
      <c r="HX282" s="12"/>
      <c r="HY282" s="12"/>
      <c r="HZ282" s="12"/>
      <c r="IA282" s="12"/>
      <c r="IB282" s="12"/>
      <c r="IC282" s="12"/>
      <c r="ID282" s="12"/>
      <c r="IE282" s="12"/>
      <c r="IF282" s="12"/>
      <c r="IG282" s="12"/>
      <c r="IH282" s="12"/>
      <c r="II282" s="12"/>
      <c r="IJ282" s="12"/>
      <c r="IK282" s="12"/>
      <c r="IL282" s="12"/>
      <c r="IM282" s="12"/>
      <c r="IN282" s="12"/>
      <c r="IO282" s="12"/>
      <c r="IP282" s="12"/>
      <c r="IQ282" s="12"/>
      <c r="IR282" s="12"/>
      <c r="IS282" s="12"/>
      <c r="IT282" s="12"/>
      <c r="IU282" s="12"/>
      <c r="IV282" s="12"/>
      <c r="IW282" s="12"/>
    </row>
    <row r="283" customFormat="false" ht="11.25" hidden="false" customHeight="false" outlineLevel="0" collapsed="false">
      <c r="A283" s="25" t="n">
        <f aca="false">DATE(YEAR(A282),MONTH(A282)+1,1)</f>
        <v>54332</v>
      </c>
      <c r="B283" s="21" t="n">
        <v>4.112</v>
      </c>
      <c r="C283" s="21" t="n">
        <v>4.212</v>
      </c>
      <c r="D283" s="25" t="n">
        <f aca="false">DATE(YEAR(D282),MONTH(D282)+1,1)</f>
        <v>54332</v>
      </c>
      <c r="E283" s="5"/>
      <c r="F283" s="5"/>
      <c r="G283" s="6"/>
      <c r="H283" s="22" t="n">
        <f aca="false">A283</f>
        <v>54332</v>
      </c>
      <c r="I283" s="23" t="n">
        <f aca="false">IF($J$1="bid",B283,C283)</f>
        <v>4.212</v>
      </c>
      <c r="J283" s="22"/>
      <c r="K283" s="23"/>
      <c r="L283" s="11"/>
      <c r="M283" s="11"/>
      <c r="N283" s="11"/>
      <c r="O283" s="11"/>
      <c r="P283" s="11"/>
      <c r="Q283" s="11"/>
      <c r="R283" s="11"/>
      <c r="S283" s="11"/>
      <c r="T283" s="11"/>
      <c r="U283" s="11"/>
      <c r="V283" s="11"/>
      <c r="W283" s="11"/>
      <c r="X283" s="11"/>
      <c r="Y283" s="11"/>
      <c r="Z283" s="11"/>
      <c r="AA283" s="11"/>
      <c r="AB283" s="11"/>
      <c r="AC283" s="11"/>
      <c r="AD283" s="11"/>
      <c r="AE283" s="11"/>
      <c r="AF283" s="11"/>
      <c r="AG283" s="11"/>
      <c r="AH283" s="11"/>
      <c r="AI283" s="11"/>
      <c r="AJ283" s="11"/>
      <c r="AK283" s="11"/>
      <c r="AL283" s="11"/>
      <c r="AM283" s="11"/>
      <c r="AN283" s="11"/>
      <c r="AO283" s="11"/>
      <c r="AP283" s="11"/>
      <c r="AQ283" s="11"/>
      <c r="AR283" s="5"/>
      <c r="AS283" s="12"/>
      <c r="AT283" s="12"/>
      <c r="AU283" s="12"/>
      <c r="AV283" s="12"/>
      <c r="AW283" s="12"/>
      <c r="AX283" s="12"/>
      <c r="AY283" s="12"/>
      <c r="AZ283" s="12"/>
      <c r="BA283" s="12"/>
      <c r="BB283" s="12"/>
      <c r="BC283" s="12"/>
      <c r="BD283" s="12"/>
      <c r="BE283" s="12"/>
      <c r="BF283" s="12"/>
      <c r="BG283" s="12"/>
      <c r="BH283" s="12"/>
      <c r="BI283" s="12"/>
      <c r="BJ283" s="12"/>
      <c r="BK283" s="12"/>
      <c r="BL283" s="12"/>
      <c r="BM283" s="12"/>
      <c r="BN283" s="12"/>
      <c r="BO283" s="12"/>
      <c r="BP283" s="12"/>
      <c r="BQ283" s="12"/>
      <c r="BR283" s="12"/>
      <c r="BS283" s="12"/>
      <c r="BT283" s="12"/>
      <c r="BU283" s="12"/>
      <c r="BV283" s="12"/>
      <c r="BW283" s="12"/>
      <c r="BX283" s="12"/>
      <c r="BY283" s="12"/>
      <c r="BZ283" s="12"/>
      <c r="CA283" s="12"/>
      <c r="CB283" s="12"/>
      <c r="CC283" s="12"/>
      <c r="CD283" s="12"/>
      <c r="CE283" s="12"/>
      <c r="CF283" s="12"/>
      <c r="CG283" s="12"/>
      <c r="CH283" s="12"/>
      <c r="CI283" s="12"/>
      <c r="CJ283" s="12"/>
      <c r="CK283" s="12"/>
      <c r="CL283" s="12"/>
      <c r="CM283" s="12"/>
      <c r="CN283" s="12"/>
      <c r="CO283" s="12"/>
      <c r="CP283" s="12"/>
      <c r="CQ283" s="12"/>
      <c r="CR283" s="12"/>
      <c r="CS283" s="12"/>
      <c r="CT283" s="12"/>
      <c r="CU283" s="12"/>
      <c r="CV283" s="12"/>
      <c r="CW283" s="12"/>
      <c r="CX283" s="12"/>
      <c r="CY283" s="12"/>
      <c r="CZ283" s="12"/>
      <c r="DA283" s="12"/>
      <c r="DB283" s="12"/>
      <c r="DC283" s="12"/>
      <c r="DD283" s="12"/>
      <c r="DE283" s="12"/>
      <c r="DF283" s="12"/>
      <c r="DG283" s="12"/>
      <c r="DH283" s="12"/>
      <c r="DI283" s="12"/>
      <c r="DJ283" s="12"/>
      <c r="DK283" s="12"/>
      <c r="DL283" s="12"/>
      <c r="DM283" s="12"/>
      <c r="DN283" s="12"/>
      <c r="DO283" s="12"/>
      <c r="DP283" s="12"/>
      <c r="DQ283" s="12"/>
      <c r="DR283" s="12"/>
      <c r="DS283" s="12"/>
      <c r="DT283" s="12"/>
      <c r="DU283" s="12"/>
      <c r="DV283" s="12"/>
      <c r="DW283" s="12"/>
      <c r="DX283" s="12"/>
      <c r="DY283" s="12"/>
      <c r="DZ283" s="12"/>
      <c r="EA283" s="12"/>
      <c r="EB283" s="12"/>
      <c r="EC283" s="12"/>
      <c r="ED283" s="12"/>
      <c r="EE283" s="12"/>
      <c r="EF283" s="12"/>
      <c r="EG283" s="12"/>
      <c r="EH283" s="12"/>
      <c r="EI283" s="12"/>
      <c r="EJ283" s="12"/>
      <c r="EK283" s="12"/>
      <c r="EL283" s="12"/>
      <c r="EM283" s="12"/>
      <c r="EN283" s="12"/>
      <c r="EO283" s="12"/>
      <c r="EP283" s="12"/>
      <c r="EQ283" s="12"/>
      <c r="ER283" s="12"/>
      <c r="ES283" s="12"/>
      <c r="ET283" s="12"/>
      <c r="EU283" s="12"/>
      <c r="EV283" s="12"/>
      <c r="EW283" s="12"/>
      <c r="EX283" s="12"/>
      <c r="EY283" s="12"/>
      <c r="EZ283" s="12"/>
      <c r="FA283" s="12"/>
      <c r="FB283" s="12"/>
      <c r="FC283" s="12"/>
      <c r="FD283" s="12"/>
      <c r="FE283" s="12"/>
      <c r="FF283" s="12"/>
      <c r="FG283" s="12"/>
      <c r="FH283" s="12"/>
      <c r="FI283" s="12"/>
      <c r="FJ283" s="12"/>
      <c r="FK283" s="12"/>
      <c r="FL283" s="12"/>
      <c r="FM283" s="12"/>
      <c r="FN283" s="12"/>
      <c r="FO283" s="12"/>
      <c r="FP283" s="12"/>
      <c r="FQ283" s="12"/>
      <c r="FR283" s="12"/>
      <c r="FS283" s="12"/>
      <c r="FT283" s="12"/>
      <c r="FU283" s="12"/>
      <c r="FV283" s="12"/>
      <c r="FW283" s="12"/>
      <c r="FX283" s="12"/>
      <c r="FY283" s="12"/>
      <c r="FZ283" s="12"/>
      <c r="GA283" s="12"/>
      <c r="GB283" s="12"/>
      <c r="GC283" s="12"/>
      <c r="GD283" s="12"/>
      <c r="GE283" s="12"/>
      <c r="GF283" s="12"/>
      <c r="GG283" s="12"/>
      <c r="GH283" s="12"/>
      <c r="GI283" s="12"/>
      <c r="GJ283" s="12"/>
      <c r="GK283" s="12"/>
      <c r="GL283" s="12"/>
      <c r="GM283" s="12"/>
      <c r="GN283" s="12"/>
      <c r="GO283" s="12"/>
      <c r="GP283" s="12"/>
      <c r="GQ283" s="12"/>
      <c r="GR283" s="12"/>
      <c r="GS283" s="12"/>
      <c r="GT283" s="12"/>
      <c r="GU283" s="12"/>
      <c r="GV283" s="12"/>
      <c r="GW283" s="12"/>
      <c r="GX283" s="12"/>
      <c r="GY283" s="12"/>
      <c r="GZ283" s="12"/>
      <c r="HA283" s="12"/>
      <c r="HB283" s="12"/>
      <c r="HC283" s="12"/>
      <c r="HD283" s="12"/>
      <c r="HE283" s="12"/>
      <c r="HF283" s="12"/>
      <c r="HG283" s="12"/>
      <c r="HH283" s="12"/>
      <c r="HI283" s="12"/>
      <c r="HJ283" s="12"/>
      <c r="HK283" s="12"/>
      <c r="HL283" s="12"/>
      <c r="HM283" s="12"/>
      <c r="HN283" s="12"/>
      <c r="HO283" s="12"/>
      <c r="HP283" s="12"/>
      <c r="HQ283" s="12"/>
      <c r="HR283" s="12"/>
      <c r="HS283" s="12"/>
      <c r="HT283" s="12"/>
      <c r="HU283" s="12"/>
      <c r="HV283" s="12"/>
      <c r="HW283" s="12"/>
      <c r="HX283" s="12"/>
      <c r="HY283" s="12"/>
      <c r="HZ283" s="12"/>
      <c r="IA283" s="12"/>
      <c r="IB283" s="12"/>
      <c r="IC283" s="12"/>
      <c r="ID283" s="12"/>
      <c r="IE283" s="12"/>
      <c r="IF283" s="12"/>
      <c r="IG283" s="12"/>
      <c r="IH283" s="12"/>
      <c r="II283" s="12"/>
      <c r="IJ283" s="12"/>
      <c r="IK283" s="12"/>
      <c r="IL283" s="12"/>
      <c r="IM283" s="12"/>
      <c r="IN283" s="12"/>
      <c r="IO283" s="12"/>
      <c r="IP283" s="12"/>
      <c r="IQ283" s="12"/>
      <c r="IR283" s="12"/>
      <c r="IS283" s="12"/>
      <c r="IT283" s="12"/>
      <c r="IU283" s="12"/>
      <c r="IV283" s="12"/>
      <c r="IW283" s="12"/>
    </row>
    <row r="284" customFormat="false" ht="11.25" hidden="false" customHeight="false" outlineLevel="0" collapsed="false">
      <c r="A284" s="25" t="n">
        <f aca="false">DATE(YEAR(A283),MONTH(A283)+1,1)</f>
        <v>54363</v>
      </c>
      <c r="B284" s="21" t="n">
        <v>4.293</v>
      </c>
      <c r="C284" s="21" t="n">
        <v>4.393</v>
      </c>
      <c r="D284" s="25" t="n">
        <f aca="false">DATE(YEAR(D283),MONTH(D283)+1,1)</f>
        <v>54363</v>
      </c>
      <c r="E284" s="5"/>
      <c r="F284" s="5"/>
      <c r="G284" s="6"/>
      <c r="H284" s="22" t="n">
        <f aca="false">A284</f>
        <v>54363</v>
      </c>
      <c r="I284" s="23" t="n">
        <f aca="false">IF($J$1="bid",B284,C284)</f>
        <v>4.393</v>
      </c>
      <c r="J284" s="22"/>
      <c r="K284" s="23"/>
      <c r="L284" s="11"/>
      <c r="M284" s="11"/>
      <c r="N284" s="11"/>
      <c r="O284" s="11"/>
      <c r="P284" s="11"/>
      <c r="Q284" s="11"/>
      <c r="R284" s="11"/>
      <c r="S284" s="11"/>
      <c r="T284" s="11"/>
      <c r="U284" s="11"/>
      <c r="V284" s="11"/>
      <c r="W284" s="11"/>
      <c r="X284" s="11"/>
      <c r="Y284" s="11"/>
      <c r="Z284" s="11"/>
      <c r="AA284" s="11"/>
      <c r="AB284" s="11"/>
      <c r="AC284" s="11"/>
      <c r="AD284" s="11"/>
      <c r="AE284" s="11"/>
      <c r="AF284" s="11"/>
      <c r="AG284" s="11"/>
      <c r="AH284" s="11"/>
      <c r="AI284" s="11"/>
      <c r="AJ284" s="11"/>
      <c r="AK284" s="11"/>
      <c r="AL284" s="11"/>
      <c r="AM284" s="11"/>
      <c r="AN284" s="11"/>
      <c r="AO284" s="11"/>
      <c r="AP284" s="11"/>
      <c r="AQ284" s="11"/>
      <c r="AR284" s="5"/>
      <c r="AS284" s="12"/>
      <c r="AT284" s="12"/>
      <c r="AU284" s="12"/>
      <c r="AV284" s="12"/>
      <c r="AW284" s="12"/>
      <c r="AX284" s="12"/>
      <c r="AY284" s="12"/>
      <c r="AZ284" s="12"/>
      <c r="BA284" s="12"/>
      <c r="BB284" s="12"/>
      <c r="BC284" s="12"/>
      <c r="BD284" s="12"/>
      <c r="BE284" s="12"/>
      <c r="BF284" s="12"/>
      <c r="BG284" s="12"/>
      <c r="BH284" s="12"/>
      <c r="BI284" s="12"/>
      <c r="BJ284" s="12"/>
      <c r="BK284" s="12"/>
      <c r="BL284" s="12"/>
      <c r="BM284" s="12"/>
      <c r="BN284" s="12"/>
      <c r="BO284" s="12"/>
      <c r="BP284" s="12"/>
      <c r="BQ284" s="12"/>
      <c r="BR284" s="12"/>
      <c r="BS284" s="12"/>
      <c r="BT284" s="12"/>
      <c r="BU284" s="12"/>
      <c r="BV284" s="12"/>
      <c r="BW284" s="12"/>
      <c r="BX284" s="12"/>
      <c r="BY284" s="12"/>
      <c r="BZ284" s="12"/>
      <c r="CA284" s="12"/>
      <c r="CB284" s="12"/>
      <c r="CC284" s="12"/>
      <c r="CD284" s="12"/>
      <c r="CE284" s="12"/>
      <c r="CF284" s="12"/>
      <c r="CG284" s="12"/>
      <c r="CH284" s="12"/>
      <c r="CI284" s="12"/>
      <c r="CJ284" s="12"/>
      <c r="CK284" s="12"/>
      <c r="CL284" s="12"/>
      <c r="CM284" s="12"/>
      <c r="CN284" s="12"/>
      <c r="CO284" s="12"/>
      <c r="CP284" s="12"/>
      <c r="CQ284" s="12"/>
      <c r="CR284" s="12"/>
      <c r="CS284" s="12"/>
      <c r="CT284" s="12"/>
      <c r="CU284" s="12"/>
      <c r="CV284" s="12"/>
      <c r="CW284" s="12"/>
      <c r="CX284" s="12"/>
      <c r="CY284" s="12"/>
      <c r="CZ284" s="12"/>
      <c r="DA284" s="12"/>
      <c r="DB284" s="12"/>
      <c r="DC284" s="12"/>
      <c r="DD284" s="12"/>
      <c r="DE284" s="12"/>
      <c r="DF284" s="12"/>
      <c r="DG284" s="12"/>
      <c r="DH284" s="12"/>
      <c r="DI284" s="12"/>
      <c r="DJ284" s="12"/>
      <c r="DK284" s="12"/>
      <c r="DL284" s="12"/>
      <c r="DM284" s="12"/>
      <c r="DN284" s="12"/>
      <c r="DO284" s="12"/>
      <c r="DP284" s="12"/>
      <c r="DQ284" s="12"/>
      <c r="DR284" s="12"/>
      <c r="DS284" s="12"/>
      <c r="DT284" s="12"/>
      <c r="DU284" s="12"/>
      <c r="DV284" s="12"/>
      <c r="DW284" s="12"/>
      <c r="DX284" s="12"/>
      <c r="DY284" s="12"/>
      <c r="DZ284" s="12"/>
      <c r="EA284" s="12"/>
      <c r="EB284" s="12"/>
      <c r="EC284" s="12"/>
      <c r="ED284" s="12"/>
      <c r="EE284" s="12"/>
      <c r="EF284" s="12"/>
      <c r="EG284" s="12"/>
      <c r="EH284" s="12"/>
      <c r="EI284" s="12"/>
      <c r="EJ284" s="12"/>
      <c r="EK284" s="12"/>
      <c r="EL284" s="12"/>
      <c r="EM284" s="12"/>
      <c r="EN284" s="12"/>
      <c r="EO284" s="12"/>
      <c r="EP284" s="12"/>
      <c r="EQ284" s="12"/>
      <c r="ER284" s="12"/>
      <c r="ES284" s="12"/>
      <c r="ET284" s="12"/>
      <c r="EU284" s="12"/>
      <c r="EV284" s="12"/>
      <c r="EW284" s="12"/>
      <c r="EX284" s="12"/>
      <c r="EY284" s="12"/>
      <c r="EZ284" s="12"/>
      <c r="FA284" s="12"/>
      <c r="FB284" s="12"/>
      <c r="FC284" s="12"/>
      <c r="FD284" s="12"/>
      <c r="FE284" s="12"/>
      <c r="FF284" s="12"/>
      <c r="FG284" s="12"/>
      <c r="FH284" s="12"/>
      <c r="FI284" s="12"/>
      <c r="FJ284" s="12"/>
      <c r="FK284" s="12"/>
      <c r="FL284" s="12"/>
      <c r="FM284" s="12"/>
      <c r="FN284" s="12"/>
      <c r="FO284" s="12"/>
      <c r="FP284" s="12"/>
      <c r="FQ284" s="12"/>
      <c r="FR284" s="12"/>
      <c r="FS284" s="12"/>
      <c r="FT284" s="12"/>
      <c r="FU284" s="12"/>
      <c r="FV284" s="12"/>
      <c r="FW284" s="12"/>
      <c r="FX284" s="12"/>
      <c r="FY284" s="12"/>
      <c r="FZ284" s="12"/>
      <c r="GA284" s="12"/>
      <c r="GB284" s="12"/>
      <c r="GC284" s="12"/>
      <c r="GD284" s="12"/>
      <c r="GE284" s="12"/>
      <c r="GF284" s="12"/>
      <c r="GG284" s="12"/>
      <c r="GH284" s="12"/>
      <c r="GI284" s="12"/>
      <c r="GJ284" s="12"/>
      <c r="GK284" s="12"/>
      <c r="GL284" s="12"/>
      <c r="GM284" s="12"/>
      <c r="GN284" s="12"/>
      <c r="GO284" s="12"/>
      <c r="GP284" s="12"/>
      <c r="GQ284" s="12"/>
      <c r="GR284" s="12"/>
      <c r="GS284" s="12"/>
      <c r="GT284" s="12"/>
      <c r="GU284" s="12"/>
      <c r="GV284" s="12"/>
      <c r="GW284" s="12"/>
      <c r="GX284" s="12"/>
      <c r="GY284" s="12"/>
      <c r="GZ284" s="12"/>
      <c r="HA284" s="12"/>
      <c r="HB284" s="12"/>
      <c r="HC284" s="12"/>
      <c r="HD284" s="12"/>
      <c r="HE284" s="12"/>
      <c r="HF284" s="12"/>
      <c r="HG284" s="12"/>
      <c r="HH284" s="12"/>
      <c r="HI284" s="12"/>
      <c r="HJ284" s="12"/>
      <c r="HK284" s="12"/>
      <c r="HL284" s="12"/>
      <c r="HM284" s="12"/>
      <c r="HN284" s="12"/>
      <c r="HO284" s="12"/>
      <c r="HP284" s="12"/>
      <c r="HQ284" s="12"/>
      <c r="HR284" s="12"/>
      <c r="HS284" s="12"/>
      <c r="HT284" s="12"/>
      <c r="HU284" s="12"/>
      <c r="HV284" s="12"/>
      <c r="HW284" s="12"/>
      <c r="HX284" s="12"/>
      <c r="HY284" s="12"/>
      <c r="HZ284" s="12"/>
      <c r="IA284" s="12"/>
      <c r="IB284" s="12"/>
      <c r="IC284" s="12"/>
      <c r="ID284" s="12"/>
      <c r="IE284" s="12"/>
      <c r="IF284" s="12"/>
      <c r="IG284" s="12"/>
      <c r="IH284" s="12"/>
      <c r="II284" s="12"/>
      <c r="IJ284" s="12"/>
      <c r="IK284" s="12"/>
      <c r="IL284" s="12"/>
      <c r="IM284" s="12"/>
      <c r="IN284" s="12"/>
      <c r="IO284" s="12"/>
      <c r="IP284" s="12"/>
      <c r="IQ284" s="12"/>
      <c r="IR284" s="12"/>
      <c r="IS284" s="12"/>
      <c r="IT284" s="12"/>
      <c r="IU284" s="12"/>
      <c r="IV284" s="12"/>
      <c r="IW284" s="12"/>
    </row>
    <row r="285" customFormat="false" ht="11.25" hidden="false" customHeight="false" outlineLevel="0" collapsed="false">
      <c r="A285" s="25" t="n">
        <f aca="false">DATE(YEAR(A284),MONTH(A284)+1,1)</f>
        <v>54393</v>
      </c>
      <c r="B285" s="21" t="n">
        <v>4.208</v>
      </c>
      <c r="C285" s="21" t="n">
        <v>4.308</v>
      </c>
      <c r="D285" s="25" t="n">
        <f aca="false">DATE(YEAR(D284),MONTH(D284)+1,1)</f>
        <v>54393</v>
      </c>
      <c r="E285" s="5"/>
      <c r="F285" s="5"/>
      <c r="G285" s="6"/>
      <c r="H285" s="22" t="n">
        <f aca="false">A285</f>
        <v>54393</v>
      </c>
      <c r="I285" s="23" t="n">
        <f aca="false">IF($J$1="bid",B285,C285)</f>
        <v>4.308</v>
      </c>
      <c r="J285" s="22"/>
      <c r="K285" s="23"/>
      <c r="L285" s="11"/>
      <c r="M285" s="11"/>
      <c r="N285" s="11"/>
      <c r="O285" s="11"/>
      <c r="P285" s="11"/>
      <c r="Q285" s="11"/>
      <c r="R285" s="11"/>
      <c r="S285" s="11"/>
      <c r="T285" s="11"/>
      <c r="U285" s="11"/>
      <c r="V285" s="11"/>
      <c r="W285" s="11"/>
      <c r="X285" s="11"/>
      <c r="Y285" s="11"/>
      <c r="Z285" s="11"/>
      <c r="AA285" s="11"/>
      <c r="AB285" s="11"/>
      <c r="AC285" s="11"/>
      <c r="AD285" s="11"/>
      <c r="AE285" s="11"/>
      <c r="AF285" s="11"/>
      <c r="AG285" s="11"/>
      <c r="AH285" s="11"/>
      <c r="AI285" s="11"/>
      <c r="AJ285" s="11"/>
      <c r="AK285" s="11"/>
      <c r="AL285" s="11"/>
      <c r="AM285" s="11"/>
      <c r="AN285" s="11"/>
      <c r="AO285" s="11"/>
      <c r="AP285" s="11"/>
      <c r="AQ285" s="11"/>
      <c r="AR285" s="5"/>
      <c r="AS285" s="12"/>
      <c r="AT285" s="12"/>
      <c r="AU285" s="12"/>
      <c r="AV285" s="12"/>
      <c r="AW285" s="12"/>
      <c r="AX285" s="12"/>
      <c r="AY285" s="12"/>
      <c r="AZ285" s="12"/>
      <c r="BA285" s="12"/>
      <c r="BB285" s="12"/>
      <c r="BC285" s="12"/>
      <c r="BD285" s="12"/>
      <c r="BE285" s="12"/>
      <c r="BF285" s="12"/>
      <c r="BG285" s="12"/>
      <c r="BH285" s="12"/>
      <c r="BI285" s="12"/>
      <c r="BJ285" s="12"/>
      <c r="BK285" s="12"/>
      <c r="BL285" s="12"/>
      <c r="BM285" s="12"/>
      <c r="BN285" s="12"/>
      <c r="BO285" s="12"/>
      <c r="BP285" s="12"/>
      <c r="BQ285" s="12"/>
      <c r="BR285" s="12"/>
      <c r="BS285" s="12"/>
      <c r="BT285" s="12"/>
      <c r="BU285" s="12"/>
      <c r="BV285" s="12"/>
      <c r="BW285" s="12"/>
      <c r="BX285" s="12"/>
      <c r="BY285" s="12"/>
      <c r="BZ285" s="12"/>
      <c r="CA285" s="12"/>
      <c r="CB285" s="12"/>
      <c r="CC285" s="12"/>
      <c r="CD285" s="12"/>
      <c r="CE285" s="12"/>
      <c r="CF285" s="12"/>
      <c r="CG285" s="12"/>
      <c r="CH285" s="12"/>
      <c r="CI285" s="12"/>
      <c r="CJ285" s="12"/>
      <c r="CK285" s="12"/>
      <c r="CL285" s="12"/>
      <c r="CM285" s="12"/>
      <c r="CN285" s="12"/>
      <c r="CO285" s="12"/>
      <c r="CP285" s="12"/>
      <c r="CQ285" s="12"/>
      <c r="CR285" s="12"/>
      <c r="CS285" s="12"/>
      <c r="CT285" s="12"/>
      <c r="CU285" s="12"/>
      <c r="CV285" s="12"/>
      <c r="CW285" s="12"/>
      <c r="CX285" s="12"/>
      <c r="CY285" s="12"/>
      <c r="CZ285" s="12"/>
      <c r="DA285" s="12"/>
      <c r="DB285" s="12"/>
      <c r="DC285" s="12"/>
      <c r="DD285" s="12"/>
      <c r="DE285" s="12"/>
      <c r="DF285" s="12"/>
      <c r="DG285" s="12"/>
      <c r="DH285" s="12"/>
      <c r="DI285" s="12"/>
      <c r="DJ285" s="12"/>
      <c r="DK285" s="12"/>
      <c r="DL285" s="12"/>
      <c r="DM285" s="12"/>
      <c r="DN285" s="12"/>
      <c r="DO285" s="12"/>
      <c r="DP285" s="12"/>
      <c r="DQ285" s="12"/>
      <c r="DR285" s="12"/>
      <c r="DS285" s="12"/>
      <c r="DT285" s="12"/>
      <c r="DU285" s="12"/>
      <c r="DV285" s="12"/>
      <c r="DW285" s="12"/>
      <c r="DX285" s="12"/>
      <c r="DY285" s="12"/>
      <c r="DZ285" s="12"/>
      <c r="EA285" s="12"/>
      <c r="EB285" s="12"/>
      <c r="EC285" s="12"/>
      <c r="ED285" s="12"/>
      <c r="EE285" s="12"/>
      <c r="EF285" s="12"/>
      <c r="EG285" s="12"/>
      <c r="EH285" s="12"/>
      <c r="EI285" s="12"/>
      <c r="EJ285" s="12"/>
      <c r="EK285" s="12"/>
      <c r="EL285" s="12"/>
      <c r="EM285" s="12"/>
      <c r="EN285" s="12"/>
      <c r="EO285" s="12"/>
      <c r="EP285" s="12"/>
      <c r="EQ285" s="12"/>
      <c r="ER285" s="12"/>
      <c r="ES285" s="12"/>
      <c r="ET285" s="12"/>
      <c r="EU285" s="12"/>
      <c r="EV285" s="12"/>
      <c r="EW285" s="12"/>
      <c r="EX285" s="12"/>
      <c r="EY285" s="12"/>
      <c r="EZ285" s="12"/>
      <c r="FA285" s="12"/>
      <c r="FB285" s="12"/>
      <c r="FC285" s="12"/>
      <c r="FD285" s="12"/>
      <c r="FE285" s="12"/>
      <c r="FF285" s="12"/>
      <c r="FG285" s="12"/>
      <c r="FH285" s="12"/>
      <c r="FI285" s="12"/>
      <c r="FJ285" s="12"/>
      <c r="FK285" s="12"/>
      <c r="FL285" s="12"/>
      <c r="FM285" s="12"/>
      <c r="FN285" s="12"/>
      <c r="FO285" s="12"/>
      <c r="FP285" s="12"/>
      <c r="FQ285" s="12"/>
      <c r="FR285" s="12"/>
      <c r="FS285" s="12"/>
      <c r="FT285" s="12"/>
      <c r="FU285" s="12"/>
      <c r="FV285" s="12"/>
      <c r="FW285" s="12"/>
      <c r="FX285" s="12"/>
      <c r="FY285" s="12"/>
      <c r="FZ285" s="12"/>
      <c r="GA285" s="12"/>
      <c r="GB285" s="12"/>
      <c r="GC285" s="12"/>
      <c r="GD285" s="12"/>
      <c r="GE285" s="12"/>
      <c r="GF285" s="12"/>
      <c r="GG285" s="12"/>
      <c r="GH285" s="12"/>
      <c r="GI285" s="12"/>
      <c r="GJ285" s="12"/>
      <c r="GK285" s="12"/>
      <c r="GL285" s="12"/>
      <c r="GM285" s="12"/>
      <c r="GN285" s="12"/>
      <c r="GO285" s="12"/>
      <c r="GP285" s="12"/>
      <c r="GQ285" s="12"/>
      <c r="GR285" s="12"/>
      <c r="GS285" s="12"/>
      <c r="GT285" s="12"/>
      <c r="GU285" s="12"/>
      <c r="GV285" s="12"/>
      <c r="GW285" s="12"/>
      <c r="GX285" s="12"/>
      <c r="GY285" s="12"/>
      <c r="GZ285" s="12"/>
      <c r="HA285" s="12"/>
      <c r="HB285" s="12"/>
      <c r="HC285" s="12"/>
      <c r="HD285" s="12"/>
      <c r="HE285" s="12"/>
      <c r="HF285" s="12"/>
      <c r="HG285" s="12"/>
      <c r="HH285" s="12"/>
      <c r="HI285" s="12"/>
      <c r="HJ285" s="12"/>
      <c r="HK285" s="12"/>
      <c r="HL285" s="12"/>
      <c r="HM285" s="12"/>
      <c r="HN285" s="12"/>
      <c r="HO285" s="12"/>
      <c r="HP285" s="12"/>
      <c r="HQ285" s="12"/>
      <c r="HR285" s="12"/>
      <c r="HS285" s="12"/>
      <c r="HT285" s="12"/>
      <c r="HU285" s="12"/>
      <c r="HV285" s="12"/>
      <c r="HW285" s="12"/>
      <c r="HX285" s="12"/>
      <c r="HY285" s="12"/>
      <c r="HZ285" s="12"/>
      <c r="IA285" s="12"/>
      <c r="IB285" s="12"/>
      <c r="IC285" s="12"/>
      <c r="ID285" s="12"/>
      <c r="IE285" s="12"/>
      <c r="IF285" s="12"/>
      <c r="IG285" s="12"/>
      <c r="IH285" s="12"/>
      <c r="II285" s="12"/>
      <c r="IJ285" s="12"/>
      <c r="IK285" s="12"/>
      <c r="IL285" s="12"/>
      <c r="IM285" s="12"/>
      <c r="IN285" s="12"/>
      <c r="IO285" s="12"/>
      <c r="IP285" s="12"/>
      <c r="IQ285" s="12"/>
      <c r="IR285" s="12"/>
      <c r="IS285" s="12"/>
      <c r="IT285" s="12"/>
      <c r="IU285" s="12"/>
      <c r="IV285" s="12"/>
      <c r="IW285" s="12"/>
    </row>
    <row r="286" customFormat="false" ht="11.25" hidden="false" customHeight="false" outlineLevel="0" collapsed="false">
      <c r="A286" s="25" t="n">
        <f aca="false">DATE(YEAR(A285),MONTH(A285)+1,1)</f>
        <v>54424</v>
      </c>
      <c r="B286" s="21" t="n">
        <v>4.142</v>
      </c>
      <c r="C286" s="21" t="n">
        <v>4.242</v>
      </c>
      <c r="D286" s="25" t="n">
        <f aca="false">DATE(YEAR(D285),MONTH(D285)+1,1)</f>
        <v>54424</v>
      </c>
      <c r="E286" s="5"/>
      <c r="F286" s="5"/>
      <c r="G286" s="6"/>
      <c r="H286" s="22" t="n">
        <f aca="false">A286</f>
        <v>54424</v>
      </c>
      <c r="I286" s="23" t="n">
        <f aca="false">IF($J$1="bid",B286,C286)</f>
        <v>4.242</v>
      </c>
      <c r="J286" s="22"/>
      <c r="K286" s="23"/>
      <c r="L286" s="11"/>
      <c r="M286" s="11"/>
      <c r="N286" s="11"/>
      <c r="O286" s="11"/>
      <c r="P286" s="11"/>
      <c r="Q286" s="11"/>
      <c r="R286" s="11"/>
      <c r="S286" s="11"/>
      <c r="T286" s="11"/>
      <c r="U286" s="11"/>
      <c r="V286" s="11"/>
      <c r="W286" s="11"/>
      <c r="X286" s="11"/>
      <c r="Y286" s="11"/>
      <c r="Z286" s="11"/>
      <c r="AA286" s="11"/>
      <c r="AB286" s="11"/>
      <c r="AC286" s="11"/>
      <c r="AD286" s="11"/>
      <c r="AE286" s="11"/>
      <c r="AF286" s="11"/>
      <c r="AG286" s="11"/>
      <c r="AH286" s="11"/>
      <c r="AI286" s="11"/>
      <c r="AJ286" s="11"/>
      <c r="AK286" s="11"/>
      <c r="AL286" s="11"/>
      <c r="AM286" s="11"/>
      <c r="AN286" s="11"/>
      <c r="AO286" s="11"/>
      <c r="AP286" s="11"/>
      <c r="AQ286" s="11"/>
      <c r="AR286" s="5"/>
      <c r="AS286" s="12"/>
      <c r="AT286" s="12"/>
      <c r="AU286" s="12"/>
      <c r="AV286" s="12"/>
      <c r="AW286" s="12"/>
      <c r="AX286" s="12"/>
      <c r="AY286" s="12"/>
      <c r="AZ286" s="12"/>
      <c r="BA286" s="12"/>
      <c r="BB286" s="12"/>
      <c r="BC286" s="12"/>
      <c r="BD286" s="12"/>
      <c r="BE286" s="12"/>
      <c r="BF286" s="12"/>
      <c r="BG286" s="12"/>
      <c r="BH286" s="12"/>
      <c r="BI286" s="12"/>
      <c r="BJ286" s="12"/>
      <c r="BK286" s="12"/>
      <c r="BL286" s="12"/>
      <c r="BM286" s="12"/>
      <c r="BN286" s="12"/>
      <c r="BO286" s="12"/>
      <c r="BP286" s="12"/>
      <c r="BQ286" s="12"/>
      <c r="BR286" s="12"/>
      <c r="BS286" s="12"/>
      <c r="BT286" s="12"/>
      <c r="BU286" s="12"/>
      <c r="BV286" s="12"/>
      <c r="BW286" s="12"/>
      <c r="BX286" s="12"/>
      <c r="BY286" s="12"/>
      <c r="BZ286" s="12"/>
      <c r="CA286" s="12"/>
      <c r="CB286" s="12"/>
      <c r="CC286" s="12"/>
      <c r="CD286" s="12"/>
      <c r="CE286" s="12"/>
      <c r="CF286" s="12"/>
      <c r="CG286" s="12"/>
      <c r="CH286" s="12"/>
      <c r="CI286" s="12"/>
      <c r="CJ286" s="12"/>
      <c r="CK286" s="12"/>
      <c r="CL286" s="12"/>
      <c r="CM286" s="12"/>
      <c r="CN286" s="12"/>
      <c r="CO286" s="12"/>
      <c r="CP286" s="12"/>
      <c r="CQ286" s="12"/>
      <c r="CR286" s="12"/>
      <c r="CS286" s="12"/>
      <c r="CT286" s="12"/>
      <c r="CU286" s="12"/>
      <c r="CV286" s="12"/>
      <c r="CW286" s="12"/>
      <c r="CX286" s="12"/>
      <c r="CY286" s="12"/>
      <c r="CZ286" s="12"/>
      <c r="DA286" s="12"/>
      <c r="DB286" s="12"/>
      <c r="DC286" s="12"/>
      <c r="DD286" s="12"/>
      <c r="DE286" s="12"/>
      <c r="DF286" s="12"/>
      <c r="DG286" s="12"/>
      <c r="DH286" s="12"/>
      <c r="DI286" s="12"/>
      <c r="DJ286" s="12"/>
      <c r="DK286" s="12"/>
      <c r="DL286" s="12"/>
      <c r="DM286" s="12"/>
      <c r="DN286" s="12"/>
      <c r="DO286" s="12"/>
      <c r="DP286" s="12"/>
      <c r="DQ286" s="12"/>
      <c r="DR286" s="12"/>
      <c r="DS286" s="12"/>
      <c r="DT286" s="12"/>
      <c r="DU286" s="12"/>
      <c r="DV286" s="12"/>
      <c r="DW286" s="12"/>
      <c r="DX286" s="12"/>
      <c r="DY286" s="12"/>
      <c r="DZ286" s="12"/>
      <c r="EA286" s="12"/>
      <c r="EB286" s="12"/>
      <c r="EC286" s="12"/>
      <c r="ED286" s="12"/>
      <c r="EE286" s="12"/>
      <c r="EF286" s="12"/>
      <c r="EG286" s="12"/>
      <c r="EH286" s="12"/>
      <c r="EI286" s="12"/>
      <c r="EJ286" s="12"/>
      <c r="EK286" s="12"/>
      <c r="EL286" s="12"/>
      <c r="EM286" s="12"/>
      <c r="EN286" s="12"/>
      <c r="EO286" s="12"/>
      <c r="EP286" s="12"/>
      <c r="EQ286" s="12"/>
      <c r="ER286" s="12"/>
      <c r="ES286" s="12"/>
      <c r="ET286" s="12"/>
      <c r="EU286" s="12"/>
      <c r="EV286" s="12"/>
      <c r="EW286" s="12"/>
      <c r="EX286" s="12"/>
      <c r="EY286" s="12"/>
      <c r="EZ286" s="12"/>
      <c r="FA286" s="12"/>
      <c r="FB286" s="12"/>
      <c r="FC286" s="12"/>
      <c r="FD286" s="12"/>
      <c r="FE286" s="12"/>
      <c r="FF286" s="12"/>
      <c r="FG286" s="12"/>
      <c r="FH286" s="12"/>
      <c r="FI286" s="12"/>
      <c r="FJ286" s="12"/>
      <c r="FK286" s="12"/>
      <c r="FL286" s="12"/>
      <c r="FM286" s="12"/>
      <c r="FN286" s="12"/>
      <c r="FO286" s="12"/>
      <c r="FP286" s="12"/>
      <c r="FQ286" s="12"/>
      <c r="FR286" s="12"/>
      <c r="FS286" s="12"/>
      <c r="FT286" s="12"/>
      <c r="FU286" s="12"/>
      <c r="FV286" s="12"/>
      <c r="FW286" s="12"/>
      <c r="FX286" s="12"/>
      <c r="FY286" s="12"/>
      <c r="FZ286" s="12"/>
      <c r="GA286" s="12"/>
      <c r="GB286" s="12"/>
      <c r="GC286" s="12"/>
      <c r="GD286" s="12"/>
      <c r="GE286" s="12"/>
      <c r="GF286" s="12"/>
      <c r="GG286" s="12"/>
      <c r="GH286" s="12"/>
      <c r="GI286" s="12"/>
      <c r="GJ286" s="12"/>
      <c r="GK286" s="12"/>
      <c r="GL286" s="12"/>
      <c r="GM286" s="12"/>
      <c r="GN286" s="12"/>
      <c r="GO286" s="12"/>
      <c r="GP286" s="12"/>
      <c r="GQ286" s="12"/>
      <c r="GR286" s="12"/>
      <c r="GS286" s="12"/>
      <c r="GT286" s="12"/>
      <c r="GU286" s="12"/>
      <c r="GV286" s="12"/>
      <c r="GW286" s="12"/>
      <c r="GX286" s="12"/>
      <c r="GY286" s="12"/>
      <c r="GZ286" s="12"/>
      <c r="HA286" s="12"/>
      <c r="HB286" s="12"/>
      <c r="HC286" s="12"/>
      <c r="HD286" s="12"/>
      <c r="HE286" s="12"/>
      <c r="HF286" s="12"/>
      <c r="HG286" s="12"/>
      <c r="HH286" s="12"/>
      <c r="HI286" s="12"/>
      <c r="HJ286" s="12"/>
      <c r="HK286" s="12"/>
      <c r="HL286" s="12"/>
      <c r="HM286" s="12"/>
      <c r="HN286" s="12"/>
      <c r="HO286" s="12"/>
      <c r="HP286" s="12"/>
      <c r="HQ286" s="12"/>
      <c r="HR286" s="12"/>
      <c r="HS286" s="12"/>
      <c r="HT286" s="12"/>
      <c r="HU286" s="12"/>
      <c r="HV286" s="12"/>
      <c r="HW286" s="12"/>
      <c r="HX286" s="12"/>
      <c r="HY286" s="12"/>
      <c r="HZ286" s="12"/>
      <c r="IA286" s="12"/>
      <c r="IB286" s="12"/>
      <c r="IC286" s="12"/>
      <c r="ID286" s="12"/>
      <c r="IE286" s="12"/>
      <c r="IF286" s="12"/>
      <c r="IG286" s="12"/>
      <c r="IH286" s="12"/>
      <c r="II286" s="12"/>
      <c r="IJ286" s="12"/>
      <c r="IK286" s="12"/>
      <c r="IL286" s="12"/>
      <c r="IM286" s="12"/>
      <c r="IN286" s="12"/>
      <c r="IO286" s="12"/>
      <c r="IP286" s="12"/>
      <c r="IQ286" s="12"/>
      <c r="IR286" s="12"/>
      <c r="IS286" s="12"/>
      <c r="IT286" s="12"/>
      <c r="IU286" s="12"/>
      <c r="IV286" s="12"/>
      <c r="IW286" s="12"/>
    </row>
    <row r="287" customFormat="false" ht="11.25" hidden="false" customHeight="false" outlineLevel="0" collapsed="false">
      <c r="A287" s="25" t="n">
        <f aca="false">DATE(YEAR(A286),MONTH(A286)+1,1)</f>
        <v>54455</v>
      </c>
      <c r="B287" s="21" t="n">
        <v>4.093</v>
      </c>
      <c r="C287" s="21" t="n">
        <v>4.193</v>
      </c>
      <c r="D287" s="25" t="n">
        <f aca="false">DATE(YEAR(D286),MONTH(D286)+1,1)</f>
        <v>54455</v>
      </c>
      <c r="E287" s="5"/>
      <c r="F287" s="5"/>
      <c r="G287" s="6"/>
      <c r="H287" s="22" t="n">
        <f aca="false">A287</f>
        <v>54455</v>
      </c>
      <c r="I287" s="23" t="n">
        <f aca="false">IF($J$1="bid",B287,C287)</f>
        <v>4.193</v>
      </c>
      <c r="J287" s="22"/>
      <c r="K287" s="23"/>
      <c r="L287" s="11"/>
      <c r="M287" s="11"/>
      <c r="N287" s="11"/>
      <c r="O287" s="11"/>
      <c r="P287" s="11"/>
      <c r="Q287" s="11"/>
      <c r="R287" s="11"/>
      <c r="S287" s="11"/>
      <c r="T287" s="11"/>
      <c r="U287" s="11"/>
      <c r="V287" s="11"/>
      <c r="W287" s="11"/>
      <c r="X287" s="11"/>
      <c r="Y287" s="11"/>
      <c r="Z287" s="11"/>
      <c r="AA287" s="11"/>
      <c r="AB287" s="11"/>
      <c r="AC287" s="11"/>
      <c r="AD287" s="11"/>
      <c r="AE287" s="11"/>
      <c r="AF287" s="11"/>
      <c r="AG287" s="11"/>
      <c r="AH287" s="11"/>
      <c r="AI287" s="11"/>
      <c r="AJ287" s="11"/>
      <c r="AK287" s="11"/>
      <c r="AL287" s="11"/>
      <c r="AM287" s="11"/>
      <c r="AN287" s="11"/>
      <c r="AO287" s="11"/>
      <c r="AP287" s="11"/>
      <c r="AQ287" s="11"/>
      <c r="AR287" s="5"/>
      <c r="AS287" s="12"/>
      <c r="AT287" s="12"/>
      <c r="AU287" s="12"/>
      <c r="AV287" s="12"/>
      <c r="AW287" s="12"/>
      <c r="AX287" s="12"/>
      <c r="AY287" s="12"/>
      <c r="AZ287" s="12"/>
      <c r="BA287" s="12"/>
      <c r="BB287" s="12"/>
      <c r="BC287" s="12"/>
      <c r="BD287" s="12"/>
      <c r="BE287" s="12"/>
      <c r="BF287" s="12"/>
      <c r="BG287" s="12"/>
      <c r="BH287" s="12"/>
      <c r="BI287" s="12"/>
      <c r="BJ287" s="12"/>
      <c r="BK287" s="12"/>
      <c r="BL287" s="12"/>
      <c r="BM287" s="12"/>
      <c r="BN287" s="12"/>
      <c r="BO287" s="12"/>
      <c r="BP287" s="12"/>
      <c r="BQ287" s="12"/>
      <c r="BR287" s="12"/>
      <c r="BS287" s="12"/>
      <c r="BT287" s="12"/>
      <c r="BU287" s="12"/>
      <c r="BV287" s="12"/>
      <c r="BW287" s="12"/>
      <c r="BX287" s="12"/>
      <c r="BY287" s="12"/>
      <c r="BZ287" s="12"/>
      <c r="CA287" s="12"/>
      <c r="CB287" s="12"/>
      <c r="CC287" s="12"/>
      <c r="CD287" s="12"/>
      <c r="CE287" s="12"/>
      <c r="CF287" s="12"/>
      <c r="CG287" s="12"/>
      <c r="CH287" s="12"/>
      <c r="CI287" s="12"/>
      <c r="CJ287" s="12"/>
      <c r="CK287" s="12"/>
      <c r="CL287" s="12"/>
      <c r="CM287" s="12"/>
      <c r="CN287" s="12"/>
      <c r="CO287" s="12"/>
      <c r="CP287" s="12"/>
      <c r="CQ287" s="12"/>
      <c r="CR287" s="12"/>
      <c r="CS287" s="12"/>
      <c r="CT287" s="12"/>
      <c r="CU287" s="12"/>
      <c r="CV287" s="12"/>
      <c r="CW287" s="12"/>
      <c r="CX287" s="12"/>
      <c r="CY287" s="12"/>
      <c r="CZ287" s="12"/>
      <c r="DA287" s="12"/>
      <c r="DB287" s="12"/>
      <c r="DC287" s="12"/>
      <c r="DD287" s="12"/>
      <c r="DE287" s="12"/>
      <c r="DF287" s="12"/>
      <c r="DG287" s="12"/>
      <c r="DH287" s="12"/>
      <c r="DI287" s="12"/>
      <c r="DJ287" s="12"/>
      <c r="DK287" s="12"/>
      <c r="DL287" s="12"/>
      <c r="DM287" s="12"/>
      <c r="DN287" s="12"/>
      <c r="DO287" s="12"/>
      <c r="DP287" s="12"/>
      <c r="DQ287" s="12"/>
      <c r="DR287" s="12"/>
      <c r="DS287" s="12"/>
      <c r="DT287" s="12"/>
      <c r="DU287" s="12"/>
      <c r="DV287" s="12"/>
      <c r="DW287" s="12"/>
      <c r="DX287" s="12"/>
      <c r="DY287" s="12"/>
      <c r="DZ287" s="12"/>
      <c r="EA287" s="12"/>
      <c r="EB287" s="12"/>
      <c r="EC287" s="12"/>
      <c r="ED287" s="12"/>
      <c r="EE287" s="12"/>
      <c r="EF287" s="12"/>
      <c r="EG287" s="12"/>
      <c r="EH287" s="12"/>
      <c r="EI287" s="12"/>
      <c r="EJ287" s="12"/>
      <c r="EK287" s="12"/>
      <c r="EL287" s="12"/>
      <c r="EM287" s="12"/>
      <c r="EN287" s="12"/>
      <c r="EO287" s="12"/>
      <c r="EP287" s="12"/>
      <c r="EQ287" s="12"/>
      <c r="ER287" s="12"/>
      <c r="ES287" s="12"/>
      <c r="ET287" s="12"/>
      <c r="EU287" s="12"/>
      <c r="EV287" s="12"/>
      <c r="EW287" s="12"/>
      <c r="EX287" s="12"/>
      <c r="EY287" s="12"/>
      <c r="EZ287" s="12"/>
      <c r="FA287" s="12"/>
      <c r="FB287" s="12"/>
      <c r="FC287" s="12"/>
      <c r="FD287" s="12"/>
      <c r="FE287" s="12"/>
      <c r="FF287" s="12"/>
      <c r="FG287" s="12"/>
      <c r="FH287" s="12"/>
      <c r="FI287" s="12"/>
      <c r="FJ287" s="12"/>
      <c r="FK287" s="12"/>
      <c r="FL287" s="12"/>
      <c r="FM287" s="12"/>
      <c r="FN287" s="12"/>
      <c r="FO287" s="12"/>
      <c r="FP287" s="12"/>
      <c r="FQ287" s="12"/>
      <c r="FR287" s="12"/>
      <c r="FS287" s="12"/>
      <c r="FT287" s="12"/>
      <c r="FU287" s="12"/>
      <c r="FV287" s="12"/>
      <c r="FW287" s="12"/>
      <c r="FX287" s="12"/>
      <c r="FY287" s="12"/>
      <c r="FZ287" s="12"/>
      <c r="GA287" s="12"/>
      <c r="GB287" s="12"/>
      <c r="GC287" s="12"/>
      <c r="GD287" s="12"/>
      <c r="GE287" s="12"/>
      <c r="GF287" s="12"/>
      <c r="GG287" s="12"/>
      <c r="GH287" s="12"/>
      <c r="GI287" s="12"/>
      <c r="GJ287" s="12"/>
      <c r="GK287" s="12"/>
      <c r="GL287" s="12"/>
      <c r="GM287" s="12"/>
      <c r="GN287" s="12"/>
      <c r="GO287" s="12"/>
      <c r="GP287" s="12"/>
      <c r="GQ287" s="12"/>
      <c r="GR287" s="12"/>
      <c r="GS287" s="12"/>
      <c r="GT287" s="12"/>
      <c r="GU287" s="12"/>
      <c r="GV287" s="12"/>
      <c r="GW287" s="12"/>
      <c r="GX287" s="12"/>
      <c r="GY287" s="12"/>
      <c r="GZ287" s="12"/>
      <c r="HA287" s="12"/>
      <c r="HB287" s="12"/>
      <c r="HC287" s="12"/>
      <c r="HD287" s="12"/>
      <c r="HE287" s="12"/>
      <c r="HF287" s="12"/>
      <c r="HG287" s="12"/>
      <c r="HH287" s="12"/>
      <c r="HI287" s="12"/>
      <c r="HJ287" s="12"/>
      <c r="HK287" s="12"/>
      <c r="HL287" s="12"/>
      <c r="HM287" s="12"/>
      <c r="HN287" s="12"/>
      <c r="HO287" s="12"/>
      <c r="HP287" s="12"/>
      <c r="HQ287" s="12"/>
      <c r="HR287" s="12"/>
      <c r="HS287" s="12"/>
      <c r="HT287" s="12"/>
      <c r="HU287" s="12"/>
      <c r="HV287" s="12"/>
      <c r="HW287" s="12"/>
      <c r="HX287" s="12"/>
      <c r="HY287" s="12"/>
      <c r="HZ287" s="12"/>
      <c r="IA287" s="12"/>
      <c r="IB287" s="12"/>
      <c r="IC287" s="12"/>
      <c r="ID287" s="12"/>
      <c r="IE287" s="12"/>
      <c r="IF287" s="12"/>
      <c r="IG287" s="12"/>
      <c r="IH287" s="12"/>
      <c r="II287" s="12"/>
      <c r="IJ287" s="12"/>
      <c r="IK287" s="12"/>
      <c r="IL287" s="12"/>
      <c r="IM287" s="12"/>
      <c r="IN287" s="12"/>
      <c r="IO287" s="12"/>
      <c r="IP287" s="12"/>
      <c r="IQ287" s="12"/>
      <c r="IR287" s="12"/>
      <c r="IS287" s="12"/>
      <c r="IT287" s="12"/>
      <c r="IU287" s="12"/>
      <c r="IV287" s="12"/>
      <c r="IW287" s="12"/>
    </row>
    <row r="288" customFormat="false" ht="11.25" hidden="false" customHeight="false" outlineLevel="0" collapsed="false">
      <c r="A288" s="25" t="n">
        <f aca="false">DATE(YEAR(A287),MONTH(A287)+1,1)</f>
        <v>54483</v>
      </c>
      <c r="B288" s="21" t="n">
        <v>4.08</v>
      </c>
      <c r="C288" s="21" t="n">
        <v>4.18</v>
      </c>
      <c r="D288" s="25" t="n">
        <f aca="false">DATE(YEAR(D287),MONTH(D287)+1,1)</f>
        <v>54483</v>
      </c>
      <c r="E288" s="5"/>
      <c r="F288" s="5"/>
      <c r="G288" s="6"/>
      <c r="H288" s="22" t="n">
        <f aca="false">A288</f>
        <v>54483</v>
      </c>
      <c r="I288" s="23" t="n">
        <f aca="false">IF($J$1="bid",B288,C288)</f>
        <v>4.18</v>
      </c>
      <c r="J288" s="22"/>
      <c r="K288" s="23"/>
      <c r="L288" s="11"/>
      <c r="M288" s="11"/>
      <c r="N288" s="11"/>
      <c r="O288" s="11"/>
      <c r="P288" s="11"/>
      <c r="Q288" s="11"/>
      <c r="R288" s="11"/>
      <c r="S288" s="11"/>
      <c r="T288" s="11"/>
      <c r="U288" s="11"/>
      <c r="V288" s="11"/>
      <c r="W288" s="11"/>
      <c r="X288" s="11"/>
      <c r="Y288" s="11"/>
      <c r="Z288" s="11"/>
      <c r="AA288" s="11"/>
      <c r="AB288" s="11"/>
      <c r="AC288" s="11"/>
      <c r="AD288" s="11"/>
      <c r="AE288" s="11"/>
      <c r="AF288" s="11"/>
      <c r="AG288" s="11"/>
      <c r="AH288" s="11"/>
      <c r="AI288" s="11"/>
      <c r="AJ288" s="11"/>
      <c r="AK288" s="11"/>
      <c r="AL288" s="11"/>
      <c r="AM288" s="11"/>
      <c r="AN288" s="11"/>
      <c r="AO288" s="11"/>
      <c r="AP288" s="11"/>
      <c r="AQ288" s="11"/>
      <c r="AR288" s="5"/>
      <c r="AS288" s="12"/>
      <c r="AT288" s="12"/>
      <c r="AU288" s="12"/>
      <c r="AV288" s="12"/>
      <c r="AW288" s="12"/>
      <c r="AX288" s="12"/>
      <c r="AY288" s="12"/>
      <c r="AZ288" s="12"/>
      <c r="BA288" s="12"/>
      <c r="BB288" s="12"/>
      <c r="BC288" s="12"/>
      <c r="BD288" s="12"/>
      <c r="BE288" s="12"/>
      <c r="BF288" s="12"/>
      <c r="BG288" s="12"/>
      <c r="BH288" s="12"/>
      <c r="BI288" s="12"/>
      <c r="BJ288" s="12"/>
      <c r="BK288" s="12"/>
      <c r="BL288" s="12"/>
      <c r="BM288" s="12"/>
      <c r="BN288" s="12"/>
      <c r="BO288" s="12"/>
      <c r="BP288" s="12"/>
      <c r="BQ288" s="12"/>
      <c r="BR288" s="12"/>
      <c r="BS288" s="12"/>
      <c r="BT288" s="12"/>
      <c r="BU288" s="12"/>
      <c r="BV288" s="12"/>
      <c r="BW288" s="12"/>
      <c r="BX288" s="12"/>
      <c r="BY288" s="12"/>
      <c r="BZ288" s="12"/>
      <c r="CA288" s="12"/>
      <c r="CB288" s="12"/>
      <c r="CC288" s="12"/>
      <c r="CD288" s="12"/>
      <c r="CE288" s="12"/>
      <c r="CF288" s="12"/>
      <c r="CG288" s="12"/>
      <c r="CH288" s="12"/>
      <c r="CI288" s="12"/>
      <c r="CJ288" s="12"/>
      <c r="CK288" s="12"/>
      <c r="CL288" s="12"/>
      <c r="CM288" s="12"/>
      <c r="CN288" s="12"/>
      <c r="CO288" s="12"/>
      <c r="CP288" s="12"/>
      <c r="CQ288" s="12"/>
      <c r="CR288" s="12"/>
      <c r="CS288" s="12"/>
      <c r="CT288" s="12"/>
      <c r="CU288" s="12"/>
      <c r="CV288" s="12"/>
      <c r="CW288" s="12"/>
      <c r="CX288" s="12"/>
      <c r="CY288" s="12"/>
      <c r="CZ288" s="12"/>
      <c r="DA288" s="12"/>
      <c r="DB288" s="12"/>
      <c r="DC288" s="12"/>
      <c r="DD288" s="12"/>
      <c r="DE288" s="12"/>
      <c r="DF288" s="12"/>
      <c r="DG288" s="12"/>
      <c r="DH288" s="12"/>
      <c r="DI288" s="12"/>
      <c r="DJ288" s="12"/>
      <c r="DK288" s="12"/>
      <c r="DL288" s="12"/>
      <c r="DM288" s="12"/>
      <c r="DN288" s="12"/>
      <c r="DO288" s="12"/>
      <c r="DP288" s="12"/>
      <c r="DQ288" s="12"/>
      <c r="DR288" s="12"/>
      <c r="DS288" s="12"/>
      <c r="DT288" s="12"/>
      <c r="DU288" s="12"/>
      <c r="DV288" s="12"/>
      <c r="DW288" s="12"/>
      <c r="DX288" s="12"/>
      <c r="DY288" s="12"/>
      <c r="DZ288" s="12"/>
      <c r="EA288" s="12"/>
      <c r="EB288" s="12"/>
      <c r="EC288" s="12"/>
      <c r="ED288" s="12"/>
      <c r="EE288" s="12"/>
      <c r="EF288" s="12"/>
      <c r="EG288" s="12"/>
      <c r="EH288" s="12"/>
      <c r="EI288" s="12"/>
      <c r="EJ288" s="12"/>
      <c r="EK288" s="12"/>
      <c r="EL288" s="12"/>
      <c r="EM288" s="12"/>
      <c r="EN288" s="12"/>
      <c r="EO288" s="12"/>
      <c r="EP288" s="12"/>
      <c r="EQ288" s="12"/>
      <c r="ER288" s="12"/>
      <c r="ES288" s="12"/>
      <c r="ET288" s="12"/>
      <c r="EU288" s="12"/>
      <c r="EV288" s="12"/>
      <c r="EW288" s="12"/>
      <c r="EX288" s="12"/>
      <c r="EY288" s="12"/>
      <c r="EZ288" s="12"/>
      <c r="FA288" s="12"/>
      <c r="FB288" s="12"/>
      <c r="FC288" s="12"/>
      <c r="FD288" s="12"/>
      <c r="FE288" s="12"/>
      <c r="FF288" s="12"/>
      <c r="FG288" s="12"/>
      <c r="FH288" s="12"/>
      <c r="FI288" s="12"/>
      <c r="FJ288" s="12"/>
      <c r="FK288" s="12"/>
      <c r="FL288" s="12"/>
      <c r="FM288" s="12"/>
      <c r="FN288" s="12"/>
      <c r="FO288" s="12"/>
      <c r="FP288" s="12"/>
      <c r="FQ288" s="12"/>
      <c r="FR288" s="12"/>
      <c r="FS288" s="12"/>
      <c r="FT288" s="12"/>
      <c r="FU288" s="12"/>
      <c r="FV288" s="12"/>
      <c r="FW288" s="12"/>
      <c r="FX288" s="12"/>
      <c r="FY288" s="12"/>
      <c r="FZ288" s="12"/>
      <c r="GA288" s="12"/>
      <c r="GB288" s="12"/>
      <c r="GC288" s="12"/>
      <c r="GD288" s="12"/>
      <c r="GE288" s="12"/>
      <c r="GF288" s="12"/>
      <c r="GG288" s="12"/>
      <c r="GH288" s="12"/>
      <c r="GI288" s="12"/>
      <c r="GJ288" s="12"/>
      <c r="GK288" s="12"/>
      <c r="GL288" s="12"/>
      <c r="GM288" s="12"/>
      <c r="GN288" s="12"/>
      <c r="GO288" s="12"/>
      <c r="GP288" s="12"/>
      <c r="GQ288" s="12"/>
      <c r="GR288" s="12"/>
      <c r="GS288" s="12"/>
      <c r="GT288" s="12"/>
      <c r="GU288" s="12"/>
      <c r="GV288" s="12"/>
      <c r="GW288" s="12"/>
      <c r="GX288" s="12"/>
      <c r="GY288" s="12"/>
      <c r="GZ288" s="12"/>
      <c r="HA288" s="12"/>
      <c r="HB288" s="12"/>
      <c r="HC288" s="12"/>
      <c r="HD288" s="12"/>
      <c r="HE288" s="12"/>
      <c r="HF288" s="12"/>
      <c r="HG288" s="12"/>
      <c r="HH288" s="12"/>
      <c r="HI288" s="12"/>
      <c r="HJ288" s="12"/>
      <c r="HK288" s="12"/>
      <c r="HL288" s="12"/>
      <c r="HM288" s="12"/>
      <c r="HN288" s="12"/>
      <c r="HO288" s="12"/>
      <c r="HP288" s="12"/>
      <c r="HQ288" s="12"/>
      <c r="HR288" s="12"/>
      <c r="HS288" s="12"/>
      <c r="HT288" s="12"/>
      <c r="HU288" s="12"/>
      <c r="HV288" s="12"/>
      <c r="HW288" s="12"/>
      <c r="HX288" s="12"/>
      <c r="HY288" s="12"/>
      <c r="HZ288" s="12"/>
      <c r="IA288" s="12"/>
      <c r="IB288" s="12"/>
      <c r="IC288" s="12"/>
      <c r="ID288" s="12"/>
      <c r="IE288" s="12"/>
      <c r="IF288" s="12"/>
      <c r="IG288" s="12"/>
      <c r="IH288" s="12"/>
      <c r="II288" s="12"/>
      <c r="IJ288" s="12"/>
      <c r="IK288" s="12"/>
      <c r="IL288" s="12"/>
      <c r="IM288" s="12"/>
      <c r="IN288" s="12"/>
      <c r="IO288" s="12"/>
      <c r="IP288" s="12"/>
      <c r="IQ288" s="12"/>
      <c r="IR288" s="12"/>
      <c r="IS288" s="12"/>
      <c r="IT288" s="12"/>
      <c r="IU288" s="12"/>
      <c r="IV288" s="12"/>
      <c r="IW288" s="12"/>
    </row>
    <row r="289" customFormat="false" ht="11.25" hidden="false" customHeight="false" outlineLevel="0" collapsed="false">
      <c r="A289" s="25" t="n">
        <f aca="false">DATE(YEAR(A288),MONTH(A288)+1,1)</f>
        <v>54514</v>
      </c>
      <c r="B289" s="21" t="n">
        <v>4.088</v>
      </c>
      <c r="C289" s="21" t="n">
        <v>4.188</v>
      </c>
      <c r="D289" s="25" t="n">
        <f aca="false">DATE(YEAR(D288),MONTH(D288)+1,1)</f>
        <v>54514</v>
      </c>
      <c r="E289" s="5"/>
      <c r="F289" s="5"/>
      <c r="G289" s="6"/>
      <c r="H289" s="22" t="n">
        <f aca="false">A289</f>
        <v>54514</v>
      </c>
      <c r="I289" s="23" t="n">
        <f aca="false">IF($J$1="bid",B289,C289)</f>
        <v>4.188</v>
      </c>
      <c r="J289" s="22"/>
      <c r="K289" s="23"/>
      <c r="L289" s="11"/>
      <c r="M289" s="11"/>
      <c r="N289" s="11"/>
      <c r="O289" s="11"/>
      <c r="P289" s="11"/>
      <c r="Q289" s="11"/>
      <c r="R289" s="11"/>
      <c r="S289" s="11"/>
      <c r="T289" s="11"/>
      <c r="U289" s="11"/>
      <c r="V289" s="11"/>
      <c r="W289" s="11"/>
      <c r="X289" s="11"/>
      <c r="Y289" s="11"/>
      <c r="Z289" s="11"/>
      <c r="AA289" s="11"/>
      <c r="AB289" s="11"/>
      <c r="AC289" s="11"/>
      <c r="AD289" s="11"/>
      <c r="AE289" s="11"/>
      <c r="AF289" s="11"/>
      <c r="AG289" s="11"/>
      <c r="AH289" s="11"/>
      <c r="AI289" s="11"/>
      <c r="AJ289" s="11"/>
      <c r="AK289" s="11"/>
      <c r="AL289" s="11"/>
      <c r="AM289" s="11"/>
      <c r="AN289" s="11"/>
      <c r="AO289" s="11"/>
      <c r="AP289" s="11"/>
      <c r="AQ289" s="11"/>
      <c r="AR289" s="5"/>
      <c r="AS289" s="12"/>
      <c r="AT289" s="12"/>
      <c r="AU289" s="12"/>
      <c r="AV289" s="12"/>
      <c r="AW289" s="12"/>
      <c r="AX289" s="12"/>
      <c r="AY289" s="12"/>
      <c r="AZ289" s="12"/>
      <c r="BA289" s="12"/>
      <c r="BB289" s="12"/>
      <c r="BC289" s="12"/>
      <c r="BD289" s="12"/>
      <c r="BE289" s="12"/>
      <c r="BF289" s="12"/>
      <c r="BG289" s="12"/>
      <c r="BH289" s="12"/>
      <c r="BI289" s="12"/>
      <c r="BJ289" s="12"/>
      <c r="BK289" s="12"/>
      <c r="BL289" s="12"/>
      <c r="BM289" s="12"/>
      <c r="BN289" s="12"/>
      <c r="BO289" s="12"/>
      <c r="BP289" s="12"/>
      <c r="BQ289" s="12"/>
      <c r="BR289" s="12"/>
      <c r="BS289" s="12"/>
      <c r="BT289" s="12"/>
      <c r="BU289" s="12"/>
      <c r="BV289" s="12"/>
      <c r="BW289" s="12"/>
      <c r="BX289" s="12"/>
      <c r="BY289" s="12"/>
      <c r="BZ289" s="12"/>
      <c r="CA289" s="12"/>
      <c r="CB289" s="12"/>
      <c r="CC289" s="12"/>
      <c r="CD289" s="12"/>
      <c r="CE289" s="12"/>
      <c r="CF289" s="12"/>
      <c r="CG289" s="12"/>
      <c r="CH289" s="12"/>
      <c r="CI289" s="12"/>
      <c r="CJ289" s="12"/>
      <c r="CK289" s="12"/>
      <c r="CL289" s="12"/>
      <c r="CM289" s="12"/>
      <c r="CN289" s="12"/>
      <c r="CO289" s="12"/>
      <c r="CP289" s="12"/>
      <c r="CQ289" s="12"/>
      <c r="CR289" s="12"/>
      <c r="CS289" s="12"/>
      <c r="CT289" s="12"/>
      <c r="CU289" s="12"/>
      <c r="CV289" s="12"/>
      <c r="CW289" s="12"/>
      <c r="CX289" s="12"/>
      <c r="CY289" s="12"/>
      <c r="CZ289" s="12"/>
      <c r="DA289" s="12"/>
      <c r="DB289" s="12"/>
      <c r="DC289" s="12"/>
      <c r="DD289" s="12"/>
      <c r="DE289" s="12"/>
      <c r="DF289" s="12"/>
      <c r="DG289" s="12"/>
      <c r="DH289" s="12"/>
      <c r="DI289" s="12"/>
      <c r="DJ289" s="12"/>
      <c r="DK289" s="12"/>
      <c r="DL289" s="12"/>
      <c r="DM289" s="12"/>
      <c r="DN289" s="12"/>
      <c r="DO289" s="12"/>
      <c r="DP289" s="12"/>
      <c r="DQ289" s="12"/>
      <c r="DR289" s="12"/>
      <c r="DS289" s="12"/>
      <c r="DT289" s="12"/>
      <c r="DU289" s="12"/>
      <c r="DV289" s="12"/>
      <c r="DW289" s="12"/>
      <c r="DX289" s="12"/>
      <c r="DY289" s="12"/>
      <c r="DZ289" s="12"/>
      <c r="EA289" s="12"/>
      <c r="EB289" s="12"/>
      <c r="EC289" s="12"/>
      <c r="ED289" s="12"/>
      <c r="EE289" s="12"/>
      <c r="EF289" s="12"/>
      <c r="EG289" s="12"/>
      <c r="EH289" s="12"/>
      <c r="EI289" s="12"/>
      <c r="EJ289" s="12"/>
      <c r="EK289" s="12"/>
      <c r="EL289" s="12"/>
      <c r="EM289" s="12"/>
      <c r="EN289" s="12"/>
      <c r="EO289" s="12"/>
      <c r="EP289" s="12"/>
      <c r="EQ289" s="12"/>
      <c r="ER289" s="12"/>
      <c r="ES289" s="12"/>
      <c r="ET289" s="12"/>
      <c r="EU289" s="12"/>
      <c r="EV289" s="12"/>
      <c r="EW289" s="12"/>
      <c r="EX289" s="12"/>
      <c r="EY289" s="12"/>
      <c r="EZ289" s="12"/>
      <c r="FA289" s="12"/>
      <c r="FB289" s="12"/>
      <c r="FC289" s="12"/>
      <c r="FD289" s="12"/>
      <c r="FE289" s="12"/>
      <c r="FF289" s="12"/>
      <c r="FG289" s="12"/>
      <c r="FH289" s="12"/>
      <c r="FI289" s="12"/>
      <c r="FJ289" s="12"/>
      <c r="FK289" s="12"/>
      <c r="FL289" s="12"/>
      <c r="FM289" s="12"/>
      <c r="FN289" s="12"/>
      <c r="FO289" s="12"/>
      <c r="FP289" s="12"/>
      <c r="FQ289" s="12"/>
      <c r="FR289" s="12"/>
      <c r="FS289" s="12"/>
      <c r="FT289" s="12"/>
      <c r="FU289" s="12"/>
      <c r="FV289" s="12"/>
      <c r="FW289" s="12"/>
      <c r="FX289" s="12"/>
      <c r="FY289" s="12"/>
      <c r="FZ289" s="12"/>
      <c r="GA289" s="12"/>
      <c r="GB289" s="12"/>
      <c r="GC289" s="12"/>
      <c r="GD289" s="12"/>
      <c r="GE289" s="12"/>
      <c r="GF289" s="12"/>
      <c r="GG289" s="12"/>
      <c r="GH289" s="12"/>
      <c r="GI289" s="12"/>
      <c r="GJ289" s="12"/>
      <c r="GK289" s="12"/>
      <c r="GL289" s="12"/>
      <c r="GM289" s="12"/>
      <c r="GN289" s="12"/>
      <c r="GO289" s="12"/>
      <c r="GP289" s="12"/>
      <c r="GQ289" s="12"/>
      <c r="GR289" s="12"/>
      <c r="GS289" s="12"/>
      <c r="GT289" s="12"/>
      <c r="GU289" s="12"/>
      <c r="GV289" s="12"/>
      <c r="GW289" s="12"/>
      <c r="GX289" s="12"/>
      <c r="GY289" s="12"/>
      <c r="GZ289" s="12"/>
      <c r="HA289" s="12"/>
      <c r="HB289" s="12"/>
      <c r="HC289" s="12"/>
      <c r="HD289" s="12"/>
      <c r="HE289" s="12"/>
      <c r="HF289" s="12"/>
      <c r="HG289" s="12"/>
      <c r="HH289" s="12"/>
      <c r="HI289" s="12"/>
      <c r="HJ289" s="12"/>
      <c r="HK289" s="12"/>
      <c r="HL289" s="12"/>
      <c r="HM289" s="12"/>
      <c r="HN289" s="12"/>
      <c r="HO289" s="12"/>
      <c r="HP289" s="12"/>
      <c r="HQ289" s="12"/>
      <c r="HR289" s="12"/>
      <c r="HS289" s="12"/>
      <c r="HT289" s="12"/>
      <c r="HU289" s="12"/>
      <c r="HV289" s="12"/>
      <c r="HW289" s="12"/>
      <c r="HX289" s="12"/>
      <c r="HY289" s="12"/>
      <c r="HZ289" s="12"/>
      <c r="IA289" s="12"/>
      <c r="IB289" s="12"/>
      <c r="IC289" s="12"/>
      <c r="ID289" s="12"/>
      <c r="IE289" s="12"/>
      <c r="IF289" s="12"/>
      <c r="IG289" s="12"/>
      <c r="IH289" s="12"/>
      <c r="II289" s="12"/>
      <c r="IJ289" s="12"/>
      <c r="IK289" s="12"/>
      <c r="IL289" s="12"/>
      <c r="IM289" s="12"/>
      <c r="IN289" s="12"/>
      <c r="IO289" s="12"/>
      <c r="IP289" s="12"/>
      <c r="IQ289" s="12"/>
      <c r="IR289" s="12"/>
      <c r="IS289" s="12"/>
      <c r="IT289" s="12"/>
      <c r="IU289" s="12"/>
      <c r="IV289" s="12"/>
      <c r="IW289" s="12"/>
    </row>
    <row r="290" customFormat="false" ht="11.25" hidden="false" customHeight="false" outlineLevel="0" collapsed="false">
      <c r="A290" s="25" t="n">
        <f aca="false">DATE(YEAR(A289),MONTH(A289)+1,1)</f>
        <v>54544</v>
      </c>
      <c r="B290" s="21" t="n">
        <v>4.08</v>
      </c>
      <c r="C290" s="21" t="n">
        <v>4.18</v>
      </c>
      <c r="D290" s="25" t="n">
        <f aca="false">DATE(YEAR(D289),MONTH(D289)+1,1)</f>
        <v>54544</v>
      </c>
      <c r="E290" s="5"/>
      <c r="F290" s="5"/>
      <c r="G290" s="6"/>
      <c r="H290" s="22" t="n">
        <f aca="false">A290</f>
        <v>54544</v>
      </c>
      <c r="I290" s="23" t="n">
        <f aca="false">IF($J$1="bid",B290,C290)</f>
        <v>4.18</v>
      </c>
      <c r="J290" s="22"/>
      <c r="K290" s="23"/>
      <c r="L290" s="11"/>
      <c r="M290" s="11"/>
      <c r="N290" s="11"/>
      <c r="O290" s="11"/>
      <c r="P290" s="11"/>
      <c r="Q290" s="11"/>
      <c r="R290" s="11"/>
      <c r="S290" s="11"/>
      <c r="T290" s="11"/>
      <c r="U290" s="11"/>
      <c r="V290" s="11"/>
      <c r="W290" s="11"/>
      <c r="X290" s="11"/>
      <c r="Y290" s="11"/>
      <c r="Z290" s="11"/>
      <c r="AA290" s="11"/>
      <c r="AB290" s="11"/>
      <c r="AC290" s="11"/>
      <c r="AD290" s="11"/>
      <c r="AE290" s="11"/>
      <c r="AF290" s="11"/>
      <c r="AG290" s="11"/>
      <c r="AH290" s="11"/>
      <c r="AI290" s="11"/>
      <c r="AJ290" s="11"/>
      <c r="AK290" s="11"/>
      <c r="AL290" s="11"/>
      <c r="AM290" s="11"/>
      <c r="AN290" s="11"/>
      <c r="AO290" s="11"/>
      <c r="AP290" s="11"/>
      <c r="AQ290" s="11"/>
      <c r="AR290" s="5"/>
      <c r="AS290" s="12"/>
      <c r="AT290" s="12"/>
      <c r="AU290" s="12"/>
      <c r="AV290" s="12"/>
      <c r="AW290" s="12"/>
      <c r="AX290" s="12"/>
      <c r="AY290" s="12"/>
      <c r="AZ290" s="12"/>
      <c r="BA290" s="12"/>
      <c r="BB290" s="12"/>
      <c r="BC290" s="12"/>
      <c r="BD290" s="12"/>
      <c r="BE290" s="12"/>
      <c r="BF290" s="12"/>
      <c r="BG290" s="12"/>
      <c r="BH290" s="12"/>
      <c r="BI290" s="12"/>
      <c r="BJ290" s="12"/>
      <c r="BK290" s="12"/>
      <c r="BL290" s="12"/>
      <c r="BM290" s="12"/>
      <c r="BN290" s="12"/>
      <c r="BO290" s="12"/>
      <c r="BP290" s="12"/>
      <c r="BQ290" s="12"/>
      <c r="BR290" s="12"/>
      <c r="BS290" s="12"/>
      <c r="BT290" s="12"/>
      <c r="BU290" s="12"/>
      <c r="BV290" s="12"/>
      <c r="BW290" s="12"/>
      <c r="BX290" s="12"/>
      <c r="BY290" s="12"/>
      <c r="BZ290" s="12"/>
      <c r="CA290" s="12"/>
      <c r="CB290" s="12"/>
      <c r="CC290" s="12"/>
      <c r="CD290" s="12"/>
      <c r="CE290" s="12"/>
      <c r="CF290" s="12"/>
      <c r="CG290" s="12"/>
      <c r="CH290" s="12"/>
      <c r="CI290" s="12"/>
      <c r="CJ290" s="12"/>
      <c r="CK290" s="12"/>
      <c r="CL290" s="12"/>
      <c r="CM290" s="12"/>
      <c r="CN290" s="12"/>
      <c r="CO290" s="12"/>
      <c r="CP290" s="12"/>
      <c r="CQ290" s="12"/>
      <c r="CR290" s="12"/>
      <c r="CS290" s="12"/>
      <c r="CT290" s="12"/>
      <c r="CU290" s="12"/>
      <c r="CV290" s="12"/>
      <c r="CW290" s="12"/>
      <c r="CX290" s="12"/>
      <c r="CY290" s="12"/>
      <c r="CZ290" s="12"/>
      <c r="DA290" s="12"/>
      <c r="DB290" s="12"/>
      <c r="DC290" s="12"/>
      <c r="DD290" s="12"/>
      <c r="DE290" s="12"/>
      <c r="DF290" s="12"/>
      <c r="DG290" s="12"/>
      <c r="DH290" s="12"/>
      <c r="DI290" s="12"/>
      <c r="DJ290" s="12"/>
      <c r="DK290" s="12"/>
      <c r="DL290" s="12"/>
      <c r="DM290" s="12"/>
      <c r="DN290" s="12"/>
      <c r="DO290" s="12"/>
      <c r="DP290" s="12"/>
      <c r="DQ290" s="12"/>
      <c r="DR290" s="12"/>
      <c r="DS290" s="12"/>
      <c r="DT290" s="12"/>
      <c r="DU290" s="12"/>
      <c r="DV290" s="12"/>
      <c r="DW290" s="12"/>
      <c r="DX290" s="12"/>
      <c r="DY290" s="12"/>
      <c r="DZ290" s="12"/>
      <c r="EA290" s="12"/>
      <c r="EB290" s="12"/>
      <c r="EC290" s="12"/>
      <c r="ED290" s="12"/>
      <c r="EE290" s="12"/>
      <c r="EF290" s="12"/>
      <c r="EG290" s="12"/>
      <c r="EH290" s="12"/>
      <c r="EI290" s="12"/>
      <c r="EJ290" s="12"/>
      <c r="EK290" s="12"/>
      <c r="EL290" s="12"/>
      <c r="EM290" s="12"/>
      <c r="EN290" s="12"/>
      <c r="EO290" s="12"/>
      <c r="EP290" s="12"/>
      <c r="EQ290" s="12"/>
      <c r="ER290" s="12"/>
      <c r="ES290" s="12"/>
      <c r="ET290" s="12"/>
      <c r="EU290" s="12"/>
      <c r="EV290" s="12"/>
      <c r="EW290" s="12"/>
      <c r="EX290" s="12"/>
      <c r="EY290" s="12"/>
      <c r="EZ290" s="12"/>
      <c r="FA290" s="12"/>
      <c r="FB290" s="12"/>
      <c r="FC290" s="12"/>
      <c r="FD290" s="12"/>
      <c r="FE290" s="12"/>
      <c r="FF290" s="12"/>
      <c r="FG290" s="12"/>
      <c r="FH290" s="12"/>
      <c r="FI290" s="12"/>
      <c r="FJ290" s="12"/>
      <c r="FK290" s="12"/>
      <c r="FL290" s="12"/>
      <c r="FM290" s="12"/>
      <c r="FN290" s="12"/>
      <c r="FO290" s="12"/>
      <c r="FP290" s="12"/>
      <c r="FQ290" s="12"/>
      <c r="FR290" s="12"/>
      <c r="FS290" s="12"/>
      <c r="FT290" s="12"/>
      <c r="FU290" s="12"/>
      <c r="FV290" s="12"/>
      <c r="FW290" s="12"/>
      <c r="FX290" s="12"/>
      <c r="FY290" s="12"/>
      <c r="FZ290" s="12"/>
      <c r="GA290" s="12"/>
      <c r="GB290" s="12"/>
      <c r="GC290" s="12"/>
      <c r="GD290" s="12"/>
      <c r="GE290" s="12"/>
      <c r="GF290" s="12"/>
      <c r="GG290" s="12"/>
      <c r="GH290" s="12"/>
      <c r="GI290" s="12"/>
      <c r="GJ290" s="12"/>
      <c r="GK290" s="12"/>
      <c r="GL290" s="12"/>
      <c r="GM290" s="12"/>
      <c r="GN290" s="12"/>
      <c r="GO290" s="12"/>
      <c r="GP290" s="12"/>
      <c r="GQ290" s="12"/>
      <c r="GR290" s="12"/>
      <c r="GS290" s="12"/>
      <c r="GT290" s="12"/>
      <c r="GU290" s="12"/>
      <c r="GV290" s="12"/>
      <c r="GW290" s="12"/>
      <c r="GX290" s="12"/>
      <c r="GY290" s="12"/>
      <c r="GZ290" s="12"/>
      <c r="HA290" s="12"/>
      <c r="HB290" s="12"/>
      <c r="HC290" s="12"/>
      <c r="HD290" s="12"/>
      <c r="HE290" s="12"/>
      <c r="HF290" s="12"/>
      <c r="HG290" s="12"/>
      <c r="HH290" s="12"/>
      <c r="HI290" s="12"/>
      <c r="HJ290" s="12"/>
      <c r="HK290" s="12"/>
      <c r="HL290" s="12"/>
      <c r="HM290" s="12"/>
      <c r="HN290" s="12"/>
      <c r="HO290" s="12"/>
      <c r="HP290" s="12"/>
      <c r="HQ290" s="12"/>
      <c r="HR290" s="12"/>
      <c r="HS290" s="12"/>
      <c r="HT290" s="12"/>
      <c r="HU290" s="12"/>
      <c r="HV290" s="12"/>
      <c r="HW290" s="12"/>
      <c r="HX290" s="12"/>
      <c r="HY290" s="12"/>
      <c r="HZ290" s="12"/>
      <c r="IA290" s="12"/>
      <c r="IB290" s="12"/>
      <c r="IC290" s="12"/>
      <c r="ID290" s="12"/>
      <c r="IE290" s="12"/>
      <c r="IF290" s="12"/>
      <c r="IG290" s="12"/>
      <c r="IH290" s="12"/>
      <c r="II290" s="12"/>
      <c r="IJ290" s="12"/>
      <c r="IK290" s="12"/>
      <c r="IL290" s="12"/>
      <c r="IM290" s="12"/>
      <c r="IN290" s="12"/>
      <c r="IO290" s="12"/>
      <c r="IP290" s="12"/>
      <c r="IQ290" s="12"/>
      <c r="IR290" s="12"/>
      <c r="IS290" s="12"/>
      <c r="IT290" s="12"/>
      <c r="IU290" s="12"/>
      <c r="IV290" s="12"/>
      <c r="IW290" s="12"/>
    </row>
    <row r="291" customFormat="false" ht="11.25" hidden="false" customHeight="false" outlineLevel="0" collapsed="false">
      <c r="A291" s="25" t="n">
        <f aca="false">DATE(YEAR(A290),MONTH(A290)+1,1)</f>
        <v>54575</v>
      </c>
      <c r="B291" s="21" t="n">
        <v>4.08</v>
      </c>
      <c r="C291" s="21" t="n">
        <v>4.18</v>
      </c>
      <c r="D291" s="25" t="n">
        <f aca="false">DATE(YEAR(D290),MONTH(D290)+1,1)</f>
        <v>54575</v>
      </c>
      <c r="E291" s="5"/>
      <c r="F291" s="5"/>
      <c r="G291" s="6"/>
      <c r="H291" s="22" t="n">
        <f aca="false">A291</f>
        <v>54575</v>
      </c>
      <c r="I291" s="23" t="n">
        <f aca="false">IF($J$1="bid",B291,C291)</f>
        <v>4.18</v>
      </c>
      <c r="J291" s="22"/>
      <c r="K291" s="23"/>
      <c r="L291" s="11"/>
      <c r="M291" s="11"/>
      <c r="N291" s="11"/>
      <c r="O291" s="11"/>
      <c r="P291" s="11"/>
      <c r="Q291" s="11"/>
      <c r="R291" s="11"/>
      <c r="S291" s="11"/>
      <c r="T291" s="11"/>
      <c r="U291" s="11"/>
      <c r="V291" s="11"/>
      <c r="W291" s="11"/>
      <c r="X291" s="11"/>
      <c r="Y291" s="11"/>
      <c r="Z291" s="11"/>
      <c r="AA291" s="11"/>
      <c r="AB291" s="11"/>
      <c r="AC291" s="11"/>
      <c r="AD291" s="11"/>
      <c r="AE291" s="11"/>
      <c r="AF291" s="11"/>
      <c r="AG291" s="11"/>
      <c r="AH291" s="11"/>
      <c r="AI291" s="11"/>
      <c r="AJ291" s="11"/>
      <c r="AK291" s="11"/>
      <c r="AL291" s="11"/>
      <c r="AM291" s="11"/>
      <c r="AN291" s="11"/>
      <c r="AO291" s="11"/>
      <c r="AP291" s="11"/>
      <c r="AQ291" s="11"/>
      <c r="AR291" s="5"/>
      <c r="AS291" s="12"/>
      <c r="AT291" s="12"/>
      <c r="AU291" s="12"/>
      <c r="AV291" s="12"/>
      <c r="AW291" s="12"/>
      <c r="AX291" s="12"/>
      <c r="AY291" s="12"/>
      <c r="AZ291" s="12"/>
      <c r="BA291" s="12"/>
      <c r="BB291" s="12"/>
      <c r="BC291" s="12"/>
      <c r="BD291" s="12"/>
      <c r="BE291" s="12"/>
      <c r="BF291" s="12"/>
      <c r="BG291" s="12"/>
      <c r="BH291" s="12"/>
      <c r="BI291" s="12"/>
      <c r="BJ291" s="12"/>
      <c r="BK291" s="12"/>
      <c r="BL291" s="12"/>
      <c r="BM291" s="12"/>
      <c r="BN291" s="12"/>
      <c r="BO291" s="12"/>
      <c r="BP291" s="12"/>
      <c r="BQ291" s="12"/>
      <c r="BR291" s="12"/>
      <c r="BS291" s="12"/>
      <c r="BT291" s="12"/>
      <c r="BU291" s="12"/>
      <c r="BV291" s="12"/>
      <c r="BW291" s="12"/>
      <c r="BX291" s="12"/>
      <c r="BY291" s="12"/>
      <c r="BZ291" s="12"/>
      <c r="CA291" s="12"/>
      <c r="CB291" s="12"/>
      <c r="CC291" s="12"/>
      <c r="CD291" s="12"/>
      <c r="CE291" s="12"/>
      <c r="CF291" s="12"/>
      <c r="CG291" s="12"/>
      <c r="CH291" s="12"/>
      <c r="CI291" s="12"/>
      <c r="CJ291" s="12"/>
      <c r="CK291" s="12"/>
      <c r="CL291" s="12"/>
      <c r="CM291" s="12"/>
      <c r="CN291" s="12"/>
      <c r="CO291" s="12"/>
      <c r="CP291" s="12"/>
      <c r="CQ291" s="12"/>
      <c r="CR291" s="12"/>
      <c r="CS291" s="12"/>
      <c r="CT291" s="12"/>
      <c r="CU291" s="12"/>
      <c r="CV291" s="12"/>
      <c r="CW291" s="12"/>
      <c r="CX291" s="12"/>
      <c r="CY291" s="12"/>
      <c r="CZ291" s="12"/>
      <c r="DA291" s="12"/>
      <c r="DB291" s="12"/>
      <c r="DC291" s="12"/>
      <c r="DD291" s="12"/>
      <c r="DE291" s="12"/>
      <c r="DF291" s="12"/>
      <c r="DG291" s="12"/>
      <c r="DH291" s="12"/>
      <c r="DI291" s="12"/>
      <c r="DJ291" s="12"/>
      <c r="DK291" s="12"/>
      <c r="DL291" s="12"/>
      <c r="DM291" s="12"/>
      <c r="DN291" s="12"/>
      <c r="DO291" s="12"/>
      <c r="DP291" s="12"/>
      <c r="DQ291" s="12"/>
      <c r="DR291" s="12"/>
      <c r="DS291" s="12"/>
      <c r="DT291" s="12"/>
      <c r="DU291" s="12"/>
      <c r="DV291" s="12"/>
      <c r="DW291" s="12"/>
      <c r="DX291" s="12"/>
      <c r="DY291" s="12"/>
      <c r="DZ291" s="12"/>
      <c r="EA291" s="12"/>
      <c r="EB291" s="12"/>
      <c r="EC291" s="12"/>
      <c r="ED291" s="12"/>
      <c r="EE291" s="12"/>
      <c r="EF291" s="12"/>
      <c r="EG291" s="12"/>
      <c r="EH291" s="12"/>
      <c r="EI291" s="12"/>
      <c r="EJ291" s="12"/>
      <c r="EK291" s="12"/>
      <c r="EL291" s="12"/>
      <c r="EM291" s="12"/>
      <c r="EN291" s="12"/>
      <c r="EO291" s="12"/>
      <c r="EP291" s="12"/>
      <c r="EQ291" s="12"/>
      <c r="ER291" s="12"/>
      <c r="ES291" s="12"/>
      <c r="ET291" s="12"/>
      <c r="EU291" s="12"/>
      <c r="EV291" s="12"/>
      <c r="EW291" s="12"/>
      <c r="EX291" s="12"/>
      <c r="EY291" s="12"/>
      <c r="EZ291" s="12"/>
      <c r="FA291" s="12"/>
      <c r="FB291" s="12"/>
      <c r="FC291" s="12"/>
      <c r="FD291" s="12"/>
      <c r="FE291" s="12"/>
      <c r="FF291" s="12"/>
      <c r="FG291" s="12"/>
      <c r="FH291" s="12"/>
      <c r="FI291" s="12"/>
      <c r="FJ291" s="12"/>
      <c r="FK291" s="12"/>
      <c r="FL291" s="12"/>
      <c r="FM291" s="12"/>
      <c r="FN291" s="12"/>
      <c r="FO291" s="12"/>
      <c r="FP291" s="12"/>
      <c r="FQ291" s="12"/>
      <c r="FR291" s="12"/>
      <c r="FS291" s="12"/>
      <c r="FT291" s="12"/>
      <c r="FU291" s="12"/>
      <c r="FV291" s="12"/>
      <c r="FW291" s="12"/>
      <c r="FX291" s="12"/>
      <c r="FY291" s="12"/>
      <c r="FZ291" s="12"/>
      <c r="GA291" s="12"/>
      <c r="GB291" s="12"/>
      <c r="GC291" s="12"/>
      <c r="GD291" s="12"/>
      <c r="GE291" s="12"/>
      <c r="GF291" s="12"/>
      <c r="GG291" s="12"/>
      <c r="GH291" s="12"/>
      <c r="GI291" s="12"/>
      <c r="GJ291" s="12"/>
      <c r="GK291" s="12"/>
      <c r="GL291" s="12"/>
      <c r="GM291" s="12"/>
      <c r="GN291" s="12"/>
      <c r="GO291" s="12"/>
      <c r="GP291" s="12"/>
      <c r="GQ291" s="12"/>
      <c r="GR291" s="12"/>
      <c r="GS291" s="12"/>
      <c r="GT291" s="12"/>
      <c r="GU291" s="12"/>
      <c r="GV291" s="12"/>
      <c r="GW291" s="12"/>
      <c r="GX291" s="12"/>
      <c r="GY291" s="12"/>
      <c r="GZ291" s="12"/>
      <c r="HA291" s="12"/>
      <c r="HB291" s="12"/>
      <c r="HC291" s="12"/>
      <c r="HD291" s="12"/>
      <c r="HE291" s="12"/>
      <c r="HF291" s="12"/>
      <c r="HG291" s="12"/>
      <c r="HH291" s="12"/>
      <c r="HI291" s="12"/>
      <c r="HJ291" s="12"/>
      <c r="HK291" s="12"/>
      <c r="HL291" s="12"/>
      <c r="HM291" s="12"/>
      <c r="HN291" s="12"/>
      <c r="HO291" s="12"/>
      <c r="HP291" s="12"/>
      <c r="HQ291" s="12"/>
      <c r="HR291" s="12"/>
      <c r="HS291" s="12"/>
      <c r="HT291" s="12"/>
      <c r="HU291" s="12"/>
      <c r="HV291" s="12"/>
      <c r="HW291" s="12"/>
      <c r="HX291" s="12"/>
      <c r="HY291" s="12"/>
      <c r="HZ291" s="12"/>
      <c r="IA291" s="12"/>
      <c r="IB291" s="12"/>
      <c r="IC291" s="12"/>
      <c r="ID291" s="12"/>
      <c r="IE291" s="12"/>
      <c r="IF291" s="12"/>
      <c r="IG291" s="12"/>
      <c r="IH291" s="12"/>
      <c r="II291" s="12"/>
      <c r="IJ291" s="12"/>
      <c r="IK291" s="12"/>
      <c r="IL291" s="12"/>
      <c r="IM291" s="12"/>
      <c r="IN291" s="12"/>
      <c r="IO291" s="12"/>
      <c r="IP291" s="12"/>
      <c r="IQ291" s="12"/>
      <c r="IR291" s="12"/>
      <c r="IS291" s="12"/>
      <c r="IT291" s="12"/>
      <c r="IU291" s="12"/>
      <c r="IV291" s="12"/>
      <c r="IW291" s="12"/>
    </row>
    <row r="292" customFormat="false" ht="11.25" hidden="false" customHeight="false" outlineLevel="0" collapsed="false">
      <c r="A292" s="25" t="n">
        <f aca="false">DATE(YEAR(A291),MONTH(A291)+1,1)</f>
        <v>54605</v>
      </c>
      <c r="B292" s="21" t="n">
        <v>4.08</v>
      </c>
      <c r="C292" s="21" t="n">
        <v>4.18</v>
      </c>
      <c r="D292" s="25" t="n">
        <f aca="false">DATE(YEAR(D291),MONTH(D291)+1,1)</f>
        <v>54605</v>
      </c>
      <c r="E292" s="5"/>
      <c r="F292" s="5"/>
      <c r="G292" s="6"/>
      <c r="H292" s="22" t="n">
        <f aca="false">A292</f>
        <v>54605</v>
      </c>
      <c r="I292" s="23" t="n">
        <f aca="false">IF($J$1="bid",B292,C292)</f>
        <v>4.18</v>
      </c>
      <c r="J292" s="22"/>
      <c r="K292" s="23"/>
      <c r="L292" s="11"/>
      <c r="M292" s="11"/>
      <c r="N292" s="11"/>
      <c r="O292" s="11"/>
      <c r="P292" s="11"/>
      <c r="Q292" s="11"/>
      <c r="R292" s="11"/>
      <c r="S292" s="11"/>
      <c r="T292" s="11"/>
      <c r="U292" s="11"/>
      <c r="V292" s="11"/>
      <c r="W292" s="11"/>
      <c r="X292" s="11"/>
      <c r="Y292" s="11"/>
      <c r="Z292" s="11"/>
      <c r="AA292" s="11"/>
      <c r="AB292" s="11"/>
      <c r="AC292" s="11"/>
      <c r="AD292" s="11"/>
      <c r="AE292" s="11"/>
      <c r="AF292" s="11"/>
      <c r="AG292" s="11"/>
      <c r="AH292" s="11"/>
      <c r="AI292" s="11"/>
      <c r="AJ292" s="11"/>
      <c r="AK292" s="11"/>
      <c r="AL292" s="11"/>
      <c r="AM292" s="11"/>
      <c r="AN292" s="11"/>
      <c r="AO292" s="11"/>
      <c r="AP292" s="11"/>
      <c r="AQ292" s="11"/>
      <c r="AR292" s="5"/>
      <c r="AS292" s="12"/>
      <c r="AT292" s="12"/>
      <c r="AU292" s="12"/>
      <c r="AV292" s="12"/>
      <c r="AW292" s="12"/>
      <c r="AX292" s="12"/>
      <c r="AY292" s="12"/>
      <c r="AZ292" s="12"/>
      <c r="BA292" s="12"/>
      <c r="BB292" s="12"/>
      <c r="BC292" s="12"/>
      <c r="BD292" s="12"/>
      <c r="BE292" s="12"/>
      <c r="BF292" s="12"/>
      <c r="BG292" s="12"/>
      <c r="BH292" s="12"/>
      <c r="BI292" s="12"/>
      <c r="BJ292" s="12"/>
      <c r="BK292" s="12"/>
      <c r="BL292" s="12"/>
      <c r="BM292" s="12"/>
      <c r="BN292" s="12"/>
      <c r="BO292" s="12"/>
      <c r="BP292" s="12"/>
      <c r="BQ292" s="12"/>
      <c r="BR292" s="12"/>
      <c r="BS292" s="12"/>
      <c r="BT292" s="12"/>
      <c r="BU292" s="12"/>
      <c r="BV292" s="12"/>
      <c r="BW292" s="12"/>
      <c r="BX292" s="12"/>
      <c r="BY292" s="12"/>
      <c r="BZ292" s="12"/>
      <c r="CA292" s="12"/>
      <c r="CB292" s="12"/>
      <c r="CC292" s="12"/>
      <c r="CD292" s="12"/>
      <c r="CE292" s="12"/>
      <c r="CF292" s="12"/>
      <c r="CG292" s="12"/>
      <c r="CH292" s="12"/>
      <c r="CI292" s="12"/>
      <c r="CJ292" s="12"/>
      <c r="CK292" s="12"/>
      <c r="CL292" s="12"/>
      <c r="CM292" s="12"/>
      <c r="CN292" s="12"/>
      <c r="CO292" s="12"/>
      <c r="CP292" s="12"/>
      <c r="CQ292" s="12"/>
      <c r="CR292" s="12"/>
      <c r="CS292" s="12"/>
      <c r="CT292" s="12"/>
      <c r="CU292" s="12"/>
      <c r="CV292" s="12"/>
      <c r="CW292" s="12"/>
      <c r="CX292" s="12"/>
      <c r="CY292" s="12"/>
      <c r="CZ292" s="12"/>
      <c r="DA292" s="12"/>
      <c r="DB292" s="12"/>
      <c r="DC292" s="12"/>
      <c r="DD292" s="12"/>
      <c r="DE292" s="12"/>
      <c r="DF292" s="12"/>
      <c r="DG292" s="12"/>
      <c r="DH292" s="12"/>
      <c r="DI292" s="12"/>
      <c r="DJ292" s="12"/>
      <c r="DK292" s="12"/>
      <c r="DL292" s="12"/>
      <c r="DM292" s="12"/>
      <c r="DN292" s="12"/>
      <c r="DO292" s="12"/>
      <c r="DP292" s="12"/>
      <c r="DQ292" s="12"/>
      <c r="DR292" s="12"/>
      <c r="DS292" s="12"/>
      <c r="DT292" s="12"/>
      <c r="DU292" s="12"/>
      <c r="DV292" s="12"/>
      <c r="DW292" s="12"/>
      <c r="DX292" s="12"/>
      <c r="DY292" s="12"/>
      <c r="DZ292" s="12"/>
      <c r="EA292" s="12"/>
      <c r="EB292" s="12"/>
      <c r="EC292" s="12"/>
      <c r="ED292" s="12"/>
      <c r="EE292" s="12"/>
      <c r="EF292" s="12"/>
      <c r="EG292" s="12"/>
      <c r="EH292" s="12"/>
      <c r="EI292" s="12"/>
      <c r="EJ292" s="12"/>
      <c r="EK292" s="12"/>
      <c r="EL292" s="12"/>
      <c r="EM292" s="12"/>
      <c r="EN292" s="12"/>
      <c r="EO292" s="12"/>
      <c r="EP292" s="12"/>
      <c r="EQ292" s="12"/>
      <c r="ER292" s="12"/>
      <c r="ES292" s="12"/>
      <c r="ET292" s="12"/>
      <c r="EU292" s="12"/>
      <c r="EV292" s="12"/>
      <c r="EW292" s="12"/>
      <c r="EX292" s="12"/>
      <c r="EY292" s="12"/>
      <c r="EZ292" s="12"/>
      <c r="FA292" s="12"/>
      <c r="FB292" s="12"/>
      <c r="FC292" s="12"/>
      <c r="FD292" s="12"/>
      <c r="FE292" s="12"/>
      <c r="FF292" s="12"/>
      <c r="FG292" s="12"/>
      <c r="FH292" s="12"/>
      <c r="FI292" s="12"/>
      <c r="FJ292" s="12"/>
      <c r="FK292" s="12"/>
      <c r="FL292" s="12"/>
      <c r="FM292" s="12"/>
      <c r="FN292" s="12"/>
      <c r="FO292" s="12"/>
      <c r="FP292" s="12"/>
      <c r="FQ292" s="12"/>
      <c r="FR292" s="12"/>
      <c r="FS292" s="12"/>
      <c r="FT292" s="12"/>
      <c r="FU292" s="12"/>
      <c r="FV292" s="12"/>
      <c r="FW292" s="12"/>
      <c r="FX292" s="12"/>
      <c r="FY292" s="12"/>
      <c r="FZ292" s="12"/>
      <c r="GA292" s="12"/>
      <c r="GB292" s="12"/>
      <c r="GC292" s="12"/>
      <c r="GD292" s="12"/>
      <c r="GE292" s="12"/>
      <c r="GF292" s="12"/>
      <c r="GG292" s="12"/>
      <c r="GH292" s="12"/>
      <c r="GI292" s="12"/>
      <c r="GJ292" s="12"/>
      <c r="GK292" s="12"/>
      <c r="GL292" s="12"/>
      <c r="GM292" s="12"/>
      <c r="GN292" s="12"/>
      <c r="GO292" s="12"/>
      <c r="GP292" s="12"/>
      <c r="GQ292" s="12"/>
      <c r="GR292" s="12"/>
      <c r="GS292" s="12"/>
      <c r="GT292" s="12"/>
      <c r="GU292" s="12"/>
      <c r="GV292" s="12"/>
      <c r="GW292" s="12"/>
      <c r="GX292" s="12"/>
      <c r="GY292" s="12"/>
      <c r="GZ292" s="12"/>
      <c r="HA292" s="12"/>
      <c r="HB292" s="12"/>
      <c r="HC292" s="12"/>
      <c r="HD292" s="12"/>
      <c r="HE292" s="12"/>
      <c r="HF292" s="12"/>
      <c r="HG292" s="12"/>
      <c r="HH292" s="12"/>
      <c r="HI292" s="12"/>
      <c r="HJ292" s="12"/>
      <c r="HK292" s="12"/>
      <c r="HL292" s="12"/>
      <c r="HM292" s="12"/>
      <c r="HN292" s="12"/>
      <c r="HO292" s="12"/>
      <c r="HP292" s="12"/>
      <c r="HQ292" s="12"/>
      <c r="HR292" s="12"/>
      <c r="HS292" s="12"/>
      <c r="HT292" s="12"/>
      <c r="HU292" s="12"/>
      <c r="HV292" s="12"/>
      <c r="HW292" s="12"/>
      <c r="HX292" s="12"/>
      <c r="HY292" s="12"/>
      <c r="HZ292" s="12"/>
      <c r="IA292" s="12"/>
      <c r="IB292" s="12"/>
      <c r="IC292" s="12"/>
      <c r="ID292" s="12"/>
      <c r="IE292" s="12"/>
      <c r="IF292" s="12"/>
      <c r="IG292" s="12"/>
      <c r="IH292" s="12"/>
      <c r="II292" s="12"/>
      <c r="IJ292" s="12"/>
      <c r="IK292" s="12"/>
      <c r="IL292" s="12"/>
      <c r="IM292" s="12"/>
      <c r="IN292" s="12"/>
      <c r="IO292" s="12"/>
      <c r="IP292" s="12"/>
      <c r="IQ292" s="12"/>
      <c r="IR292" s="12"/>
      <c r="IS292" s="12"/>
      <c r="IT292" s="12"/>
      <c r="IU292" s="12"/>
      <c r="IV292" s="12"/>
      <c r="IW292" s="12"/>
    </row>
    <row r="293" customFormat="false" ht="11.25" hidden="false" customHeight="false" outlineLevel="0" collapsed="false">
      <c r="A293" s="25" t="n">
        <f aca="false">DATE(YEAR(A292),MONTH(A292)+1,1)</f>
        <v>54636</v>
      </c>
      <c r="B293" s="21" t="n">
        <v>4.08</v>
      </c>
      <c r="C293" s="21" t="n">
        <v>4.18</v>
      </c>
      <c r="D293" s="25" t="n">
        <f aca="false">DATE(YEAR(D292),MONTH(D292)+1,1)</f>
        <v>54636</v>
      </c>
      <c r="E293" s="5"/>
      <c r="F293" s="5"/>
      <c r="G293" s="6"/>
      <c r="H293" s="22" t="n">
        <f aca="false">A293</f>
        <v>54636</v>
      </c>
      <c r="I293" s="23" t="n">
        <f aca="false">IF($J$1="bid",B293,C293)</f>
        <v>4.18</v>
      </c>
      <c r="J293" s="22"/>
      <c r="K293" s="23"/>
      <c r="L293" s="11"/>
      <c r="M293" s="11"/>
      <c r="N293" s="11"/>
      <c r="O293" s="11"/>
      <c r="P293" s="11"/>
      <c r="Q293" s="11"/>
      <c r="R293" s="11"/>
      <c r="S293" s="11"/>
      <c r="T293" s="11"/>
      <c r="U293" s="11"/>
      <c r="V293" s="11"/>
      <c r="W293" s="11"/>
      <c r="X293" s="11"/>
      <c r="Y293" s="11"/>
      <c r="Z293" s="11"/>
      <c r="AA293" s="11"/>
      <c r="AB293" s="11"/>
      <c r="AC293" s="11"/>
      <c r="AD293" s="11"/>
      <c r="AE293" s="11"/>
      <c r="AF293" s="11"/>
      <c r="AG293" s="11"/>
      <c r="AH293" s="11"/>
      <c r="AI293" s="11"/>
      <c r="AJ293" s="11"/>
      <c r="AK293" s="11"/>
      <c r="AL293" s="11"/>
      <c r="AM293" s="11"/>
      <c r="AN293" s="11"/>
      <c r="AO293" s="11"/>
      <c r="AP293" s="11"/>
      <c r="AQ293" s="11"/>
      <c r="AR293" s="5"/>
      <c r="AS293" s="12"/>
      <c r="AT293" s="12"/>
      <c r="AU293" s="12"/>
      <c r="AV293" s="12"/>
      <c r="AW293" s="12"/>
      <c r="AX293" s="12"/>
      <c r="AY293" s="12"/>
      <c r="AZ293" s="12"/>
      <c r="BA293" s="12"/>
      <c r="BB293" s="12"/>
      <c r="BC293" s="12"/>
      <c r="BD293" s="12"/>
      <c r="BE293" s="12"/>
      <c r="BF293" s="12"/>
      <c r="BG293" s="12"/>
      <c r="BH293" s="12"/>
      <c r="BI293" s="12"/>
      <c r="BJ293" s="12"/>
      <c r="BK293" s="12"/>
      <c r="BL293" s="12"/>
      <c r="BM293" s="12"/>
      <c r="BN293" s="12"/>
      <c r="BO293" s="12"/>
      <c r="BP293" s="12"/>
      <c r="BQ293" s="12"/>
      <c r="BR293" s="12"/>
      <c r="BS293" s="12"/>
      <c r="BT293" s="12"/>
      <c r="BU293" s="12"/>
      <c r="BV293" s="12"/>
      <c r="BW293" s="12"/>
      <c r="BX293" s="12"/>
      <c r="BY293" s="12"/>
      <c r="BZ293" s="12"/>
      <c r="CA293" s="12"/>
      <c r="CB293" s="12"/>
      <c r="CC293" s="12"/>
      <c r="CD293" s="12"/>
      <c r="CE293" s="12"/>
      <c r="CF293" s="12"/>
      <c r="CG293" s="12"/>
      <c r="CH293" s="12"/>
      <c r="CI293" s="12"/>
      <c r="CJ293" s="12"/>
      <c r="CK293" s="12"/>
      <c r="CL293" s="12"/>
      <c r="CM293" s="12"/>
      <c r="CN293" s="12"/>
      <c r="CO293" s="12"/>
      <c r="CP293" s="12"/>
      <c r="CQ293" s="12"/>
      <c r="CR293" s="12"/>
      <c r="CS293" s="12"/>
      <c r="CT293" s="12"/>
      <c r="CU293" s="12"/>
      <c r="CV293" s="12"/>
      <c r="CW293" s="12"/>
      <c r="CX293" s="12"/>
      <c r="CY293" s="12"/>
      <c r="CZ293" s="12"/>
      <c r="DA293" s="12"/>
      <c r="DB293" s="12"/>
      <c r="DC293" s="12"/>
      <c r="DD293" s="12"/>
      <c r="DE293" s="12"/>
      <c r="DF293" s="12"/>
      <c r="DG293" s="12"/>
      <c r="DH293" s="12"/>
      <c r="DI293" s="12"/>
      <c r="DJ293" s="12"/>
      <c r="DK293" s="12"/>
      <c r="DL293" s="12"/>
      <c r="DM293" s="12"/>
      <c r="DN293" s="12"/>
      <c r="DO293" s="12"/>
      <c r="DP293" s="12"/>
      <c r="DQ293" s="12"/>
      <c r="DR293" s="12"/>
      <c r="DS293" s="12"/>
      <c r="DT293" s="12"/>
      <c r="DU293" s="12"/>
      <c r="DV293" s="12"/>
      <c r="DW293" s="12"/>
      <c r="DX293" s="12"/>
      <c r="DY293" s="12"/>
      <c r="DZ293" s="12"/>
      <c r="EA293" s="12"/>
      <c r="EB293" s="12"/>
      <c r="EC293" s="12"/>
      <c r="ED293" s="12"/>
      <c r="EE293" s="12"/>
      <c r="EF293" s="12"/>
      <c r="EG293" s="12"/>
      <c r="EH293" s="12"/>
      <c r="EI293" s="12"/>
      <c r="EJ293" s="12"/>
      <c r="EK293" s="12"/>
      <c r="EL293" s="12"/>
      <c r="EM293" s="12"/>
      <c r="EN293" s="12"/>
      <c r="EO293" s="12"/>
      <c r="EP293" s="12"/>
      <c r="EQ293" s="12"/>
      <c r="ER293" s="12"/>
      <c r="ES293" s="12"/>
      <c r="ET293" s="12"/>
      <c r="EU293" s="12"/>
      <c r="EV293" s="12"/>
      <c r="EW293" s="12"/>
      <c r="EX293" s="12"/>
      <c r="EY293" s="12"/>
      <c r="EZ293" s="12"/>
      <c r="FA293" s="12"/>
      <c r="FB293" s="12"/>
      <c r="FC293" s="12"/>
      <c r="FD293" s="12"/>
      <c r="FE293" s="12"/>
      <c r="FF293" s="12"/>
      <c r="FG293" s="12"/>
      <c r="FH293" s="12"/>
      <c r="FI293" s="12"/>
      <c r="FJ293" s="12"/>
      <c r="FK293" s="12"/>
      <c r="FL293" s="12"/>
      <c r="FM293" s="12"/>
      <c r="FN293" s="12"/>
      <c r="FO293" s="12"/>
      <c r="FP293" s="12"/>
      <c r="FQ293" s="12"/>
      <c r="FR293" s="12"/>
      <c r="FS293" s="12"/>
      <c r="FT293" s="12"/>
      <c r="FU293" s="12"/>
      <c r="FV293" s="12"/>
      <c r="FW293" s="12"/>
      <c r="FX293" s="12"/>
      <c r="FY293" s="12"/>
      <c r="FZ293" s="12"/>
      <c r="GA293" s="12"/>
      <c r="GB293" s="12"/>
      <c r="GC293" s="12"/>
      <c r="GD293" s="12"/>
      <c r="GE293" s="12"/>
      <c r="GF293" s="12"/>
      <c r="GG293" s="12"/>
      <c r="GH293" s="12"/>
      <c r="GI293" s="12"/>
      <c r="GJ293" s="12"/>
      <c r="GK293" s="12"/>
      <c r="GL293" s="12"/>
      <c r="GM293" s="12"/>
      <c r="GN293" s="12"/>
      <c r="GO293" s="12"/>
      <c r="GP293" s="12"/>
      <c r="GQ293" s="12"/>
      <c r="GR293" s="12"/>
      <c r="GS293" s="12"/>
      <c r="GT293" s="12"/>
      <c r="GU293" s="12"/>
      <c r="GV293" s="12"/>
      <c r="GW293" s="12"/>
      <c r="GX293" s="12"/>
      <c r="GY293" s="12"/>
      <c r="GZ293" s="12"/>
      <c r="HA293" s="12"/>
      <c r="HB293" s="12"/>
      <c r="HC293" s="12"/>
      <c r="HD293" s="12"/>
      <c r="HE293" s="12"/>
      <c r="HF293" s="12"/>
      <c r="HG293" s="12"/>
      <c r="HH293" s="12"/>
      <c r="HI293" s="12"/>
      <c r="HJ293" s="12"/>
      <c r="HK293" s="12"/>
      <c r="HL293" s="12"/>
      <c r="HM293" s="12"/>
      <c r="HN293" s="12"/>
      <c r="HO293" s="12"/>
      <c r="HP293" s="12"/>
      <c r="HQ293" s="12"/>
      <c r="HR293" s="12"/>
      <c r="HS293" s="12"/>
      <c r="HT293" s="12"/>
      <c r="HU293" s="12"/>
      <c r="HV293" s="12"/>
      <c r="HW293" s="12"/>
      <c r="HX293" s="12"/>
      <c r="HY293" s="12"/>
      <c r="HZ293" s="12"/>
      <c r="IA293" s="12"/>
      <c r="IB293" s="12"/>
      <c r="IC293" s="12"/>
      <c r="ID293" s="12"/>
      <c r="IE293" s="12"/>
      <c r="IF293" s="12"/>
      <c r="IG293" s="12"/>
      <c r="IH293" s="12"/>
      <c r="II293" s="12"/>
      <c r="IJ293" s="12"/>
      <c r="IK293" s="12"/>
      <c r="IL293" s="12"/>
      <c r="IM293" s="12"/>
      <c r="IN293" s="12"/>
      <c r="IO293" s="12"/>
      <c r="IP293" s="12"/>
      <c r="IQ293" s="12"/>
      <c r="IR293" s="12"/>
      <c r="IS293" s="12"/>
      <c r="IT293" s="12"/>
      <c r="IU293" s="12"/>
      <c r="IV293" s="12"/>
      <c r="IW293" s="12"/>
    </row>
    <row r="294" customFormat="false" ht="11.25" hidden="false" customHeight="false" outlineLevel="0" collapsed="false">
      <c r="A294" s="25" t="n">
        <f aca="false">DATE(YEAR(A293),MONTH(A293)+1,1)</f>
        <v>54667</v>
      </c>
      <c r="B294" s="21" t="n">
        <v>4.154</v>
      </c>
      <c r="C294" s="21" t="n">
        <v>4.254</v>
      </c>
      <c r="D294" s="25" t="n">
        <f aca="false">DATE(YEAR(D293),MONTH(D293)+1,1)</f>
        <v>54667</v>
      </c>
      <c r="E294" s="5"/>
      <c r="F294" s="5"/>
      <c r="G294" s="6"/>
      <c r="H294" s="22" t="n">
        <f aca="false">A294</f>
        <v>54667</v>
      </c>
      <c r="I294" s="23" t="n">
        <f aca="false">IF($J$1="bid",B294,C294)</f>
        <v>4.254</v>
      </c>
      <c r="J294" s="22"/>
      <c r="K294" s="23"/>
      <c r="L294" s="11"/>
      <c r="M294" s="11"/>
      <c r="N294" s="11"/>
      <c r="O294" s="11"/>
      <c r="P294" s="11"/>
      <c r="Q294" s="11"/>
      <c r="R294" s="11"/>
      <c r="S294" s="11"/>
      <c r="T294" s="11"/>
      <c r="U294" s="11"/>
      <c r="V294" s="11"/>
      <c r="W294" s="11"/>
      <c r="X294" s="11"/>
      <c r="Y294" s="11"/>
      <c r="Z294" s="11"/>
      <c r="AA294" s="11"/>
      <c r="AB294" s="11"/>
      <c r="AC294" s="11"/>
      <c r="AD294" s="11"/>
      <c r="AE294" s="11"/>
      <c r="AF294" s="11"/>
      <c r="AG294" s="11"/>
      <c r="AH294" s="11"/>
      <c r="AI294" s="11"/>
      <c r="AJ294" s="11"/>
      <c r="AK294" s="11"/>
      <c r="AL294" s="11"/>
      <c r="AM294" s="11"/>
      <c r="AN294" s="11"/>
      <c r="AO294" s="11"/>
      <c r="AP294" s="11"/>
      <c r="AQ294" s="11"/>
      <c r="AR294" s="5"/>
      <c r="AS294" s="12"/>
      <c r="AT294" s="12"/>
      <c r="AU294" s="12"/>
      <c r="AV294" s="12"/>
      <c r="AW294" s="12"/>
      <c r="AX294" s="12"/>
      <c r="AY294" s="12"/>
      <c r="AZ294" s="12"/>
      <c r="BA294" s="12"/>
      <c r="BB294" s="12"/>
      <c r="BC294" s="12"/>
      <c r="BD294" s="12"/>
      <c r="BE294" s="12"/>
      <c r="BF294" s="12"/>
      <c r="BG294" s="12"/>
      <c r="BH294" s="12"/>
      <c r="BI294" s="12"/>
      <c r="BJ294" s="12"/>
      <c r="BK294" s="12"/>
      <c r="BL294" s="12"/>
      <c r="BM294" s="12"/>
      <c r="BN294" s="12"/>
      <c r="BO294" s="12"/>
      <c r="BP294" s="12"/>
      <c r="BQ294" s="12"/>
      <c r="BR294" s="12"/>
      <c r="BS294" s="12"/>
      <c r="BT294" s="12"/>
      <c r="BU294" s="12"/>
      <c r="BV294" s="12"/>
      <c r="BW294" s="12"/>
      <c r="BX294" s="12"/>
      <c r="BY294" s="12"/>
      <c r="BZ294" s="12"/>
      <c r="CA294" s="12"/>
      <c r="CB294" s="12"/>
      <c r="CC294" s="12"/>
      <c r="CD294" s="12"/>
      <c r="CE294" s="12"/>
      <c r="CF294" s="12"/>
      <c r="CG294" s="12"/>
      <c r="CH294" s="12"/>
      <c r="CI294" s="12"/>
      <c r="CJ294" s="12"/>
      <c r="CK294" s="12"/>
      <c r="CL294" s="12"/>
      <c r="CM294" s="12"/>
      <c r="CN294" s="12"/>
      <c r="CO294" s="12"/>
      <c r="CP294" s="12"/>
      <c r="CQ294" s="12"/>
      <c r="CR294" s="12"/>
      <c r="CS294" s="12"/>
      <c r="CT294" s="12"/>
      <c r="CU294" s="12"/>
      <c r="CV294" s="12"/>
      <c r="CW294" s="12"/>
      <c r="CX294" s="12"/>
      <c r="CY294" s="12"/>
      <c r="CZ294" s="12"/>
      <c r="DA294" s="12"/>
      <c r="DB294" s="12"/>
      <c r="DC294" s="12"/>
      <c r="DD294" s="12"/>
      <c r="DE294" s="12"/>
      <c r="DF294" s="12"/>
      <c r="DG294" s="12"/>
      <c r="DH294" s="12"/>
      <c r="DI294" s="12"/>
      <c r="DJ294" s="12"/>
      <c r="DK294" s="12"/>
      <c r="DL294" s="12"/>
      <c r="DM294" s="12"/>
      <c r="DN294" s="12"/>
      <c r="DO294" s="12"/>
      <c r="DP294" s="12"/>
      <c r="DQ294" s="12"/>
      <c r="DR294" s="12"/>
      <c r="DS294" s="12"/>
      <c r="DT294" s="12"/>
      <c r="DU294" s="12"/>
      <c r="DV294" s="12"/>
      <c r="DW294" s="12"/>
      <c r="DX294" s="12"/>
      <c r="DY294" s="12"/>
      <c r="DZ294" s="12"/>
      <c r="EA294" s="12"/>
      <c r="EB294" s="12"/>
      <c r="EC294" s="12"/>
      <c r="ED294" s="12"/>
      <c r="EE294" s="12"/>
      <c r="EF294" s="12"/>
      <c r="EG294" s="12"/>
      <c r="EH294" s="12"/>
      <c r="EI294" s="12"/>
      <c r="EJ294" s="12"/>
      <c r="EK294" s="12"/>
      <c r="EL294" s="12"/>
      <c r="EM294" s="12"/>
      <c r="EN294" s="12"/>
      <c r="EO294" s="12"/>
      <c r="EP294" s="12"/>
      <c r="EQ294" s="12"/>
      <c r="ER294" s="12"/>
      <c r="ES294" s="12"/>
      <c r="ET294" s="12"/>
      <c r="EU294" s="12"/>
      <c r="EV294" s="12"/>
      <c r="EW294" s="12"/>
      <c r="EX294" s="12"/>
      <c r="EY294" s="12"/>
      <c r="EZ294" s="12"/>
      <c r="FA294" s="12"/>
      <c r="FB294" s="12"/>
      <c r="FC294" s="12"/>
      <c r="FD294" s="12"/>
      <c r="FE294" s="12"/>
      <c r="FF294" s="12"/>
      <c r="FG294" s="12"/>
      <c r="FH294" s="12"/>
      <c r="FI294" s="12"/>
      <c r="FJ294" s="12"/>
      <c r="FK294" s="12"/>
      <c r="FL294" s="12"/>
      <c r="FM294" s="12"/>
      <c r="FN294" s="12"/>
      <c r="FO294" s="12"/>
      <c r="FP294" s="12"/>
      <c r="FQ294" s="12"/>
      <c r="FR294" s="12"/>
      <c r="FS294" s="12"/>
      <c r="FT294" s="12"/>
      <c r="FU294" s="12"/>
      <c r="FV294" s="12"/>
      <c r="FW294" s="12"/>
      <c r="FX294" s="12"/>
      <c r="FY294" s="12"/>
      <c r="FZ294" s="12"/>
      <c r="GA294" s="12"/>
      <c r="GB294" s="12"/>
      <c r="GC294" s="12"/>
      <c r="GD294" s="12"/>
      <c r="GE294" s="12"/>
      <c r="GF294" s="12"/>
      <c r="GG294" s="12"/>
      <c r="GH294" s="12"/>
      <c r="GI294" s="12"/>
      <c r="GJ294" s="12"/>
      <c r="GK294" s="12"/>
      <c r="GL294" s="12"/>
      <c r="GM294" s="12"/>
      <c r="GN294" s="12"/>
      <c r="GO294" s="12"/>
      <c r="GP294" s="12"/>
      <c r="GQ294" s="12"/>
      <c r="GR294" s="12"/>
      <c r="GS294" s="12"/>
      <c r="GT294" s="12"/>
      <c r="GU294" s="12"/>
      <c r="GV294" s="12"/>
      <c r="GW294" s="12"/>
      <c r="GX294" s="12"/>
      <c r="GY294" s="12"/>
      <c r="GZ294" s="12"/>
      <c r="HA294" s="12"/>
      <c r="HB294" s="12"/>
      <c r="HC294" s="12"/>
      <c r="HD294" s="12"/>
      <c r="HE294" s="12"/>
      <c r="HF294" s="12"/>
      <c r="HG294" s="12"/>
      <c r="HH294" s="12"/>
      <c r="HI294" s="12"/>
      <c r="HJ294" s="12"/>
      <c r="HK294" s="12"/>
      <c r="HL294" s="12"/>
      <c r="HM294" s="12"/>
      <c r="HN294" s="12"/>
      <c r="HO294" s="12"/>
      <c r="HP294" s="12"/>
      <c r="HQ294" s="12"/>
      <c r="HR294" s="12"/>
      <c r="HS294" s="12"/>
      <c r="HT294" s="12"/>
      <c r="HU294" s="12"/>
      <c r="HV294" s="12"/>
      <c r="HW294" s="12"/>
      <c r="HX294" s="12"/>
      <c r="HY294" s="12"/>
      <c r="HZ294" s="12"/>
      <c r="IA294" s="12"/>
      <c r="IB294" s="12"/>
      <c r="IC294" s="12"/>
      <c r="ID294" s="12"/>
      <c r="IE294" s="12"/>
      <c r="IF294" s="12"/>
      <c r="IG294" s="12"/>
      <c r="IH294" s="12"/>
      <c r="II294" s="12"/>
      <c r="IJ294" s="12"/>
      <c r="IK294" s="12"/>
      <c r="IL294" s="12"/>
      <c r="IM294" s="12"/>
      <c r="IN294" s="12"/>
      <c r="IO294" s="12"/>
      <c r="IP294" s="12"/>
      <c r="IQ294" s="12"/>
      <c r="IR294" s="12"/>
      <c r="IS294" s="12"/>
      <c r="IT294" s="12"/>
      <c r="IU294" s="12"/>
      <c r="IV294" s="12"/>
      <c r="IW294" s="12"/>
    </row>
    <row r="295" customFormat="false" ht="11.25" hidden="false" customHeight="false" outlineLevel="0" collapsed="false">
      <c r="A295" s="25" t="n">
        <f aca="false">DATE(YEAR(A294),MONTH(A294)+1,1)</f>
        <v>54697</v>
      </c>
      <c r="B295" s="21" t="n">
        <v>4.272</v>
      </c>
      <c r="C295" s="21" t="n">
        <v>4.372</v>
      </c>
      <c r="D295" s="25" t="n">
        <f aca="false">DATE(YEAR(D294),MONTH(D294)+1,1)</f>
        <v>54697</v>
      </c>
      <c r="E295" s="5"/>
      <c r="F295" s="5"/>
      <c r="G295" s="6"/>
      <c r="H295" s="22" t="n">
        <f aca="false">A295</f>
        <v>54697</v>
      </c>
      <c r="I295" s="23" t="n">
        <f aca="false">IF($J$1="bid",B295,C295)</f>
        <v>4.372</v>
      </c>
      <c r="J295" s="22"/>
      <c r="K295" s="23"/>
      <c r="L295" s="11"/>
      <c r="M295" s="11"/>
      <c r="N295" s="11"/>
      <c r="O295" s="11"/>
      <c r="P295" s="11"/>
      <c r="Q295" s="11"/>
      <c r="R295" s="11"/>
      <c r="S295" s="11"/>
      <c r="T295" s="11"/>
      <c r="U295" s="11"/>
      <c r="V295" s="11"/>
      <c r="W295" s="11"/>
      <c r="X295" s="11"/>
      <c r="Y295" s="11"/>
      <c r="Z295" s="11"/>
      <c r="AA295" s="11"/>
      <c r="AB295" s="11"/>
      <c r="AC295" s="11"/>
      <c r="AD295" s="11"/>
      <c r="AE295" s="11"/>
      <c r="AF295" s="11"/>
      <c r="AG295" s="11"/>
      <c r="AH295" s="11"/>
      <c r="AI295" s="11"/>
      <c r="AJ295" s="11"/>
      <c r="AK295" s="11"/>
      <c r="AL295" s="11"/>
      <c r="AM295" s="11"/>
      <c r="AN295" s="11"/>
      <c r="AO295" s="11"/>
      <c r="AP295" s="11"/>
      <c r="AQ295" s="11"/>
      <c r="AR295" s="5"/>
      <c r="AS295" s="12"/>
      <c r="AT295" s="12"/>
      <c r="AU295" s="12"/>
      <c r="AV295" s="12"/>
      <c r="AW295" s="12"/>
      <c r="AX295" s="12"/>
      <c r="AY295" s="12"/>
      <c r="AZ295" s="12"/>
      <c r="BA295" s="12"/>
      <c r="BB295" s="12"/>
      <c r="BC295" s="12"/>
      <c r="BD295" s="12"/>
      <c r="BE295" s="12"/>
      <c r="BF295" s="12"/>
      <c r="BG295" s="12"/>
      <c r="BH295" s="12"/>
      <c r="BI295" s="12"/>
      <c r="BJ295" s="12"/>
      <c r="BK295" s="12"/>
      <c r="BL295" s="12"/>
      <c r="BM295" s="12"/>
      <c r="BN295" s="12"/>
      <c r="BO295" s="12"/>
      <c r="BP295" s="12"/>
      <c r="BQ295" s="12"/>
      <c r="BR295" s="12"/>
      <c r="BS295" s="12"/>
      <c r="BT295" s="12"/>
      <c r="BU295" s="12"/>
      <c r="BV295" s="12"/>
      <c r="BW295" s="12"/>
      <c r="BX295" s="12"/>
      <c r="BY295" s="12"/>
      <c r="BZ295" s="12"/>
      <c r="CA295" s="12"/>
      <c r="CB295" s="12"/>
      <c r="CC295" s="12"/>
      <c r="CD295" s="12"/>
      <c r="CE295" s="12"/>
      <c r="CF295" s="12"/>
      <c r="CG295" s="12"/>
      <c r="CH295" s="12"/>
      <c r="CI295" s="12"/>
      <c r="CJ295" s="12"/>
      <c r="CK295" s="12"/>
      <c r="CL295" s="12"/>
      <c r="CM295" s="12"/>
      <c r="CN295" s="12"/>
      <c r="CO295" s="12"/>
      <c r="CP295" s="12"/>
      <c r="CQ295" s="12"/>
      <c r="CR295" s="12"/>
      <c r="CS295" s="12"/>
      <c r="CT295" s="12"/>
      <c r="CU295" s="12"/>
      <c r="CV295" s="12"/>
      <c r="CW295" s="12"/>
      <c r="CX295" s="12"/>
      <c r="CY295" s="12"/>
      <c r="CZ295" s="12"/>
      <c r="DA295" s="12"/>
      <c r="DB295" s="12"/>
      <c r="DC295" s="12"/>
      <c r="DD295" s="12"/>
      <c r="DE295" s="12"/>
      <c r="DF295" s="12"/>
      <c r="DG295" s="12"/>
      <c r="DH295" s="12"/>
      <c r="DI295" s="12"/>
      <c r="DJ295" s="12"/>
      <c r="DK295" s="12"/>
      <c r="DL295" s="12"/>
      <c r="DM295" s="12"/>
      <c r="DN295" s="12"/>
      <c r="DO295" s="12"/>
      <c r="DP295" s="12"/>
      <c r="DQ295" s="12"/>
      <c r="DR295" s="12"/>
      <c r="DS295" s="12"/>
      <c r="DT295" s="12"/>
      <c r="DU295" s="12"/>
      <c r="DV295" s="12"/>
      <c r="DW295" s="12"/>
      <c r="DX295" s="12"/>
      <c r="DY295" s="12"/>
      <c r="DZ295" s="12"/>
      <c r="EA295" s="12"/>
      <c r="EB295" s="12"/>
      <c r="EC295" s="12"/>
      <c r="ED295" s="12"/>
      <c r="EE295" s="12"/>
      <c r="EF295" s="12"/>
      <c r="EG295" s="12"/>
      <c r="EH295" s="12"/>
      <c r="EI295" s="12"/>
      <c r="EJ295" s="12"/>
      <c r="EK295" s="12"/>
      <c r="EL295" s="12"/>
      <c r="EM295" s="12"/>
      <c r="EN295" s="12"/>
      <c r="EO295" s="12"/>
      <c r="EP295" s="12"/>
      <c r="EQ295" s="12"/>
      <c r="ER295" s="12"/>
      <c r="ES295" s="12"/>
      <c r="ET295" s="12"/>
      <c r="EU295" s="12"/>
      <c r="EV295" s="12"/>
      <c r="EW295" s="12"/>
      <c r="EX295" s="12"/>
      <c r="EY295" s="12"/>
      <c r="EZ295" s="12"/>
      <c r="FA295" s="12"/>
      <c r="FB295" s="12"/>
      <c r="FC295" s="12"/>
      <c r="FD295" s="12"/>
      <c r="FE295" s="12"/>
      <c r="FF295" s="12"/>
      <c r="FG295" s="12"/>
      <c r="FH295" s="12"/>
      <c r="FI295" s="12"/>
      <c r="FJ295" s="12"/>
      <c r="FK295" s="12"/>
      <c r="FL295" s="12"/>
      <c r="FM295" s="12"/>
      <c r="FN295" s="12"/>
      <c r="FO295" s="12"/>
      <c r="FP295" s="12"/>
      <c r="FQ295" s="12"/>
      <c r="FR295" s="12"/>
      <c r="FS295" s="12"/>
      <c r="FT295" s="12"/>
      <c r="FU295" s="12"/>
      <c r="FV295" s="12"/>
      <c r="FW295" s="12"/>
      <c r="FX295" s="12"/>
      <c r="FY295" s="12"/>
      <c r="FZ295" s="12"/>
      <c r="GA295" s="12"/>
      <c r="GB295" s="12"/>
      <c r="GC295" s="12"/>
      <c r="GD295" s="12"/>
      <c r="GE295" s="12"/>
      <c r="GF295" s="12"/>
      <c r="GG295" s="12"/>
      <c r="GH295" s="12"/>
      <c r="GI295" s="12"/>
      <c r="GJ295" s="12"/>
      <c r="GK295" s="12"/>
      <c r="GL295" s="12"/>
      <c r="GM295" s="12"/>
      <c r="GN295" s="12"/>
      <c r="GO295" s="12"/>
      <c r="GP295" s="12"/>
      <c r="GQ295" s="12"/>
      <c r="GR295" s="12"/>
      <c r="GS295" s="12"/>
      <c r="GT295" s="12"/>
      <c r="GU295" s="12"/>
      <c r="GV295" s="12"/>
      <c r="GW295" s="12"/>
      <c r="GX295" s="12"/>
      <c r="GY295" s="12"/>
      <c r="GZ295" s="12"/>
      <c r="HA295" s="12"/>
      <c r="HB295" s="12"/>
      <c r="HC295" s="12"/>
      <c r="HD295" s="12"/>
      <c r="HE295" s="12"/>
      <c r="HF295" s="12"/>
      <c r="HG295" s="12"/>
      <c r="HH295" s="12"/>
      <c r="HI295" s="12"/>
      <c r="HJ295" s="12"/>
      <c r="HK295" s="12"/>
      <c r="HL295" s="12"/>
      <c r="HM295" s="12"/>
      <c r="HN295" s="12"/>
      <c r="HO295" s="12"/>
      <c r="HP295" s="12"/>
      <c r="HQ295" s="12"/>
      <c r="HR295" s="12"/>
      <c r="HS295" s="12"/>
      <c r="HT295" s="12"/>
      <c r="HU295" s="12"/>
      <c r="HV295" s="12"/>
      <c r="HW295" s="12"/>
      <c r="HX295" s="12"/>
      <c r="HY295" s="12"/>
      <c r="HZ295" s="12"/>
      <c r="IA295" s="12"/>
      <c r="IB295" s="12"/>
      <c r="IC295" s="12"/>
      <c r="ID295" s="12"/>
      <c r="IE295" s="12"/>
      <c r="IF295" s="12"/>
      <c r="IG295" s="12"/>
      <c r="IH295" s="12"/>
      <c r="II295" s="12"/>
      <c r="IJ295" s="12"/>
      <c r="IK295" s="12"/>
      <c r="IL295" s="12"/>
      <c r="IM295" s="12"/>
      <c r="IN295" s="12"/>
      <c r="IO295" s="12"/>
      <c r="IP295" s="12"/>
      <c r="IQ295" s="12"/>
      <c r="IR295" s="12"/>
      <c r="IS295" s="12"/>
      <c r="IT295" s="12"/>
      <c r="IU295" s="12"/>
      <c r="IV295" s="12"/>
      <c r="IW295" s="12"/>
    </row>
    <row r="296" customFormat="false" ht="11.25" hidden="false" customHeight="false" outlineLevel="0" collapsed="false">
      <c r="A296" s="25" t="n">
        <f aca="false">DATE(YEAR(A295),MONTH(A295)+1,1)</f>
        <v>54728</v>
      </c>
      <c r="B296" s="21" t="n">
        <v>4.458</v>
      </c>
      <c r="C296" s="21" t="n">
        <v>4.558</v>
      </c>
      <c r="D296" s="25" t="n">
        <f aca="false">DATE(YEAR(D295),MONTH(D295)+1,1)</f>
        <v>54728</v>
      </c>
      <c r="E296" s="5"/>
      <c r="F296" s="5"/>
      <c r="G296" s="6"/>
      <c r="H296" s="22" t="n">
        <f aca="false">A296</f>
        <v>54728</v>
      </c>
      <c r="I296" s="23" t="n">
        <f aca="false">IF($J$1="bid",B296,C296)</f>
        <v>4.558</v>
      </c>
      <c r="J296" s="22"/>
      <c r="K296" s="23"/>
      <c r="L296" s="11"/>
      <c r="M296" s="11"/>
      <c r="N296" s="11"/>
      <c r="O296" s="11"/>
      <c r="P296" s="11"/>
      <c r="Q296" s="11"/>
      <c r="R296" s="11"/>
      <c r="S296" s="11"/>
      <c r="T296" s="11"/>
      <c r="U296" s="11"/>
      <c r="V296" s="11"/>
      <c r="W296" s="11"/>
      <c r="X296" s="11"/>
      <c r="Y296" s="11"/>
      <c r="Z296" s="11"/>
      <c r="AA296" s="11"/>
      <c r="AB296" s="11"/>
      <c r="AC296" s="11"/>
      <c r="AD296" s="11"/>
      <c r="AE296" s="11"/>
      <c r="AF296" s="11"/>
      <c r="AG296" s="11"/>
      <c r="AH296" s="11"/>
      <c r="AI296" s="11"/>
      <c r="AJ296" s="11"/>
      <c r="AK296" s="11"/>
      <c r="AL296" s="11"/>
      <c r="AM296" s="11"/>
      <c r="AN296" s="11"/>
      <c r="AO296" s="11"/>
      <c r="AP296" s="11"/>
      <c r="AQ296" s="11"/>
      <c r="AR296" s="5"/>
      <c r="AS296" s="12"/>
      <c r="AT296" s="12"/>
      <c r="AU296" s="12"/>
      <c r="AV296" s="12"/>
      <c r="AW296" s="12"/>
      <c r="AX296" s="12"/>
      <c r="AY296" s="12"/>
      <c r="AZ296" s="12"/>
      <c r="BA296" s="12"/>
      <c r="BB296" s="12"/>
      <c r="BC296" s="12"/>
      <c r="BD296" s="12"/>
      <c r="BE296" s="12"/>
      <c r="BF296" s="12"/>
      <c r="BG296" s="12"/>
      <c r="BH296" s="12"/>
      <c r="BI296" s="12"/>
      <c r="BJ296" s="12"/>
      <c r="BK296" s="12"/>
      <c r="BL296" s="12"/>
      <c r="BM296" s="12"/>
      <c r="BN296" s="12"/>
      <c r="BO296" s="12"/>
      <c r="BP296" s="12"/>
      <c r="BQ296" s="12"/>
      <c r="BR296" s="12"/>
      <c r="BS296" s="12"/>
      <c r="BT296" s="12"/>
      <c r="BU296" s="12"/>
      <c r="BV296" s="12"/>
      <c r="BW296" s="12"/>
      <c r="BX296" s="12"/>
      <c r="BY296" s="12"/>
      <c r="BZ296" s="12"/>
      <c r="CA296" s="12"/>
      <c r="CB296" s="12"/>
      <c r="CC296" s="12"/>
      <c r="CD296" s="12"/>
      <c r="CE296" s="12"/>
      <c r="CF296" s="12"/>
      <c r="CG296" s="12"/>
      <c r="CH296" s="12"/>
      <c r="CI296" s="12"/>
      <c r="CJ296" s="12"/>
      <c r="CK296" s="12"/>
      <c r="CL296" s="12"/>
      <c r="CM296" s="12"/>
      <c r="CN296" s="12"/>
      <c r="CO296" s="12"/>
      <c r="CP296" s="12"/>
      <c r="CQ296" s="12"/>
      <c r="CR296" s="12"/>
      <c r="CS296" s="12"/>
      <c r="CT296" s="12"/>
      <c r="CU296" s="12"/>
      <c r="CV296" s="12"/>
      <c r="CW296" s="12"/>
      <c r="CX296" s="12"/>
      <c r="CY296" s="12"/>
      <c r="CZ296" s="12"/>
      <c r="DA296" s="12"/>
      <c r="DB296" s="12"/>
      <c r="DC296" s="12"/>
      <c r="DD296" s="12"/>
      <c r="DE296" s="12"/>
      <c r="DF296" s="12"/>
      <c r="DG296" s="12"/>
      <c r="DH296" s="12"/>
      <c r="DI296" s="12"/>
      <c r="DJ296" s="12"/>
      <c r="DK296" s="12"/>
      <c r="DL296" s="12"/>
      <c r="DM296" s="12"/>
      <c r="DN296" s="12"/>
      <c r="DO296" s="12"/>
      <c r="DP296" s="12"/>
      <c r="DQ296" s="12"/>
      <c r="DR296" s="12"/>
      <c r="DS296" s="12"/>
      <c r="DT296" s="12"/>
      <c r="DU296" s="12"/>
      <c r="DV296" s="12"/>
      <c r="DW296" s="12"/>
      <c r="DX296" s="12"/>
      <c r="DY296" s="12"/>
      <c r="DZ296" s="12"/>
      <c r="EA296" s="12"/>
      <c r="EB296" s="12"/>
      <c r="EC296" s="12"/>
      <c r="ED296" s="12"/>
      <c r="EE296" s="12"/>
      <c r="EF296" s="12"/>
      <c r="EG296" s="12"/>
      <c r="EH296" s="12"/>
      <c r="EI296" s="12"/>
      <c r="EJ296" s="12"/>
      <c r="EK296" s="12"/>
      <c r="EL296" s="12"/>
      <c r="EM296" s="12"/>
      <c r="EN296" s="12"/>
      <c r="EO296" s="12"/>
      <c r="EP296" s="12"/>
      <c r="EQ296" s="12"/>
      <c r="ER296" s="12"/>
      <c r="ES296" s="12"/>
      <c r="ET296" s="12"/>
      <c r="EU296" s="12"/>
      <c r="EV296" s="12"/>
      <c r="EW296" s="12"/>
      <c r="EX296" s="12"/>
      <c r="EY296" s="12"/>
      <c r="EZ296" s="12"/>
      <c r="FA296" s="12"/>
      <c r="FB296" s="12"/>
      <c r="FC296" s="12"/>
      <c r="FD296" s="12"/>
      <c r="FE296" s="12"/>
      <c r="FF296" s="12"/>
      <c r="FG296" s="12"/>
      <c r="FH296" s="12"/>
      <c r="FI296" s="12"/>
      <c r="FJ296" s="12"/>
      <c r="FK296" s="12"/>
      <c r="FL296" s="12"/>
      <c r="FM296" s="12"/>
      <c r="FN296" s="12"/>
      <c r="FO296" s="12"/>
      <c r="FP296" s="12"/>
      <c r="FQ296" s="12"/>
      <c r="FR296" s="12"/>
      <c r="FS296" s="12"/>
      <c r="FT296" s="12"/>
      <c r="FU296" s="12"/>
      <c r="FV296" s="12"/>
      <c r="FW296" s="12"/>
      <c r="FX296" s="12"/>
      <c r="FY296" s="12"/>
      <c r="FZ296" s="12"/>
      <c r="GA296" s="12"/>
      <c r="GB296" s="12"/>
      <c r="GC296" s="12"/>
      <c r="GD296" s="12"/>
      <c r="GE296" s="12"/>
      <c r="GF296" s="12"/>
      <c r="GG296" s="12"/>
      <c r="GH296" s="12"/>
      <c r="GI296" s="12"/>
      <c r="GJ296" s="12"/>
      <c r="GK296" s="12"/>
      <c r="GL296" s="12"/>
      <c r="GM296" s="12"/>
      <c r="GN296" s="12"/>
      <c r="GO296" s="12"/>
      <c r="GP296" s="12"/>
      <c r="GQ296" s="12"/>
      <c r="GR296" s="12"/>
      <c r="GS296" s="12"/>
      <c r="GT296" s="12"/>
      <c r="GU296" s="12"/>
      <c r="GV296" s="12"/>
      <c r="GW296" s="12"/>
      <c r="GX296" s="12"/>
      <c r="GY296" s="12"/>
      <c r="GZ296" s="12"/>
      <c r="HA296" s="12"/>
      <c r="HB296" s="12"/>
      <c r="HC296" s="12"/>
      <c r="HD296" s="12"/>
      <c r="HE296" s="12"/>
      <c r="HF296" s="12"/>
      <c r="HG296" s="12"/>
      <c r="HH296" s="12"/>
      <c r="HI296" s="12"/>
      <c r="HJ296" s="12"/>
      <c r="HK296" s="12"/>
      <c r="HL296" s="12"/>
      <c r="HM296" s="12"/>
      <c r="HN296" s="12"/>
      <c r="HO296" s="12"/>
      <c r="HP296" s="12"/>
      <c r="HQ296" s="12"/>
      <c r="HR296" s="12"/>
      <c r="HS296" s="12"/>
      <c r="HT296" s="12"/>
      <c r="HU296" s="12"/>
      <c r="HV296" s="12"/>
      <c r="HW296" s="12"/>
      <c r="HX296" s="12"/>
      <c r="HY296" s="12"/>
      <c r="HZ296" s="12"/>
      <c r="IA296" s="12"/>
      <c r="IB296" s="12"/>
      <c r="IC296" s="12"/>
      <c r="ID296" s="12"/>
      <c r="IE296" s="12"/>
      <c r="IF296" s="12"/>
      <c r="IG296" s="12"/>
      <c r="IH296" s="12"/>
      <c r="II296" s="12"/>
      <c r="IJ296" s="12"/>
      <c r="IK296" s="12"/>
      <c r="IL296" s="12"/>
      <c r="IM296" s="12"/>
      <c r="IN296" s="12"/>
      <c r="IO296" s="12"/>
      <c r="IP296" s="12"/>
      <c r="IQ296" s="12"/>
      <c r="IR296" s="12"/>
      <c r="IS296" s="12"/>
      <c r="IT296" s="12"/>
      <c r="IU296" s="12"/>
      <c r="IV296" s="12"/>
      <c r="IW296" s="12"/>
    </row>
    <row r="297" customFormat="false" ht="11.25" hidden="false" customHeight="false" outlineLevel="0" collapsed="false">
      <c r="A297" s="25" t="n">
        <f aca="false">DATE(YEAR(A296),MONTH(A296)+1,1)</f>
        <v>54758</v>
      </c>
      <c r="B297" s="21" t="n">
        <v>4.373</v>
      </c>
      <c r="C297" s="21" t="n">
        <v>4.473</v>
      </c>
      <c r="D297" s="11"/>
      <c r="E297" s="5"/>
      <c r="F297" s="5"/>
      <c r="G297" s="6"/>
      <c r="H297" s="22" t="n">
        <f aca="false">A297</f>
        <v>54758</v>
      </c>
      <c r="I297" s="23" t="n">
        <f aca="false">IF($J$1="bid",B297,C297)</f>
        <v>4.473</v>
      </c>
      <c r="J297" s="25"/>
      <c r="K297" s="32"/>
      <c r="L297" s="11"/>
      <c r="M297" s="11"/>
      <c r="N297" s="11"/>
      <c r="O297" s="11"/>
      <c r="P297" s="11"/>
      <c r="Q297" s="11"/>
      <c r="R297" s="11"/>
      <c r="S297" s="11"/>
      <c r="T297" s="11"/>
      <c r="U297" s="11"/>
      <c r="V297" s="11"/>
      <c r="W297" s="11"/>
      <c r="X297" s="11"/>
      <c r="Y297" s="11"/>
      <c r="Z297" s="11"/>
      <c r="AA297" s="11"/>
      <c r="AB297" s="11"/>
      <c r="AC297" s="11"/>
      <c r="AD297" s="11"/>
      <c r="AE297" s="11"/>
      <c r="AF297" s="11"/>
      <c r="AG297" s="11"/>
      <c r="AH297" s="11"/>
      <c r="AI297" s="11"/>
      <c r="AJ297" s="11"/>
      <c r="AK297" s="11"/>
      <c r="AL297" s="11"/>
      <c r="AM297" s="11"/>
      <c r="AN297" s="11"/>
      <c r="AO297" s="11"/>
      <c r="AP297" s="11"/>
      <c r="AQ297" s="11"/>
      <c r="AR297" s="5"/>
      <c r="AS297" s="12"/>
      <c r="AT297" s="12"/>
      <c r="AU297" s="12"/>
      <c r="AV297" s="12"/>
      <c r="AW297" s="12"/>
      <c r="AX297" s="12"/>
      <c r="AY297" s="12"/>
      <c r="AZ297" s="12"/>
      <c r="BA297" s="12"/>
      <c r="BB297" s="12"/>
      <c r="BC297" s="12"/>
      <c r="BD297" s="12"/>
      <c r="BE297" s="12"/>
      <c r="BF297" s="12"/>
      <c r="BG297" s="12"/>
      <c r="BH297" s="12"/>
      <c r="BI297" s="12"/>
      <c r="BJ297" s="12"/>
      <c r="BK297" s="12"/>
      <c r="BL297" s="12"/>
      <c r="BM297" s="12"/>
      <c r="BN297" s="12"/>
      <c r="BO297" s="12"/>
      <c r="BP297" s="12"/>
      <c r="BQ297" s="12"/>
      <c r="BR297" s="12"/>
      <c r="BS297" s="12"/>
      <c r="BT297" s="12"/>
      <c r="BU297" s="12"/>
      <c r="BV297" s="12"/>
      <c r="BW297" s="12"/>
      <c r="BX297" s="12"/>
      <c r="BY297" s="12"/>
      <c r="BZ297" s="12"/>
      <c r="CA297" s="12"/>
      <c r="CB297" s="12"/>
      <c r="CC297" s="12"/>
      <c r="CD297" s="12"/>
      <c r="CE297" s="12"/>
      <c r="CF297" s="12"/>
      <c r="CG297" s="12"/>
      <c r="CH297" s="12"/>
      <c r="CI297" s="12"/>
      <c r="CJ297" s="12"/>
      <c r="CK297" s="12"/>
      <c r="CL297" s="12"/>
      <c r="CM297" s="12"/>
      <c r="CN297" s="12"/>
      <c r="CO297" s="12"/>
      <c r="CP297" s="12"/>
      <c r="CQ297" s="12"/>
      <c r="CR297" s="12"/>
      <c r="CS297" s="12"/>
      <c r="CT297" s="12"/>
      <c r="CU297" s="12"/>
      <c r="CV297" s="12"/>
      <c r="CW297" s="12"/>
      <c r="CX297" s="12"/>
      <c r="CY297" s="12"/>
      <c r="CZ297" s="12"/>
      <c r="DA297" s="12"/>
      <c r="DB297" s="12"/>
      <c r="DC297" s="12"/>
      <c r="DD297" s="12"/>
      <c r="DE297" s="12"/>
      <c r="DF297" s="12"/>
      <c r="DG297" s="12"/>
      <c r="DH297" s="12"/>
      <c r="DI297" s="12"/>
      <c r="DJ297" s="12"/>
      <c r="DK297" s="12"/>
      <c r="DL297" s="12"/>
      <c r="DM297" s="12"/>
      <c r="DN297" s="12"/>
      <c r="DO297" s="12"/>
      <c r="DP297" s="12"/>
      <c r="DQ297" s="12"/>
      <c r="DR297" s="12"/>
      <c r="DS297" s="12"/>
      <c r="DT297" s="12"/>
      <c r="DU297" s="12"/>
      <c r="DV297" s="12"/>
      <c r="DW297" s="12"/>
      <c r="DX297" s="12"/>
      <c r="DY297" s="12"/>
      <c r="DZ297" s="12"/>
      <c r="EA297" s="12"/>
      <c r="EB297" s="12"/>
      <c r="EC297" s="12"/>
      <c r="ED297" s="12"/>
      <c r="EE297" s="12"/>
      <c r="EF297" s="12"/>
      <c r="EG297" s="12"/>
      <c r="EH297" s="12"/>
      <c r="EI297" s="12"/>
      <c r="EJ297" s="12"/>
      <c r="EK297" s="12"/>
      <c r="EL297" s="12"/>
      <c r="EM297" s="12"/>
      <c r="EN297" s="12"/>
      <c r="EO297" s="12"/>
      <c r="EP297" s="12"/>
      <c r="EQ297" s="12"/>
      <c r="ER297" s="12"/>
      <c r="ES297" s="12"/>
      <c r="ET297" s="12"/>
      <c r="EU297" s="12"/>
      <c r="EV297" s="12"/>
      <c r="EW297" s="12"/>
      <c r="EX297" s="12"/>
      <c r="EY297" s="12"/>
      <c r="EZ297" s="12"/>
      <c r="FA297" s="12"/>
      <c r="FB297" s="12"/>
      <c r="FC297" s="12"/>
      <c r="FD297" s="12"/>
      <c r="FE297" s="12"/>
      <c r="FF297" s="12"/>
      <c r="FG297" s="12"/>
      <c r="FH297" s="12"/>
      <c r="FI297" s="12"/>
      <c r="FJ297" s="12"/>
      <c r="FK297" s="12"/>
      <c r="FL297" s="12"/>
      <c r="FM297" s="12"/>
      <c r="FN297" s="12"/>
      <c r="FO297" s="12"/>
      <c r="FP297" s="12"/>
      <c r="FQ297" s="12"/>
      <c r="FR297" s="12"/>
      <c r="FS297" s="12"/>
      <c r="FT297" s="12"/>
      <c r="FU297" s="12"/>
      <c r="FV297" s="12"/>
      <c r="FW297" s="12"/>
      <c r="FX297" s="12"/>
      <c r="FY297" s="12"/>
      <c r="FZ297" s="12"/>
      <c r="GA297" s="12"/>
      <c r="GB297" s="12"/>
      <c r="GC297" s="12"/>
      <c r="GD297" s="12"/>
      <c r="GE297" s="12"/>
      <c r="GF297" s="12"/>
      <c r="GG297" s="12"/>
      <c r="GH297" s="12"/>
      <c r="GI297" s="12"/>
      <c r="GJ297" s="12"/>
      <c r="GK297" s="12"/>
      <c r="GL297" s="12"/>
      <c r="GM297" s="12"/>
      <c r="GN297" s="12"/>
      <c r="GO297" s="12"/>
      <c r="GP297" s="12"/>
      <c r="GQ297" s="12"/>
      <c r="GR297" s="12"/>
      <c r="GS297" s="12"/>
      <c r="GT297" s="12"/>
      <c r="GU297" s="12"/>
      <c r="GV297" s="12"/>
      <c r="GW297" s="12"/>
      <c r="GX297" s="12"/>
      <c r="GY297" s="12"/>
      <c r="GZ297" s="12"/>
      <c r="HA297" s="12"/>
      <c r="HB297" s="12"/>
      <c r="HC297" s="12"/>
      <c r="HD297" s="12"/>
      <c r="HE297" s="12"/>
      <c r="HF297" s="12"/>
      <c r="HG297" s="12"/>
      <c r="HH297" s="12"/>
      <c r="HI297" s="12"/>
      <c r="HJ297" s="12"/>
      <c r="HK297" s="12"/>
      <c r="HL297" s="12"/>
      <c r="HM297" s="12"/>
      <c r="HN297" s="12"/>
      <c r="HO297" s="12"/>
      <c r="HP297" s="12"/>
      <c r="HQ297" s="12"/>
      <c r="HR297" s="12"/>
      <c r="HS297" s="12"/>
      <c r="HT297" s="12"/>
      <c r="HU297" s="12"/>
      <c r="HV297" s="12"/>
      <c r="HW297" s="12"/>
      <c r="HX297" s="12"/>
      <c r="HY297" s="12"/>
      <c r="HZ297" s="12"/>
      <c r="IA297" s="12"/>
      <c r="IB297" s="12"/>
      <c r="IC297" s="12"/>
      <c r="ID297" s="12"/>
      <c r="IE297" s="12"/>
      <c r="IF297" s="12"/>
      <c r="IG297" s="12"/>
      <c r="IH297" s="12"/>
      <c r="II297" s="12"/>
      <c r="IJ297" s="12"/>
      <c r="IK297" s="12"/>
      <c r="IL297" s="12"/>
      <c r="IM297" s="12"/>
      <c r="IN297" s="12"/>
      <c r="IO297" s="12"/>
      <c r="IP297" s="12"/>
      <c r="IQ297" s="12"/>
      <c r="IR297" s="12"/>
      <c r="IS297" s="12"/>
      <c r="IT297" s="12"/>
      <c r="IU297" s="12"/>
      <c r="IV297" s="12"/>
      <c r="IW297" s="12"/>
    </row>
    <row r="298" customFormat="false" ht="11.25" hidden="false" customHeight="false" outlineLevel="0" collapsed="false">
      <c r="A298" s="25" t="n">
        <f aca="false">DATE(YEAR(A297),MONTH(A297)+1,1)</f>
        <v>54789</v>
      </c>
      <c r="B298" s="21" t="n">
        <v>4.307</v>
      </c>
      <c r="C298" s="21" t="n">
        <v>4.407</v>
      </c>
      <c r="D298" s="11"/>
      <c r="E298" s="5"/>
      <c r="F298" s="5"/>
      <c r="G298" s="6"/>
      <c r="H298" s="22" t="n">
        <f aca="false">A298</f>
        <v>54789</v>
      </c>
      <c r="I298" s="23" t="n">
        <f aca="false">IF($J$1="bid",B298,C298)</f>
        <v>4.407</v>
      </c>
      <c r="J298" s="25"/>
      <c r="K298" s="32"/>
      <c r="L298" s="11"/>
      <c r="M298" s="11"/>
      <c r="N298" s="11"/>
      <c r="O298" s="11"/>
      <c r="P298" s="11"/>
      <c r="Q298" s="11"/>
      <c r="R298" s="11"/>
      <c r="S298" s="11"/>
      <c r="T298" s="11"/>
      <c r="U298" s="11"/>
      <c r="V298" s="11"/>
      <c r="W298" s="11"/>
      <c r="X298" s="11"/>
      <c r="Y298" s="11"/>
      <c r="Z298" s="11"/>
      <c r="AA298" s="11"/>
      <c r="AB298" s="11"/>
      <c r="AC298" s="11"/>
      <c r="AD298" s="11"/>
      <c r="AE298" s="11"/>
      <c r="AF298" s="11"/>
      <c r="AG298" s="11"/>
      <c r="AH298" s="11"/>
      <c r="AI298" s="11"/>
      <c r="AJ298" s="11"/>
      <c r="AK298" s="11"/>
      <c r="AL298" s="11"/>
      <c r="AM298" s="11"/>
      <c r="AN298" s="11"/>
      <c r="AO298" s="11"/>
      <c r="AP298" s="11"/>
      <c r="AQ298" s="11"/>
      <c r="AR298" s="5"/>
      <c r="AS298" s="12"/>
      <c r="AT298" s="12"/>
      <c r="AU298" s="12"/>
      <c r="AV298" s="12"/>
      <c r="AW298" s="12"/>
      <c r="AX298" s="12"/>
      <c r="AY298" s="12"/>
      <c r="AZ298" s="12"/>
      <c r="BA298" s="12"/>
      <c r="BB298" s="12"/>
      <c r="BC298" s="12"/>
      <c r="BD298" s="12"/>
      <c r="BE298" s="12"/>
      <c r="BF298" s="12"/>
      <c r="BG298" s="12"/>
      <c r="BH298" s="12"/>
      <c r="BI298" s="12"/>
      <c r="BJ298" s="12"/>
      <c r="BK298" s="12"/>
      <c r="BL298" s="12"/>
      <c r="BM298" s="12"/>
      <c r="BN298" s="12"/>
      <c r="BO298" s="12"/>
      <c r="BP298" s="12"/>
      <c r="BQ298" s="12"/>
      <c r="BR298" s="12"/>
      <c r="BS298" s="12"/>
      <c r="BT298" s="12"/>
      <c r="BU298" s="12"/>
      <c r="BV298" s="12"/>
      <c r="BW298" s="12"/>
      <c r="BX298" s="12"/>
      <c r="BY298" s="12"/>
      <c r="BZ298" s="12"/>
      <c r="CA298" s="12"/>
      <c r="CB298" s="12"/>
      <c r="CC298" s="12"/>
      <c r="CD298" s="12"/>
      <c r="CE298" s="12"/>
      <c r="CF298" s="12"/>
      <c r="CG298" s="12"/>
      <c r="CH298" s="12"/>
      <c r="CI298" s="12"/>
      <c r="CJ298" s="12"/>
      <c r="CK298" s="12"/>
      <c r="CL298" s="12"/>
      <c r="CM298" s="12"/>
      <c r="CN298" s="12"/>
      <c r="CO298" s="12"/>
      <c r="CP298" s="12"/>
      <c r="CQ298" s="12"/>
      <c r="CR298" s="12"/>
      <c r="CS298" s="12"/>
      <c r="CT298" s="12"/>
      <c r="CU298" s="12"/>
      <c r="CV298" s="12"/>
      <c r="CW298" s="12"/>
      <c r="CX298" s="12"/>
      <c r="CY298" s="12"/>
      <c r="CZ298" s="12"/>
      <c r="DA298" s="12"/>
      <c r="DB298" s="12"/>
      <c r="DC298" s="12"/>
      <c r="DD298" s="12"/>
      <c r="DE298" s="12"/>
      <c r="DF298" s="12"/>
      <c r="DG298" s="12"/>
      <c r="DH298" s="12"/>
      <c r="DI298" s="12"/>
      <c r="DJ298" s="12"/>
      <c r="DK298" s="12"/>
      <c r="DL298" s="12"/>
      <c r="DM298" s="12"/>
      <c r="DN298" s="12"/>
      <c r="DO298" s="12"/>
      <c r="DP298" s="12"/>
      <c r="DQ298" s="12"/>
      <c r="DR298" s="12"/>
      <c r="DS298" s="12"/>
      <c r="DT298" s="12"/>
      <c r="DU298" s="12"/>
      <c r="DV298" s="12"/>
      <c r="DW298" s="12"/>
      <c r="DX298" s="12"/>
      <c r="DY298" s="12"/>
      <c r="DZ298" s="12"/>
      <c r="EA298" s="12"/>
      <c r="EB298" s="12"/>
      <c r="EC298" s="12"/>
      <c r="ED298" s="12"/>
      <c r="EE298" s="12"/>
      <c r="EF298" s="12"/>
      <c r="EG298" s="12"/>
      <c r="EH298" s="12"/>
      <c r="EI298" s="12"/>
      <c r="EJ298" s="12"/>
      <c r="EK298" s="12"/>
      <c r="EL298" s="12"/>
      <c r="EM298" s="12"/>
      <c r="EN298" s="12"/>
      <c r="EO298" s="12"/>
      <c r="EP298" s="12"/>
      <c r="EQ298" s="12"/>
      <c r="ER298" s="12"/>
      <c r="ES298" s="12"/>
      <c r="ET298" s="12"/>
      <c r="EU298" s="12"/>
      <c r="EV298" s="12"/>
      <c r="EW298" s="12"/>
      <c r="EX298" s="12"/>
      <c r="EY298" s="12"/>
      <c r="EZ298" s="12"/>
      <c r="FA298" s="12"/>
      <c r="FB298" s="12"/>
      <c r="FC298" s="12"/>
      <c r="FD298" s="12"/>
      <c r="FE298" s="12"/>
      <c r="FF298" s="12"/>
      <c r="FG298" s="12"/>
      <c r="FH298" s="12"/>
      <c r="FI298" s="12"/>
      <c r="FJ298" s="12"/>
      <c r="FK298" s="12"/>
      <c r="FL298" s="12"/>
      <c r="FM298" s="12"/>
      <c r="FN298" s="12"/>
      <c r="FO298" s="12"/>
      <c r="FP298" s="12"/>
      <c r="FQ298" s="12"/>
      <c r="FR298" s="12"/>
      <c r="FS298" s="12"/>
      <c r="FT298" s="12"/>
      <c r="FU298" s="12"/>
      <c r="FV298" s="12"/>
      <c r="FW298" s="12"/>
      <c r="FX298" s="12"/>
      <c r="FY298" s="12"/>
      <c r="FZ298" s="12"/>
      <c r="GA298" s="12"/>
      <c r="GB298" s="12"/>
      <c r="GC298" s="12"/>
      <c r="GD298" s="12"/>
      <c r="GE298" s="12"/>
      <c r="GF298" s="12"/>
      <c r="GG298" s="12"/>
      <c r="GH298" s="12"/>
      <c r="GI298" s="12"/>
      <c r="GJ298" s="12"/>
      <c r="GK298" s="12"/>
      <c r="GL298" s="12"/>
      <c r="GM298" s="12"/>
      <c r="GN298" s="12"/>
      <c r="GO298" s="12"/>
      <c r="GP298" s="12"/>
      <c r="GQ298" s="12"/>
      <c r="GR298" s="12"/>
      <c r="GS298" s="12"/>
      <c r="GT298" s="12"/>
      <c r="GU298" s="12"/>
      <c r="GV298" s="12"/>
      <c r="GW298" s="12"/>
      <c r="GX298" s="12"/>
      <c r="GY298" s="12"/>
      <c r="GZ298" s="12"/>
      <c r="HA298" s="12"/>
      <c r="HB298" s="12"/>
      <c r="HC298" s="12"/>
      <c r="HD298" s="12"/>
      <c r="HE298" s="12"/>
      <c r="HF298" s="12"/>
      <c r="HG298" s="12"/>
      <c r="HH298" s="12"/>
      <c r="HI298" s="12"/>
      <c r="HJ298" s="12"/>
      <c r="HK298" s="12"/>
      <c r="HL298" s="12"/>
      <c r="HM298" s="12"/>
      <c r="HN298" s="12"/>
      <c r="HO298" s="12"/>
      <c r="HP298" s="12"/>
      <c r="HQ298" s="12"/>
      <c r="HR298" s="12"/>
      <c r="HS298" s="12"/>
      <c r="HT298" s="12"/>
      <c r="HU298" s="12"/>
      <c r="HV298" s="12"/>
      <c r="HW298" s="12"/>
      <c r="HX298" s="12"/>
      <c r="HY298" s="12"/>
      <c r="HZ298" s="12"/>
      <c r="IA298" s="12"/>
      <c r="IB298" s="12"/>
      <c r="IC298" s="12"/>
      <c r="ID298" s="12"/>
      <c r="IE298" s="12"/>
      <c r="IF298" s="12"/>
      <c r="IG298" s="12"/>
      <c r="IH298" s="12"/>
      <c r="II298" s="12"/>
      <c r="IJ298" s="12"/>
      <c r="IK298" s="12"/>
      <c r="IL298" s="12"/>
      <c r="IM298" s="12"/>
      <c r="IN298" s="12"/>
      <c r="IO298" s="12"/>
      <c r="IP298" s="12"/>
      <c r="IQ298" s="12"/>
      <c r="IR298" s="12"/>
      <c r="IS298" s="12"/>
      <c r="IT298" s="12"/>
      <c r="IU298" s="12"/>
      <c r="IV298" s="12"/>
      <c r="IW298" s="12"/>
    </row>
    <row r="299" customFormat="false" ht="11.25" hidden="false" customHeight="false" outlineLevel="0" collapsed="false">
      <c r="A299" s="25" t="n">
        <f aca="false">DATE(YEAR(A298),MONTH(A298)+1,1)</f>
        <v>54820</v>
      </c>
      <c r="B299" s="21" t="n">
        <v>4.258</v>
      </c>
      <c r="C299" s="21" t="n">
        <v>4.358</v>
      </c>
      <c r="D299" s="11"/>
      <c r="E299" s="5"/>
      <c r="F299" s="5"/>
      <c r="G299" s="6"/>
      <c r="H299" s="22" t="n">
        <f aca="false">A299</f>
        <v>54820</v>
      </c>
      <c r="I299" s="23" t="n">
        <f aca="false">IF($J$1="bid",B299,C299)</f>
        <v>4.358</v>
      </c>
      <c r="J299" s="25"/>
      <c r="K299" s="32"/>
      <c r="L299" s="11"/>
      <c r="M299" s="11"/>
      <c r="N299" s="11"/>
      <c r="O299" s="11"/>
      <c r="P299" s="11"/>
      <c r="Q299" s="11"/>
      <c r="R299" s="11"/>
      <c r="S299" s="11"/>
      <c r="T299" s="11"/>
      <c r="U299" s="11"/>
      <c r="V299" s="11"/>
      <c r="W299" s="11"/>
      <c r="X299" s="11"/>
      <c r="Y299" s="11"/>
      <c r="Z299" s="11"/>
      <c r="AA299" s="11"/>
      <c r="AB299" s="11"/>
      <c r="AC299" s="11"/>
      <c r="AD299" s="11"/>
      <c r="AE299" s="11"/>
      <c r="AF299" s="11"/>
      <c r="AG299" s="11"/>
      <c r="AH299" s="11"/>
      <c r="AI299" s="11"/>
      <c r="AJ299" s="11"/>
      <c r="AK299" s="11"/>
      <c r="AL299" s="11"/>
      <c r="AM299" s="11"/>
      <c r="AN299" s="11"/>
      <c r="AO299" s="11"/>
      <c r="AP299" s="11"/>
      <c r="AQ299" s="11"/>
      <c r="AR299" s="5"/>
      <c r="AS299" s="12"/>
      <c r="AT299" s="12"/>
      <c r="AU299" s="12"/>
      <c r="AV299" s="12"/>
      <c r="AW299" s="12"/>
      <c r="AX299" s="12"/>
      <c r="AY299" s="12"/>
      <c r="AZ299" s="12"/>
      <c r="BA299" s="12"/>
      <c r="BB299" s="12"/>
      <c r="BC299" s="12"/>
      <c r="BD299" s="12"/>
      <c r="BE299" s="12"/>
      <c r="BF299" s="12"/>
      <c r="BG299" s="12"/>
      <c r="BH299" s="12"/>
      <c r="BI299" s="12"/>
      <c r="BJ299" s="12"/>
      <c r="BK299" s="12"/>
      <c r="BL299" s="12"/>
      <c r="BM299" s="12"/>
      <c r="BN299" s="12"/>
      <c r="BO299" s="12"/>
      <c r="BP299" s="12"/>
      <c r="BQ299" s="12"/>
      <c r="BR299" s="12"/>
      <c r="BS299" s="12"/>
      <c r="BT299" s="12"/>
      <c r="BU299" s="12"/>
      <c r="BV299" s="12"/>
      <c r="BW299" s="12"/>
      <c r="BX299" s="12"/>
      <c r="BY299" s="12"/>
      <c r="BZ299" s="12"/>
      <c r="CA299" s="12"/>
      <c r="CB299" s="12"/>
      <c r="CC299" s="12"/>
      <c r="CD299" s="12"/>
      <c r="CE299" s="12"/>
      <c r="CF299" s="12"/>
      <c r="CG299" s="12"/>
      <c r="CH299" s="12"/>
      <c r="CI299" s="12"/>
      <c r="CJ299" s="12"/>
      <c r="CK299" s="12"/>
      <c r="CL299" s="12"/>
      <c r="CM299" s="12"/>
      <c r="CN299" s="12"/>
      <c r="CO299" s="12"/>
      <c r="CP299" s="12"/>
      <c r="CQ299" s="12"/>
      <c r="CR299" s="12"/>
      <c r="CS299" s="12"/>
      <c r="CT299" s="12"/>
      <c r="CU299" s="12"/>
      <c r="CV299" s="12"/>
      <c r="CW299" s="12"/>
      <c r="CX299" s="12"/>
      <c r="CY299" s="12"/>
      <c r="CZ299" s="12"/>
      <c r="DA299" s="12"/>
      <c r="DB299" s="12"/>
      <c r="DC299" s="12"/>
      <c r="DD299" s="12"/>
      <c r="DE299" s="12"/>
      <c r="DF299" s="12"/>
      <c r="DG299" s="12"/>
      <c r="DH299" s="12"/>
      <c r="DI299" s="12"/>
      <c r="DJ299" s="12"/>
      <c r="DK299" s="12"/>
      <c r="DL299" s="12"/>
      <c r="DM299" s="12"/>
      <c r="DN299" s="12"/>
      <c r="DO299" s="12"/>
      <c r="DP299" s="12"/>
      <c r="DQ299" s="12"/>
      <c r="DR299" s="12"/>
      <c r="DS299" s="12"/>
      <c r="DT299" s="12"/>
      <c r="DU299" s="12"/>
      <c r="DV299" s="12"/>
      <c r="DW299" s="12"/>
      <c r="DX299" s="12"/>
      <c r="DY299" s="12"/>
      <c r="DZ299" s="12"/>
      <c r="EA299" s="12"/>
      <c r="EB299" s="12"/>
      <c r="EC299" s="12"/>
      <c r="ED299" s="12"/>
      <c r="EE299" s="12"/>
      <c r="EF299" s="12"/>
      <c r="EG299" s="12"/>
      <c r="EH299" s="12"/>
      <c r="EI299" s="12"/>
      <c r="EJ299" s="12"/>
      <c r="EK299" s="12"/>
      <c r="EL299" s="12"/>
      <c r="EM299" s="12"/>
      <c r="EN299" s="12"/>
      <c r="EO299" s="12"/>
      <c r="EP299" s="12"/>
      <c r="EQ299" s="12"/>
      <c r="ER299" s="12"/>
      <c r="ES299" s="12"/>
      <c r="ET299" s="12"/>
      <c r="EU299" s="12"/>
      <c r="EV299" s="12"/>
      <c r="EW299" s="12"/>
      <c r="EX299" s="12"/>
      <c r="EY299" s="12"/>
      <c r="EZ299" s="12"/>
      <c r="FA299" s="12"/>
      <c r="FB299" s="12"/>
      <c r="FC299" s="12"/>
      <c r="FD299" s="12"/>
      <c r="FE299" s="12"/>
      <c r="FF299" s="12"/>
      <c r="FG299" s="12"/>
      <c r="FH299" s="12"/>
      <c r="FI299" s="12"/>
      <c r="FJ299" s="12"/>
      <c r="FK299" s="12"/>
      <c r="FL299" s="12"/>
      <c r="FM299" s="12"/>
      <c r="FN299" s="12"/>
      <c r="FO299" s="12"/>
      <c r="FP299" s="12"/>
      <c r="FQ299" s="12"/>
      <c r="FR299" s="12"/>
      <c r="FS299" s="12"/>
      <c r="FT299" s="12"/>
      <c r="FU299" s="12"/>
      <c r="FV299" s="12"/>
      <c r="FW299" s="12"/>
      <c r="FX299" s="12"/>
      <c r="FY299" s="12"/>
      <c r="FZ299" s="12"/>
      <c r="GA299" s="12"/>
      <c r="GB299" s="12"/>
      <c r="GC299" s="12"/>
      <c r="GD299" s="12"/>
      <c r="GE299" s="12"/>
      <c r="GF299" s="12"/>
      <c r="GG299" s="12"/>
      <c r="GH299" s="12"/>
      <c r="GI299" s="12"/>
      <c r="GJ299" s="12"/>
      <c r="GK299" s="12"/>
      <c r="GL299" s="12"/>
      <c r="GM299" s="12"/>
      <c r="GN299" s="12"/>
      <c r="GO299" s="12"/>
      <c r="GP299" s="12"/>
      <c r="GQ299" s="12"/>
      <c r="GR299" s="12"/>
      <c r="GS299" s="12"/>
      <c r="GT299" s="12"/>
      <c r="GU299" s="12"/>
      <c r="GV299" s="12"/>
      <c r="GW299" s="12"/>
      <c r="GX299" s="12"/>
      <c r="GY299" s="12"/>
      <c r="GZ299" s="12"/>
      <c r="HA299" s="12"/>
      <c r="HB299" s="12"/>
      <c r="HC299" s="12"/>
      <c r="HD299" s="12"/>
      <c r="HE299" s="12"/>
      <c r="HF299" s="12"/>
      <c r="HG299" s="12"/>
      <c r="HH299" s="12"/>
      <c r="HI299" s="12"/>
      <c r="HJ299" s="12"/>
      <c r="HK299" s="12"/>
      <c r="HL299" s="12"/>
      <c r="HM299" s="12"/>
      <c r="HN299" s="12"/>
      <c r="HO299" s="12"/>
      <c r="HP299" s="12"/>
      <c r="HQ299" s="12"/>
      <c r="HR299" s="12"/>
      <c r="HS299" s="12"/>
      <c r="HT299" s="12"/>
      <c r="HU299" s="12"/>
      <c r="HV299" s="12"/>
      <c r="HW299" s="12"/>
      <c r="HX299" s="12"/>
      <c r="HY299" s="12"/>
      <c r="HZ299" s="12"/>
      <c r="IA299" s="12"/>
      <c r="IB299" s="12"/>
      <c r="IC299" s="12"/>
      <c r="ID299" s="12"/>
      <c r="IE299" s="12"/>
      <c r="IF299" s="12"/>
      <c r="IG299" s="12"/>
      <c r="IH299" s="12"/>
      <c r="II299" s="12"/>
      <c r="IJ299" s="12"/>
      <c r="IK299" s="12"/>
      <c r="IL299" s="12"/>
      <c r="IM299" s="12"/>
      <c r="IN299" s="12"/>
      <c r="IO299" s="12"/>
      <c r="IP299" s="12"/>
      <c r="IQ299" s="12"/>
      <c r="IR299" s="12"/>
      <c r="IS299" s="12"/>
      <c r="IT299" s="12"/>
      <c r="IU299" s="12"/>
      <c r="IV299" s="12"/>
      <c r="IW299" s="12"/>
    </row>
    <row r="300" customFormat="false" ht="11.25" hidden="false" customHeight="false" outlineLevel="0" collapsed="false">
      <c r="A300" s="25" t="n">
        <f aca="false">DATE(YEAR(A299),MONTH(A299)+1,1)</f>
        <v>54848</v>
      </c>
      <c r="B300" s="21" t="n">
        <v>4.245</v>
      </c>
      <c r="C300" s="21" t="n">
        <v>4.345</v>
      </c>
      <c r="D300" s="11"/>
      <c r="E300" s="5"/>
      <c r="F300" s="5"/>
      <c r="G300" s="6"/>
      <c r="H300" s="22" t="n">
        <f aca="false">A300</f>
        <v>54848</v>
      </c>
      <c r="I300" s="23" t="n">
        <f aca="false">IF($J$1="bid",B300,C300)</f>
        <v>4.345</v>
      </c>
      <c r="J300" s="25"/>
      <c r="K300" s="32"/>
      <c r="L300" s="11"/>
      <c r="M300" s="11"/>
      <c r="N300" s="11"/>
      <c r="O300" s="11"/>
      <c r="P300" s="11"/>
      <c r="Q300" s="11"/>
      <c r="R300" s="11"/>
      <c r="S300" s="11"/>
      <c r="T300" s="11"/>
      <c r="U300" s="11"/>
      <c r="V300" s="11"/>
      <c r="W300" s="11"/>
      <c r="X300" s="11"/>
      <c r="Y300" s="11"/>
      <c r="Z300" s="11"/>
      <c r="AA300" s="11"/>
      <c r="AB300" s="11"/>
      <c r="AC300" s="11"/>
      <c r="AD300" s="11"/>
      <c r="AE300" s="11"/>
      <c r="AF300" s="11"/>
      <c r="AG300" s="11"/>
      <c r="AH300" s="11"/>
      <c r="AI300" s="11"/>
      <c r="AJ300" s="11"/>
      <c r="AK300" s="11"/>
      <c r="AL300" s="11"/>
      <c r="AM300" s="11"/>
      <c r="AN300" s="11"/>
      <c r="AO300" s="11"/>
      <c r="AP300" s="11"/>
      <c r="AQ300" s="11"/>
      <c r="AR300" s="5"/>
      <c r="AS300" s="12"/>
      <c r="AT300" s="12"/>
      <c r="AU300" s="12"/>
      <c r="AV300" s="12"/>
      <c r="AW300" s="12"/>
      <c r="AX300" s="12"/>
      <c r="AY300" s="12"/>
      <c r="AZ300" s="12"/>
      <c r="BA300" s="12"/>
      <c r="BB300" s="12"/>
      <c r="BC300" s="12"/>
      <c r="BD300" s="12"/>
      <c r="BE300" s="12"/>
      <c r="BF300" s="12"/>
      <c r="BG300" s="12"/>
      <c r="BH300" s="12"/>
      <c r="BI300" s="12"/>
      <c r="BJ300" s="12"/>
      <c r="BK300" s="12"/>
      <c r="BL300" s="12"/>
      <c r="BM300" s="12"/>
      <c r="BN300" s="12"/>
      <c r="BO300" s="12"/>
      <c r="BP300" s="12"/>
      <c r="BQ300" s="12"/>
      <c r="BR300" s="12"/>
      <c r="BS300" s="12"/>
      <c r="BT300" s="12"/>
      <c r="BU300" s="12"/>
      <c r="BV300" s="12"/>
      <c r="BW300" s="12"/>
      <c r="BX300" s="12"/>
      <c r="BY300" s="12"/>
      <c r="BZ300" s="12"/>
      <c r="CA300" s="12"/>
      <c r="CB300" s="12"/>
      <c r="CC300" s="12"/>
      <c r="CD300" s="12"/>
      <c r="CE300" s="12"/>
      <c r="CF300" s="12"/>
      <c r="CG300" s="12"/>
      <c r="CH300" s="12"/>
      <c r="CI300" s="12"/>
      <c r="CJ300" s="12"/>
      <c r="CK300" s="12"/>
      <c r="CL300" s="12"/>
      <c r="CM300" s="12"/>
      <c r="CN300" s="12"/>
      <c r="CO300" s="12"/>
      <c r="CP300" s="12"/>
      <c r="CQ300" s="12"/>
      <c r="CR300" s="12"/>
      <c r="CS300" s="12"/>
      <c r="CT300" s="12"/>
      <c r="CU300" s="12"/>
      <c r="CV300" s="12"/>
      <c r="CW300" s="12"/>
      <c r="CX300" s="12"/>
      <c r="CY300" s="12"/>
      <c r="CZ300" s="12"/>
      <c r="DA300" s="12"/>
      <c r="DB300" s="12"/>
      <c r="DC300" s="12"/>
      <c r="DD300" s="12"/>
      <c r="DE300" s="12"/>
      <c r="DF300" s="12"/>
      <c r="DG300" s="12"/>
      <c r="DH300" s="12"/>
      <c r="DI300" s="12"/>
      <c r="DJ300" s="12"/>
      <c r="DK300" s="12"/>
      <c r="DL300" s="12"/>
      <c r="DM300" s="12"/>
      <c r="DN300" s="12"/>
      <c r="DO300" s="12"/>
      <c r="DP300" s="12"/>
      <c r="DQ300" s="12"/>
      <c r="DR300" s="12"/>
      <c r="DS300" s="12"/>
      <c r="DT300" s="12"/>
      <c r="DU300" s="12"/>
      <c r="DV300" s="12"/>
      <c r="DW300" s="12"/>
      <c r="DX300" s="12"/>
      <c r="DY300" s="12"/>
      <c r="DZ300" s="12"/>
      <c r="EA300" s="12"/>
      <c r="EB300" s="12"/>
      <c r="EC300" s="12"/>
      <c r="ED300" s="12"/>
      <c r="EE300" s="12"/>
      <c r="EF300" s="12"/>
      <c r="EG300" s="12"/>
      <c r="EH300" s="12"/>
      <c r="EI300" s="12"/>
      <c r="EJ300" s="12"/>
      <c r="EK300" s="12"/>
      <c r="EL300" s="12"/>
      <c r="EM300" s="12"/>
      <c r="EN300" s="12"/>
      <c r="EO300" s="12"/>
      <c r="EP300" s="12"/>
      <c r="EQ300" s="12"/>
      <c r="ER300" s="12"/>
      <c r="ES300" s="12"/>
      <c r="ET300" s="12"/>
      <c r="EU300" s="12"/>
      <c r="EV300" s="12"/>
      <c r="EW300" s="12"/>
      <c r="EX300" s="12"/>
      <c r="EY300" s="12"/>
      <c r="EZ300" s="12"/>
      <c r="FA300" s="12"/>
      <c r="FB300" s="12"/>
      <c r="FC300" s="12"/>
      <c r="FD300" s="12"/>
      <c r="FE300" s="12"/>
      <c r="FF300" s="12"/>
      <c r="FG300" s="12"/>
      <c r="FH300" s="12"/>
      <c r="FI300" s="12"/>
      <c r="FJ300" s="12"/>
      <c r="FK300" s="12"/>
      <c r="FL300" s="12"/>
      <c r="FM300" s="12"/>
      <c r="FN300" s="12"/>
      <c r="FO300" s="12"/>
      <c r="FP300" s="12"/>
      <c r="FQ300" s="12"/>
      <c r="FR300" s="12"/>
      <c r="FS300" s="12"/>
      <c r="FT300" s="12"/>
      <c r="FU300" s="12"/>
      <c r="FV300" s="12"/>
      <c r="FW300" s="12"/>
      <c r="FX300" s="12"/>
      <c r="FY300" s="12"/>
      <c r="FZ300" s="12"/>
      <c r="GA300" s="12"/>
      <c r="GB300" s="12"/>
      <c r="GC300" s="12"/>
      <c r="GD300" s="12"/>
      <c r="GE300" s="12"/>
      <c r="GF300" s="12"/>
      <c r="GG300" s="12"/>
      <c r="GH300" s="12"/>
      <c r="GI300" s="12"/>
      <c r="GJ300" s="12"/>
      <c r="GK300" s="12"/>
      <c r="GL300" s="12"/>
      <c r="GM300" s="12"/>
      <c r="GN300" s="12"/>
      <c r="GO300" s="12"/>
      <c r="GP300" s="12"/>
      <c r="GQ300" s="12"/>
      <c r="GR300" s="12"/>
      <c r="GS300" s="12"/>
      <c r="GT300" s="12"/>
      <c r="GU300" s="12"/>
      <c r="GV300" s="12"/>
      <c r="GW300" s="12"/>
      <c r="GX300" s="12"/>
      <c r="GY300" s="12"/>
      <c r="GZ300" s="12"/>
      <c r="HA300" s="12"/>
      <c r="HB300" s="12"/>
      <c r="HC300" s="12"/>
      <c r="HD300" s="12"/>
      <c r="HE300" s="12"/>
      <c r="HF300" s="12"/>
      <c r="HG300" s="12"/>
      <c r="HH300" s="12"/>
      <c r="HI300" s="12"/>
      <c r="HJ300" s="12"/>
      <c r="HK300" s="12"/>
      <c r="HL300" s="12"/>
      <c r="HM300" s="12"/>
      <c r="HN300" s="12"/>
      <c r="HO300" s="12"/>
      <c r="HP300" s="12"/>
      <c r="HQ300" s="12"/>
      <c r="HR300" s="12"/>
      <c r="HS300" s="12"/>
      <c r="HT300" s="12"/>
      <c r="HU300" s="12"/>
      <c r="HV300" s="12"/>
      <c r="HW300" s="12"/>
      <c r="HX300" s="12"/>
      <c r="HY300" s="12"/>
      <c r="HZ300" s="12"/>
      <c r="IA300" s="12"/>
      <c r="IB300" s="12"/>
      <c r="IC300" s="12"/>
      <c r="ID300" s="12"/>
      <c r="IE300" s="12"/>
      <c r="IF300" s="12"/>
      <c r="IG300" s="12"/>
      <c r="IH300" s="12"/>
      <c r="II300" s="12"/>
      <c r="IJ300" s="12"/>
      <c r="IK300" s="12"/>
      <c r="IL300" s="12"/>
      <c r="IM300" s="12"/>
      <c r="IN300" s="12"/>
      <c r="IO300" s="12"/>
      <c r="IP300" s="12"/>
      <c r="IQ300" s="12"/>
      <c r="IR300" s="12"/>
      <c r="IS300" s="12"/>
      <c r="IT300" s="12"/>
      <c r="IU300" s="12"/>
      <c r="IV300" s="12"/>
      <c r="IW300" s="12"/>
    </row>
    <row r="301" customFormat="false" ht="11.25" hidden="false" customHeight="false" outlineLevel="0" collapsed="false">
      <c r="A301" s="25" t="n">
        <f aca="false">DATE(YEAR(A300),MONTH(A300)+1,1)</f>
        <v>54879</v>
      </c>
      <c r="B301" s="21" t="n">
        <v>4.253</v>
      </c>
      <c r="C301" s="21" t="n">
        <v>4.353</v>
      </c>
      <c r="D301" s="11"/>
      <c r="E301" s="5"/>
      <c r="F301" s="5"/>
      <c r="G301" s="6"/>
      <c r="H301" s="22" t="n">
        <f aca="false">A301</f>
        <v>54879</v>
      </c>
      <c r="I301" s="23" t="n">
        <f aca="false">IF($J$1="bid",B301,C301)</f>
        <v>4.353</v>
      </c>
      <c r="J301" s="25"/>
      <c r="K301" s="32"/>
      <c r="L301" s="11"/>
      <c r="M301" s="11"/>
      <c r="N301" s="11"/>
      <c r="O301" s="11"/>
      <c r="P301" s="11"/>
      <c r="Q301" s="11"/>
      <c r="R301" s="11"/>
      <c r="S301" s="11"/>
      <c r="T301" s="11"/>
      <c r="U301" s="11"/>
      <c r="V301" s="11"/>
      <c r="W301" s="11"/>
      <c r="X301" s="11"/>
      <c r="Y301" s="11"/>
      <c r="Z301" s="11"/>
      <c r="AA301" s="11"/>
      <c r="AB301" s="11"/>
      <c r="AC301" s="11"/>
      <c r="AD301" s="11"/>
      <c r="AE301" s="11"/>
      <c r="AF301" s="11"/>
      <c r="AG301" s="11"/>
      <c r="AH301" s="11"/>
      <c r="AI301" s="11"/>
      <c r="AJ301" s="11"/>
      <c r="AK301" s="11"/>
      <c r="AL301" s="11"/>
      <c r="AM301" s="11"/>
      <c r="AN301" s="11"/>
      <c r="AO301" s="11"/>
      <c r="AP301" s="11"/>
      <c r="AQ301" s="11"/>
      <c r="AR301" s="5"/>
      <c r="AS301" s="12"/>
      <c r="AT301" s="12"/>
      <c r="AU301" s="12"/>
      <c r="AV301" s="12"/>
      <c r="AW301" s="12"/>
      <c r="AX301" s="12"/>
      <c r="AY301" s="12"/>
      <c r="AZ301" s="12"/>
      <c r="BA301" s="12"/>
      <c r="BB301" s="12"/>
      <c r="BC301" s="12"/>
      <c r="BD301" s="12"/>
      <c r="BE301" s="12"/>
      <c r="BF301" s="12"/>
      <c r="BG301" s="12"/>
      <c r="BH301" s="12"/>
      <c r="BI301" s="12"/>
      <c r="BJ301" s="12"/>
      <c r="BK301" s="12"/>
      <c r="BL301" s="12"/>
      <c r="BM301" s="12"/>
      <c r="BN301" s="12"/>
      <c r="BO301" s="12"/>
      <c r="BP301" s="12"/>
      <c r="BQ301" s="12"/>
      <c r="BR301" s="12"/>
      <c r="BS301" s="12"/>
      <c r="BT301" s="12"/>
      <c r="BU301" s="12"/>
      <c r="BV301" s="12"/>
      <c r="BW301" s="12"/>
      <c r="BX301" s="12"/>
      <c r="BY301" s="12"/>
      <c r="BZ301" s="12"/>
      <c r="CA301" s="12"/>
      <c r="CB301" s="12"/>
      <c r="CC301" s="12"/>
      <c r="CD301" s="12"/>
      <c r="CE301" s="12"/>
      <c r="CF301" s="12"/>
      <c r="CG301" s="12"/>
      <c r="CH301" s="12"/>
      <c r="CI301" s="12"/>
      <c r="CJ301" s="12"/>
      <c r="CK301" s="12"/>
      <c r="CL301" s="12"/>
      <c r="CM301" s="12"/>
      <c r="CN301" s="12"/>
      <c r="CO301" s="12"/>
      <c r="CP301" s="12"/>
      <c r="CQ301" s="12"/>
      <c r="CR301" s="12"/>
      <c r="CS301" s="12"/>
      <c r="CT301" s="12"/>
      <c r="CU301" s="12"/>
      <c r="CV301" s="12"/>
      <c r="CW301" s="12"/>
      <c r="CX301" s="12"/>
      <c r="CY301" s="12"/>
      <c r="CZ301" s="12"/>
      <c r="DA301" s="12"/>
      <c r="DB301" s="12"/>
      <c r="DC301" s="12"/>
      <c r="DD301" s="12"/>
      <c r="DE301" s="12"/>
      <c r="DF301" s="12"/>
      <c r="DG301" s="12"/>
      <c r="DH301" s="12"/>
      <c r="DI301" s="12"/>
      <c r="DJ301" s="12"/>
      <c r="DK301" s="12"/>
      <c r="DL301" s="12"/>
      <c r="DM301" s="12"/>
      <c r="DN301" s="12"/>
      <c r="DO301" s="12"/>
      <c r="DP301" s="12"/>
      <c r="DQ301" s="12"/>
      <c r="DR301" s="12"/>
      <c r="DS301" s="12"/>
      <c r="DT301" s="12"/>
      <c r="DU301" s="12"/>
      <c r="DV301" s="12"/>
      <c r="DW301" s="12"/>
      <c r="DX301" s="12"/>
      <c r="DY301" s="12"/>
      <c r="DZ301" s="12"/>
      <c r="EA301" s="12"/>
      <c r="EB301" s="12"/>
      <c r="EC301" s="12"/>
      <c r="ED301" s="12"/>
      <c r="EE301" s="12"/>
      <c r="EF301" s="12"/>
      <c r="EG301" s="12"/>
      <c r="EH301" s="12"/>
      <c r="EI301" s="12"/>
      <c r="EJ301" s="12"/>
      <c r="EK301" s="12"/>
      <c r="EL301" s="12"/>
      <c r="EM301" s="12"/>
      <c r="EN301" s="12"/>
      <c r="EO301" s="12"/>
      <c r="EP301" s="12"/>
      <c r="EQ301" s="12"/>
      <c r="ER301" s="12"/>
      <c r="ES301" s="12"/>
      <c r="ET301" s="12"/>
      <c r="EU301" s="12"/>
      <c r="EV301" s="12"/>
      <c r="EW301" s="12"/>
      <c r="EX301" s="12"/>
      <c r="EY301" s="12"/>
      <c r="EZ301" s="12"/>
      <c r="FA301" s="12"/>
      <c r="FB301" s="12"/>
      <c r="FC301" s="12"/>
      <c r="FD301" s="12"/>
      <c r="FE301" s="12"/>
      <c r="FF301" s="12"/>
      <c r="FG301" s="12"/>
      <c r="FH301" s="12"/>
      <c r="FI301" s="12"/>
      <c r="FJ301" s="12"/>
      <c r="FK301" s="12"/>
      <c r="FL301" s="12"/>
      <c r="FM301" s="12"/>
      <c r="FN301" s="12"/>
      <c r="FO301" s="12"/>
      <c r="FP301" s="12"/>
      <c r="FQ301" s="12"/>
      <c r="FR301" s="12"/>
      <c r="FS301" s="12"/>
      <c r="FT301" s="12"/>
      <c r="FU301" s="12"/>
      <c r="FV301" s="12"/>
      <c r="FW301" s="12"/>
      <c r="FX301" s="12"/>
      <c r="FY301" s="12"/>
      <c r="FZ301" s="12"/>
      <c r="GA301" s="12"/>
      <c r="GB301" s="12"/>
      <c r="GC301" s="12"/>
      <c r="GD301" s="12"/>
      <c r="GE301" s="12"/>
      <c r="GF301" s="12"/>
      <c r="GG301" s="12"/>
      <c r="GH301" s="12"/>
      <c r="GI301" s="12"/>
      <c r="GJ301" s="12"/>
      <c r="GK301" s="12"/>
      <c r="GL301" s="12"/>
      <c r="GM301" s="12"/>
      <c r="GN301" s="12"/>
      <c r="GO301" s="12"/>
      <c r="GP301" s="12"/>
      <c r="GQ301" s="12"/>
      <c r="GR301" s="12"/>
      <c r="GS301" s="12"/>
      <c r="GT301" s="12"/>
      <c r="GU301" s="12"/>
      <c r="GV301" s="12"/>
      <c r="GW301" s="12"/>
      <c r="GX301" s="12"/>
      <c r="GY301" s="12"/>
      <c r="GZ301" s="12"/>
      <c r="HA301" s="12"/>
      <c r="HB301" s="12"/>
      <c r="HC301" s="12"/>
      <c r="HD301" s="12"/>
      <c r="HE301" s="12"/>
      <c r="HF301" s="12"/>
      <c r="HG301" s="12"/>
      <c r="HH301" s="12"/>
      <c r="HI301" s="12"/>
      <c r="HJ301" s="12"/>
      <c r="HK301" s="12"/>
      <c r="HL301" s="12"/>
      <c r="HM301" s="12"/>
      <c r="HN301" s="12"/>
      <c r="HO301" s="12"/>
      <c r="HP301" s="12"/>
      <c r="HQ301" s="12"/>
      <c r="HR301" s="12"/>
      <c r="HS301" s="12"/>
      <c r="HT301" s="12"/>
      <c r="HU301" s="12"/>
      <c r="HV301" s="12"/>
      <c r="HW301" s="12"/>
      <c r="HX301" s="12"/>
      <c r="HY301" s="12"/>
      <c r="HZ301" s="12"/>
      <c r="IA301" s="12"/>
      <c r="IB301" s="12"/>
      <c r="IC301" s="12"/>
      <c r="ID301" s="12"/>
      <c r="IE301" s="12"/>
      <c r="IF301" s="12"/>
      <c r="IG301" s="12"/>
      <c r="IH301" s="12"/>
      <c r="II301" s="12"/>
      <c r="IJ301" s="12"/>
      <c r="IK301" s="12"/>
      <c r="IL301" s="12"/>
      <c r="IM301" s="12"/>
      <c r="IN301" s="12"/>
      <c r="IO301" s="12"/>
      <c r="IP301" s="12"/>
      <c r="IQ301" s="12"/>
      <c r="IR301" s="12"/>
      <c r="IS301" s="12"/>
      <c r="IT301" s="12"/>
      <c r="IU301" s="12"/>
      <c r="IV301" s="12"/>
      <c r="IW301" s="12"/>
    </row>
    <row r="302" customFormat="false" ht="11.25" hidden="false" customHeight="false" outlineLevel="0" collapsed="false">
      <c r="A302" s="25" t="n">
        <f aca="false">DATE(YEAR(A301),MONTH(A301)+1,1)</f>
        <v>54909</v>
      </c>
      <c r="B302" s="21" t="n">
        <v>4.245</v>
      </c>
      <c r="C302" s="21" t="n">
        <v>4.345</v>
      </c>
      <c r="D302" s="11"/>
      <c r="E302" s="5"/>
      <c r="F302" s="5"/>
      <c r="G302" s="6"/>
      <c r="H302" s="22" t="n">
        <f aca="false">A302</f>
        <v>54909</v>
      </c>
      <c r="I302" s="23" t="n">
        <f aca="false">IF($J$1="bid",B302,C302)</f>
        <v>4.345</v>
      </c>
      <c r="J302" s="25"/>
      <c r="K302" s="32"/>
      <c r="L302" s="11"/>
      <c r="M302" s="11"/>
      <c r="N302" s="11"/>
      <c r="O302" s="11"/>
      <c r="P302" s="11"/>
      <c r="Q302" s="11"/>
      <c r="R302" s="11"/>
      <c r="S302" s="11"/>
      <c r="T302" s="11"/>
      <c r="U302" s="11"/>
      <c r="V302" s="11"/>
      <c r="W302" s="11"/>
      <c r="X302" s="11"/>
      <c r="Y302" s="11"/>
      <c r="Z302" s="11"/>
      <c r="AA302" s="11"/>
      <c r="AB302" s="11"/>
      <c r="AC302" s="11"/>
      <c r="AD302" s="11"/>
      <c r="AE302" s="11"/>
      <c r="AF302" s="11"/>
      <c r="AG302" s="11"/>
      <c r="AH302" s="11"/>
      <c r="AI302" s="11"/>
      <c r="AJ302" s="11"/>
      <c r="AK302" s="11"/>
      <c r="AL302" s="11"/>
      <c r="AM302" s="11"/>
      <c r="AN302" s="11"/>
      <c r="AO302" s="11"/>
      <c r="AP302" s="11"/>
      <c r="AQ302" s="11"/>
      <c r="AR302" s="5"/>
      <c r="AS302" s="12"/>
      <c r="AT302" s="12"/>
      <c r="AU302" s="12"/>
      <c r="AV302" s="12"/>
      <c r="AW302" s="12"/>
      <c r="AX302" s="12"/>
      <c r="AY302" s="12"/>
      <c r="AZ302" s="12"/>
      <c r="BA302" s="12"/>
      <c r="BB302" s="12"/>
      <c r="BC302" s="12"/>
      <c r="BD302" s="12"/>
      <c r="BE302" s="12"/>
      <c r="BF302" s="12"/>
      <c r="BG302" s="12"/>
      <c r="BH302" s="12"/>
      <c r="BI302" s="12"/>
      <c r="BJ302" s="12"/>
      <c r="BK302" s="12"/>
      <c r="BL302" s="12"/>
      <c r="BM302" s="12"/>
      <c r="BN302" s="12"/>
      <c r="BO302" s="12"/>
      <c r="BP302" s="12"/>
      <c r="BQ302" s="12"/>
      <c r="BR302" s="12"/>
      <c r="BS302" s="12"/>
      <c r="BT302" s="12"/>
      <c r="BU302" s="12"/>
      <c r="BV302" s="12"/>
      <c r="BW302" s="12"/>
      <c r="BX302" s="12"/>
      <c r="BY302" s="12"/>
      <c r="BZ302" s="12"/>
      <c r="CA302" s="12"/>
      <c r="CB302" s="12"/>
      <c r="CC302" s="12"/>
      <c r="CD302" s="12"/>
      <c r="CE302" s="12"/>
      <c r="CF302" s="12"/>
      <c r="CG302" s="12"/>
      <c r="CH302" s="12"/>
      <c r="CI302" s="12"/>
      <c r="CJ302" s="12"/>
      <c r="CK302" s="12"/>
      <c r="CL302" s="12"/>
      <c r="CM302" s="12"/>
      <c r="CN302" s="12"/>
      <c r="CO302" s="12"/>
      <c r="CP302" s="12"/>
      <c r="CQ302" s="12"/>
      <c r="CR302" s="12"/>
      <c r="CS302" s="12"/>
      <c r="CT302" s="12"/>
      <c r="CU302" s="12"/>
      <c r="CV302" s="12"/>
      <c r="CW302" s="12"/>
      <c r="CX302" s="12"/>
      <c r="CY302" s="12"/>
      <c r="CZ302" s="12"/>
      <c r="DA302" s="12"/>
      <c r="DB302" s="12"/>
      <c r="DC302" s="12"/>
      <c r="DD302" s="12"/>
      <c r="DE302" s="12"/>
      <c r="DF302" s="12"/>
      <c r="DG302" s="12"/>
      <c r="DH302" s="12"/>
      <c r="DI302" s="12"/>
      <c r="DJ302" s="12"/>
      <c r="DK302" s="12"/>
      <c r="DL302" s="12"/>
      <c r="DM302" s="12"/>
      <c r="DN302" s="12"/>
      <c r="DO302" s="12"/>
      <c r="DP302" s="12"/>
      <c r="DQ302" s="12"/>
      <c r="DR302" s="12"/>
      <c r="DS302" s="12"/>
      <c r="DT302" s="12"/>
      <c r="DU302" s="12"/>
      <c r="DV302" s="12"/>
      <c r="DW302" s="12"/>
      <c r="DX302" s="12"/>
      <c r="DY302" s="12"/>
      <c r="DZ302" s="12"/>
      <c r="EA302" s="12"/>
      <c r="EB302" s="12"/>
      <c r="EC302" s="12"/>
      <c r="ED302" s="12"/>
      <c r="EE302" s="12"/>
      <c r="EF302" s="12"/>
      <c r="EG302" s="12"/>
      <c r="EH302" s="12"/>
      <c r="EI302" s="12"/>
      <c r="EJ302" s="12"/>
      <c r="EK302" s="12"/>
      <c r="EL302" s="12"/>
      <c r="EM302" s="12"/>
      <c r="EN302" s="12"/>
      <c r="EO302" s="12"/>
      <c r="EP302" s="12"/>
      <c r="EQ302" s="12"/>
      <c r="ER302" s="12"/>
      <c r="ES302" s="12"/>
      <c r="ET302" s="12"/>
      <c r="EU302" s="12"/>
      <c r="EV302" s="12"/>
      <c r="EW302" s="12"/>
      <c r="EX302" s="12"/>
      <c r="EY302" s="12"/>
      <c r="EZ302" s="12"/>
      <c r="FA302" s="12"/>
      <c r="FB302" s="12"/>
      <c r="FC302" s="12"/>
      <c r="FD302" s="12"/>
      <c r="FE302" s="12"/>
      <c r="FF302" s="12"/>
      <c r="FG302" s="12"/>
      <c r="FH302" s="12"/>
      <c r="FI302" s="12"/>
      <c r="FJ302" s="12"/>
      <c r="FK302" s="12"/>
      <c r="FL302" s="12"/>
      <c r="FM302" s="12"/>
      <c r="FN302" s="12"/>
      <c r="FO302" s="12"/>
      <c r="FP302" s="12"/>
      <c r="FQ302" s="12"/>
      <c r="FR302" s="12"/>
      <c r="FS302" s="12"/>
      <c r="FT302" s="12"/>
      <c r="FU302" s="12"/>
      <c r="FV302" s="12"/>
      <c r="FW302" s="12"/>
      <c r="FX302" s="12"/>
      <c r="FY302" s="12"/>
      <c r="FZ302" s="12"/>
      <c r="GA302" s="12"/>
      <c r="GB302" s="12"/>
      <c r="GC302" s="12"/>
      <c r="GD302" s="12"/>
      <c r="GE302" s="12"/>
      <c r="GF302" s="12"/>
      <c r="GG302" s="12"/>
      <c r="GH302" s="12"/>
      <c r="GI302" s="12"/>
      <c r="GJ302" s="12"/>
      <c r="GK302" s="12"/>
      <c r="GL302" s="12"/>
      <c r="GM302" s="12"/>
      <c r="GN302" s="12"/>
      <c r="GO302" s="12"/>
      <c r="GP302" s="12"/>
      <c r="GQ302" s="12"/>
      <c r="GR302" s="12"/>
      <c r="GS302" s="12"/>
      <c r="GT302" s="12"/>
      <c r="GU302" s="12"/>
      <c r="GV302" s="12"/>
      <c r="GW302" s="12"/>
      <c r="GX302" s="12"/>
      <c r="GY302" s="12"/>
      <c r="GZ302" s="12"/>
      <c r="HA302" s="12"/>
      <c r="HB302" s="12"/>
      <c r="HC302" s="12"/>
      <c r="HD302" s="12"/>
      <c r="HE302" s="12"/>
      <c r="HF302" s="12"/>
      <c r="HG302" s="12"/>
      <c r="HH302" s="12"/>
      <c r="HI302" s="12"/>
      <c r="HJ302" s="12"/>
      <c r="HK302" s="12"/>
      <c r="HL302" s="12"/>
      <c r="HM302" s="12"/>
      <c r="HN302" s="12"/>
      <c r="HO302" s="12"/>
      <c r="HP302" s="12"/>
      <c r="HQ302" s="12"/>
      <c r="HR302" s="12"/>
      <c r="HS302" s="12"/>
      <c r="HT302" s="12"/>
      <c r="HU302" s="12"/>
      <c r="HV302" s="12"/>
      <c r="HW302" s="12"/>
      <c r="HX302" s="12"/>
      <c r="HY302" s="12"/>
      <c r="HZ302" s="12"/>
      <c r="IA302" s="12"/>
      <c r="IB302" s="12"/>
      <c r="IC302" s="12"/>
      <c r="ID302" s="12"/>
      <c r="IE302" s="12"/>
      <c r="IF302" s="12"/>
      <c r="IG302" s="12"/>
      <c r="IH302" s="12"/>
      <c r="II302" s="12"/>
      <c r="IJ302" s="12"/>
      <c r="IK302" s="12"/>
      <c r="IL302" s="12"/>
      <c r="IM302" s="12"/>
      <c r="IN302" s="12"/>
      <c r="IO302" s="12"/>
      <c r="IP302" s="12"/>
      <c r="IQ302" s="12"/>
      <c r="IR302" s="12"/>
      <c r="IS302" s="12"/>
      <c r="IT302" s="12"/>
      <c r="IU302" s="12"/>
      <c r="IV302" s="12"/>
      <c r="IW302" s="12"/>
    </row>
    <row r="303" customFormat="false" ht="11.25" hidden="false" customHeight="false" outlineLevel="0" collapsed="false">
      <c r="A303" s="25" t="n">
        <f aca="false">DATE(YEAR(A302),MONTH(A302)+1,1)</f>
        <v>54940</v>
      </c>
      <c r="B303" s="21" t="n">
        <v>4.245</v>
      </c>
      <c r="C303" s="21" t="n">
        <v>4.345</v>
      </c>
      <c r="D303" s="11"/>
      <c r="E303" s="5"/>
      <c r="F303" s="5"/>
      <c r="G303" s="6"/>
      <c r="H303" s="22" t="n">
        <f aca="false">A303</f>
        <v>54940</v>
      </c>
      <c r="I303" s="23" t="n">
        <f aca="false">IF($J$1="bid",B303,C303)</f>
        <v>4.345</v>
      </c>
      <c r="J303" s="25"/>
      <c r="K303" s="32"/>
      <c r="L303" s="11"/>
      <c r="M303" s="11"/>
      <c r="N303" s="11"/>
      <c r="O303" s="11"/>
      <c r="P303" s="11"/>
      <c r="Q303" s="11"/>
      <c r="R303" s="11"/>
      <c r="S303" s="11"/>
      <c r="T303" s="11"/>
      <c r="U303" s="11"/>
      <c r="V303" s="11"/>
      <c r="W303" s="11"/>
      <c r="X303" s="11"/>
      <c r="Y303" s="11"/>
      <c r="Z303" s="11"/>
      <c r="AA303" s="11"/>
      <c r="AB303" s="11"/>
      <c r="AC303" s="11"/>
      <c r="AD303" s="11"/>
      <c r="AE303" s="11"/>
      <c r="AF303" s="11"/>
      <c r="AG303" s="11"/>
      <c r="AH303" s="11"/>
      <c r="AI303" s="11"/>
      <c r="AJ303" s="11"/>
      <c r="AK303" s="11"/>
      <c r="AL303" s="11"/>
      <c r="AM303" s="11"/>
      <c r="AN303" s="11"/>
      <c r="AO303" s="11"/>
      <c r="AP303" s="11"/>
      <c r="AQ303" s="11"/>
      <c r="AR303" s="5"/>
      <c r="AS303" s="12"/>
      <c r="AT303" s="12"/>
      <c r="AU303" s="12"/>
      <c r="AV303" s="12"/>
      <c r="AW303" s="12"/>
      <c r="AX303" s="12"/>
      <c r="AY303" s="12"/>
      <c r="AZ303" s="12"/>
      <c r="BA303" s="12"/>
      <c r="BB303" s="12"/>
      <c r="BC303" s="12"/>
      <c r="BD303" s="12"/>
      <c r="BE303" s="12"/>
      <c r="BF303" s="12"/>
      <c r="BG303" s="12"/>
      <c r="BH303" s="12"/>
      <c r="BI303" s="12"/>
      <c r="BJ303" s="12"/>
      <c r="BK303" s="12"/>
      <c r="BL303" s="12"/>
      <c r="BM303" s="12"/>
      <c r="BN303" s="12"/>
      <c r="BO303" s="12"/>
      <c r="BP303" s="12"/>
      <c r="BQ303" s="12"/>
      <c r="BR303" s="12"/>
      <c r="BS303" s="12"/>
      <c r="BT303" s="12"/>
      <c r="BU303" s="12"/>
      <c r="BV303" s="12"/>
      <c r="BW303" s="12"/>
      <c r="BX303" s="12"/>
      <c r="BY303" s="12"/>
      <c r="BZ303" s="12"/>
      <c r="CA303" s="12"/>
      <c r="CB303" s="12"/>
      <c r="CC303" s="12"/>
      <c r="CD303" s="12"/>
      <c r="CE303" s="12"/>
      <c r="CF303" s="12"/>
      <c r="CG303" s="12"/>
      <c r="CH303" s="12"/>
      <c r="CI303" s="12"/>
      <c r="CJ303" s="12"/>
      <c r="CK303" s="12"/>
      <c r="CL303" s="12"/>
      <c r="CM303" s="12"/>
      <c r="CN303" s="12"/>
      <c r="CO303" s="12"/>
      <c r="CP303" s="12"/>
      <c r="CQ303" s="12"/>
      <c r="CR303" s="12"/>
      <c r="CS303" s="12"/>
      <c r="CT303" s="12"/>
      <c r="CU303" s="12"/>
      <c r="CV303" s="12"/>
      <c r="CW303" s="12"/>
      <c r="CX303" s="12"/>
      <c r="CY303" s="12"/>
      <c r="CZ303" s="12"/>
      <c r="DA303" s="12"/>
      <c r="DB303" s="12"/>
      <c r="DC303" s="12"/>
      <c r="DD303" s="12"/>
      <c r="DE303" s="12"/>
      <c r="DF303" s="12"/>
      <c r="DG303" s="12"/>
      <c r="DH303" s="12"/>
      <c r="DI303" s="12"/>
      <c r="DJ303" s="12"/>
      <c r="DK303" s="12"/>
      <c r="DL303" s="12"/>
      <c r="DM303" s="12"/>
      <c r="DN303" s="12"/>
      <c r="DO303" s="12"/>
      <c r="DP303" s="12"/>
      <c r="DQ303" s="12"/>
      <c r="DR303" s="12"/>
      <c r="DS303" s="12"/>
      <c r="DT303" s="12"/>
      <c r="DU303" s="12"/>
      <c r="DV303" s="12"/>
      <c r="DW303" s="12"/>
      <c r="DX303" s="12"/>
      <c r="DY303" s="12"/>
      <c r="DZ303" s="12"/>
      <c r="EA303" s="12"/>
      <c r="EB303" s="12"/>
      <c r="EC303" s="12"/>
      <c r="ED303" s="12"/>
      <c r="EE303" s="12"/>
      <c r="EF303" s="12"/>
      <c r="EG303" s="12"/>
      <c r="EH303" s="12"/>
      <c r="EI303" s="12"/>
      <c r="EJ303" s="12"/>
      <c r="EK303" s="12"/>
      <c r="EL303" s="12"/>
      <c r="EM303" s="12"/>
      <c r="EN303" s="12"/>
      <c r="EO303" s="12"/>
      <c r="EP303" s="12"/>
      <c r="EQ303" s="12"/>
      <c r="ER303" s="12"/>
      <c r="ES303" s="12"/>
      <c r="ET303" s="12"/>
      <c r="EU303" s="12"/>
      <c r="EV303" s="12"/>
      <c r="EW303" s="12"/>
      <c r="EX303" s="12"/>
      <c r="EY303" s="12"/>
      <c r="EZ303" s="12"/>
      <c r="FA303" s="12"/>
      <c r="FB303" s="12"/>
      <c r="FC303" s="12"/>
      <c r="FD303" s="12"/>
      <c r="FE303" s="12"/>
      <c r="FF303" s="12"/>
      <c r="FG303" s="12"/>
      <c r="FH303" s="12"/>
      <c r="FI303" s="12"/>
      <c r="FJ303" s="12"/>
      <c r="FK303" s="12"/>
      <c r="FL303" s="12"/>
      <c r="FM303" s="12"/>
      <c r="FN303" s="12"/>
      <c r="FO303" s="12"/>
      <c r="FP303" s="12"/>
      <c r="FQ303" s="12"/>
      <c r="FR303" s="12"/>
      <c r="FS303" s="12"/>
      <c r="FT303" s="12"/>
      <c r="FU303" s="12"/>
      <c r="FV303" s="12"/>
      <c r="FW303" s="12"/>
      <c r="FX303" s="12"/>
      <c r="FY303" s="12"/>
      <c r="FZ303" s="12"/>
      <c r="GA303" s="12"/>
      <c r="GB303" s="12"/>
      <c r="GC303" s="12"/>
      <c r="GD303" s="12"/>
      <c r="GE303" s="12"/>
      <c r="GF303" s="12"/>
      <c r="GG303" s="12"/>
      <c r="GH303" s="12"/>
      <c r="GI303" s="12"/>
      <c r="GJ303" s="12"/>
      <c r="GK303" s="12"/>
      <c r="GL303" s="12"/>
      <c r="GM303" s="12"/>
      <c r="GN303" s="12"/>
      <c r="GO303" s="12"/>
      <c r="GP303" s="12"/>
      <c r="GQ303" s="12"/>
      <c r="GR303" s="12"/>
      <c r="GS303" s="12"/>
      <c r="GT303" s="12"/>
      <c r="GU303" s="12"/>
      <c r="GV303" s="12"/>
      <c r="GW303" s="12"/>
      <c r="GX303" s="12"/>
      <c r="GY303" s="12"/>
      <c r="GZ303" s="12"/>
      <c r="HA303" s="12"/>
      <c r="HB303" s="12"/>
      <c r="HC303" s="12"/>
      <c r="HD303" s="12"/>
      <c r="HE303" s="12"/>
      <c r="HF303" s="12"/>
      <c r="HG303" s="12"/>
      <c r="HH303" s="12"/>
      <c r="HI303" s="12"/>
      <c r="HJ303" s="12"/>
      <c r="HK303" s="12"/>
      <c r="HL303" s="12"/>
      <c r="HM303" s="12"/>
      <c r="HN303" s="12"/>
      <c r="HO303" s="12"/>
      <c r="HP303" s="12"/>
      <c r="HQ303" s="12"/>
      <c r="HR303" s="12"/>
      <c r="HS303" s="12"/>
      <c r="HT303" s="12"/>
      <c r="HU303" s="12"/>
      <c r="HV303" s="12"/>
      <c r="HW303" s="12"/>
      <c r="HX303" s="12"/>
      <c r="HY303" s="12"/>
      <c r="HZ303" s="12"/>
      <c r="IA303" s="12"/>
      <c r="IB303" s="12"/>
      <c r="IC303" s="12"/>
      <c r="ID303" s="12"/>
      <c r="IE303" s="12"/>
      <c r="IF303" s="12"/>
      <c r="IG303" s="12"/>
      <c r="IH303" s="12"/>
      <c r="II303" s="12"/>
      <c r="IJ303" s="12"/>
      <c r="IK303" s="12"/>
      <c r="IL303" s="12"/>
      <c r="IM303" s="12"/>
      <c r="IN303" s="12"/>
      <c r="IO303" s="12"/>
      <c r="IP303" s="12"/>
      <c r="IQ303" s="12"/>
      <c r="IR303" s="12"/>
      <c r="IS303" s="12"/>
      <c r="IT303" s="12"/>
      <c r="IU303" s="12"/>
      <c r="IV303" s="12"/>
      <c r="IW303" s="12"/>
    </row>
    <row r="304" customFormat="false" ht="11.25" hidden="false" customHeight="false" outlineLevel="0" collapsed="false">
      <c r="A304" s="25" t="n">
        <f aca="false">DATE(YEAR(A303),MONTH(A303)+1,1)</f>
        <v>54970</v>
      </c>
      <c r="B304" s="21" t="n">
        <v>4.245</v>
      </c>
      <c r="C304" s="21" t="n">
        <v>4.345</v>
      </c>
      <c r="D304" s="11"/>
      <c r="E304" s="5"/>
      <c r="F304" s="5"/>
      <c r="G304" s="6"/>
      <c r="H304" s="22" t="n">
        <f aca="false">A304</f>
        <v>54970</v>
      </c>
      <c r="I304" s="23" t="n">
        <f aca="false">IF($J$1="bid",B304,C304)</f>
        <v>4.345</v>
      </c>
      <c r="J304" s="25"/>
      <c r="K304" s="32"/>
      <c r="L304" s="11"/>
      <c r="M304" s="11"/>
      <c r="N304" s="11"/>
      <c r="O304" s="11"/>
      <c r="P304" s="11"/>
      <c r="Q304" s="11"/>
      <c r="R304" s="11"/>
      <c r="S304" s="11"/>
      <c r="T304" s="11"/>
      <c r="U304" s="11"/>
      <c r="V304" s="11"/>
      <c r="W304" s="11"/>
      <c r="X304" s="11"/>
      <c r="Y304" s="11"/>
      <c r="Z304" s="11"/>
      <c r="AA304" s="11"/>
      <c r="AB304" s="11"/>
      <c r="AC304" s="11"/>
      <c r="AD304" s="11"/>
      <c r="AE304" s="11"/>
      <c r="AF304" s="11"/>
      <c r="AG304" s="11"/>
      <c r="AH304" s="11"/>
      <c r="AI304" s="11"/>
      <c r="AJ304" s="11"/>
      <c r="AK304" s="11"/>
      <c r="AL304" s="11"/>
      <c r="AM304" s="11"/>
      <c r="AN304" s="11"/>
      <c r="AO304" s="11"/>
      <c r="AP304" s="11"/>
      <c r="AQ304" s="11"/>
      <c r="AR304" s="5"/>
      <c r="AS304" s="12"/>
      <c r="AT304" s="12"/>
      <c r="AU304" s="12"/>
      <c r="AV304" s="12"/>
      <c r="AW304" s="12"/>
      <c r="AX304" s="12"/>
      <c r="AY304" s="12"/>
      <c r="AZ304" s="12"/>
      <c r="BA304" s="12"/>
      <c r="BB304" s="12"/>
      <c r="BC304" s="12"/>
      <c r="BD304" s="12"/>
      <c r="BE304" s="12"/>
      <c r="BF304" s="12"/>
      <c r="BG304" s="12"/>
      <c r="BH304" s="12"/>
      <c r="BI304" s="12"/>
      <c r="BJ304" s="12"/>
      <c r="BK304" s="12"/>
      <c r="BL304" s="12"/>
      <c r="BM304" s="12"/>
      <c r="BN304" s="12"/>
      <c r="BO304" s="12"/>
      <c r="BP304" s="12"/>
      <c r="BQ304" s="12"/>
      <c r="BR304" s="12"/>
      <c r="BS304" s="12"/>
      <c r="BT304" s="12"/>
      <c r="BU304" s="12"/>
      <c r="BV304" s="12"/>
      <c r="BW304" s="12"/>
      <c r="BX304" s="12"/>
      <c r="BY304" s="12"/>
      <c r="BZ304" s="12"/>
      <c r="CA304" s="12"/>
      <c r="CB304" s="12"/>
      <c r="CC304" s="12"/>
      <c r="CD304" s="12"/>
      <c r="CE304" s="12"/>
      <c r="CF304" s="12"/>
      <c r="CG304" s="12"/>
      <c r="CH304" s="12"/>
      <c r="CI304" s="12"/>
      <c r="CJ304" s="12"/>
      <c r="CK304" s="12"/>
      <c r="CL304" s="12"/>
      <c r="CM304" s="12"/>
      <c r="CN304" s="12"/>
      <c r="CO304" s="12"/>
      <c r="CP304" s="12"/>
      <c r="CQ304" s="12"/>
      <c r="CR304" s="12"/>
      <c r="CS304" s="12"/>
      <c r="CT304" s="12"/>
      <c r="CU304" s="12"/>
      <c r="CV304" s="12"/>
      <c r="CW304" s="12"/>
      <c r="CX304" s="12"/>
      <c r="CY304" s="12"/>
      <c r="CZ304" s="12"/>
      <c r="DA304" s="12"/>
      <c r="DB304" s="12"/>
      <c r="DC304" s="12"/>
      <c r="DD304" s="12"/>
      <c r="DE304" s="12"/>
      <c r="DF304" s="12"/>
      <c r="DG304" s="12"/>
      <c r="DH304" s="12"/>
      <c r="DI304" s="12"/>
      <c r="DJ304" s="12"/>
      <c r="DK304" s="12"/>
      <c r="DL304" s="12"/>
      <c r="DM304" s="12"/>
      <c r="DN304" s="12"/>
      <c r="DO304" s="12"/>
      <c r="DP304" s="12"/>
      <c r="DQ304" s="12"/>
      <c r="DR304" s="12"/>
      <c r="DS304" s="12"/>
      <c r="DT304" s="12"/>
      <c r="DU304" s="12"/>
      <c r="DV304" s="12"/>
      <c r="DW304" s="12"/>
      <c r="DX304" s="12"/>
      <c r="DY304" s="12"/>
      <c r="DZ304" s="12"/>
      <c r="EA304" s="12"/>
      <c r="EB304" s="12"/>
      <c r="EC304" s="12"/>
      <c r="ED304" s="12"/>
      <c r="EE304" s="12"/>
      <c r="EF304" s="12"/>
      <c r="EG304" s="12"/>
      <c r="EH304" s="12"/>
      <c r="EI304" s="12"/>
      <c r="EJ304" s="12"/>
      <c r="EK304" s="12"/>
      <c r="EL304" s="12"/>
      <c r="EM304" s="12"/>
      <c r="EN304" s="12"/>
      <c r="EO304" s="12"/>
      <c r="EP304" s="12"/>
      <c r="EQ304" s="12"/>
      <c r="ER304" s="12"/>
      <c r="ES304" s="12"/>
      <c r="ET304" s="12"/>
      <c r="EU304" s="12"/>
      <c r="EV304" s="12"/>
      <c r="EW304" s="12"/>
      <c r="EX304" s="12"/>
      <c r="EY304" s="12"/>
      <c r="EZ304" s="12"/>
      <c r="FA304" s="12"/>
      <c r="FB304" s="12"/>
      <c r="FC304" s="12"/>
      <c r="FD304" s="12"/>
      <c r="FE304" s="12"/>
      <c r="FF304" s="12"/>
      <c r="FG304" s="12"/>
      <c r="FH304" s="12"/>
      <c r="FI304" s="12"/>
      <c r="FJ304" s="12"/>
      <c r="FK304" s="12"/>
      <c r="FL304" s="12"/>
      <c r="FM304" s="12"/>
      <c r="FN304" s="12"/>
      <c r="FO304" s="12"/>
      <c r="FP304" s="12"/>
      <c r="FQ304" s="12"/>
      <c r="FR304" s="12"/>
      <c r="FS304" s="12"/>
      <c r="FT304" s="12"/>
      <c r="FU304" s="12"/>
      <c r="FV304" s="12"/>
      <c r="FW304" s="12"/>
      <c r="FX304" s="12"/>
      <c r="FY304" s="12"/>
      <c r="FZ304" s="12"/>
      <c r="GA304" s="12"/>
      <c r="GB304" s="12"/>
      <c r="GC304" s="12"/>
      <c r="GD304" s="12"/>
      <c r="GE304" s="12"/>
      <c r="GF304" s="12"/>
      <c r="GG304" s="12"/>
      <c r="GH304" s="12"/>
      <c r="GI304" s="12"/>
      <c r="GJ304" s="12"/>
      <c r="GK304" s="12"/>
      <c r="GL304" s="12"/>
      <c r="GM304" s="12"/>
      <c r="GN304" s="12"/>
      <c r="GO304" s="12"/>
      <c r="GP304" s="12"/>
      <c r="GQ304" s="12"/>
      <c r="GR304" s="12"/>
      <c r="GS304" s="12"/>
      <c r="GT304" s="12"/>
      <c r="GU304" s="12"/>
      <c r="GV304" s="12"/>
      <c r="GW304" s="12"/>
      <c r="GX304" s="12"/>
      <c r="GY304" s="12"/>
      <c r="GZ304" s="12"/>
      <c r="HA304" s="12"/>
      <c r="HB304" s="12"/>
      <c r="HC304" s="12"/>
      <c r="HD304" s="12"/>
      <c r="HE304" s="12"/>
      <c r="HF304" s="12"/>
      <c r="HG304" s="12"/>
      <c r="HH304" s="12"/>
      <c r="HI304" s="12"/>
      <c r="HJ304" s="12"/>
      <c r="HK304" s="12"/>
      <c r="HL304" s="12"/>
      <c r="HM304" s="12"/>
      <c r="HN304" s="12"/>
      <c r="HO304" s="12"/>
      <c r="HP304" s="12"/>
      <c r="HQ304" s="12"/>
      <c r="HR304" s="12"/>
      <c r="HS304" s="12"/>
      <c r="HT304" s="12"/>
      <c r="HU304" s="12"/>
      <c r="HV304" s="12"/>
      <c r="HW304" s="12"/>
      <c r="HX304" s="12"/>
      <c r="HY304" s="12"/>
      <c r="HZ304" s="12"/>
      <c r="IA304" s="12"/>
      <c r="IB304" s="12"/>
      <c r="IC304" s="12"/>
      <c r="ID304" s="12"/>
      <c r="IE304" s="12"/>
      <c r="IF304" s="12"/>
      <c r="IG304" s="12"/>
      <c r="IH304" s="12"/>
      <c r="II304" s="12"/>
      <c r="IJ304" s="12"/>
      <c r="IK304" s="12"/>
      <c r="IL304" s="12"/>
      <c r="IM304" s="12"/>
      <c r="IN304" s="12"/>
      <c r="IO304" s="12"/>
      <c r="IP304" s="12"/>
      <c r="IQ304" s="12"/>
      <c r="IR304" s="12"/>
      <c r="IS304" s="12"/>
      <c r="IT304" s="12"/>
      <c r="IU304" s="12"/>
      <c r="IV304" s="12"/>
      <c r="IW304" s="12"/>
    </row>
    <row r="305" customFormat="false" ht="11.25" hidden="false" customHeight="false" outlineLevel="0" collapsed="false">
      <c r="A305" s="25" t="n">
        <f aca="false">DATE(YEAR(A304),MONTH(A304)+1,1)</f>
        <v>55001</v>
      </c>
      <c r="B305" s="21" t="n">
        <v>4.245</v>
      </c>
      <c r="C305" s="21" t="n">
        <v>4.345</v>
      </c>
      <c r="D305" s="11"/>
      <c r="E305" s="5"/>
      <c r="F305" s="5"/>
      <c r="G305" s="6"/>
      <c r="H305" s="22" t="n">
        <f aca="false">A305</f>
        <v>55001</v>
      </c>
      <c r="I305" s="23" t="n">
        <f aca="false">IF($J$1="bid",B305,C305)</f>
        <v>4.345</v>
      </c>
      <c r="J305" s="25"/>
      <c r="K305" s="32"/>
      <c r="L305" s="11"/>
      <c r="M305" s="11"/>
      <c r="N305" s="11"/>
      <c r="O305" s="11"/>
      <c r="P305" s="11"/>
      <c r="Q305" s="11"/>
      <c r="R305" s="11"/>
      <c r="S305" s="11"/>
      <c r="T305" s="11"/>
      <c r="U305" s="11"/>
      <c r="V305" s="11"/>
      <c r="W305" s="11"/>
      <c r="X305" s="11"/>
      <c r="Y305" s="11"/>
      <c r="Z305" s="11"/>
      <c r="AA305" s="11"/>
      <c r="AB305" s="11"/>
      <c r="AC305" s="11"/>
      <c r="AD305" s="11"/>
      <c r="AE305" s="11"/>
      <c r="AF305" s="11"/>
      <c r="AG305" s="11"/>
      <c r="AH305" s="11"/>
      <c r="AI305" s="11"/>
      <c r="AJ305" s="11"/>
      <c r="AK305" s="11"/>
      <c r="AL305" s="11"/>
      <c r="AM305" s="11"/>
      <c r="AN305" s="11"/>
      <c r="AO305" s="11"/>
      <c r="AP305" s="11"/>
      <c r="AQ305" s="11"/>
      <c r="AR305" s="5"/>
      <c r="AS305" s="12"/>
      <c r="AT305" s="12"/>
      <c r="AU305" s="12"/>
      <c r="AV305" s="12"/>
      <c r="AW305" s="12"/>
      <c r="AX305" s="12"/>
      <c r="AY305" s="12"/>
      <c r="AZ305" s="12"/>
      <c r="BA305" s="12"/>
      <c r="BB305" s="12"/>
      <c r="BC305" s="12"/>
      <c r="BD305" s="12"/>
      <c r="BE305" s="12"/>
      <c r="BF305" s="12"/>
      <c r="BG305" s="12"/>
      <c r="BH305" s="12"/>
      <c r="BI305" s="12"/>
      <c r="BJ305" s="12"/>
      <c r="BK305" s="12"/>
      <c r="BL305" s="12"/>
      <c r="BM305" s="12"/>
      <c r="BN305" s="12"/>
      <c r="BO305" s="12"/>
      <c r="BP305" s="12"/>
      <c r="BQ305" s="12"/>
      <c r="BR305" s="12"/>
      <c r="BS305" s="12"/>
      <c r="BT305" s="12"/>
      <c r="BU305" s="12"/>
      <c r="BV305" s="12"/>
      <c r="BW305" s="12"/>
      <c r="BX305" s="12"/>
      <c r="BY305" s="12"/>
      <c r="BZ305" s="12"/>
      <c r="CA305" s="12"/>
      <c r="CB305" s="12"/>
      <c r="CC305" s="12"/>
      <c r="CD305" s="12"/>
      <c r="CE305" s="12"/>
      <c r="CF305" s="12"/>
      <c r="CG305" s="12"/>
      <c r="CH305" s="12"/>
      <c r="CI305" s="12"/>
      <c r="CJ305" s="12"/>
      <c r="CK305" s="12"/>
      <c r="CL305" s="12"/>
      <c r="CM305" s="12"/>
      <c r="CN305" s="12"/>
      <c r="CO305" s="12"/>
      <c r="CP305" s="12"/>
      <c r="CQ305" s="12"/>
      <c r="CR305" s="12"/>
      <c r="CS305" s="12"/>
      <c r="CT305" s="12"/>
      <c r="CU305" s="12"/>
      <c r="CV305" s="12"/>
      <c r="CW305" s="12"/>
      <c r="CX305" s="12"/>
      <c r="CY305" s="12"/>
      <c r="CZ305" s="12"/>
      <c r="DA305" s="12"/>
      <c r="DB305" s="12"/>
      <c r="DC305" s="12"/>
      <c r="DD305" s="12"/>
      <c r="DE305" s="12"/>
      <c r="DF305" s="12"/>
      <c r="DG305" s="12"/>
      <c r="DH305" s="12"/>
      <c r="DI305" s="12"/>
      <c r="DJ305" s="12"/>
      <c r="DK305" s="12"/>
      <c r="DL305" s="12"/>
      <c r="DM305" s="12"/>
      <c r="DN305" s="12"/>
      <c r="DO305" s="12"/>
      <c r="DP305" s="12"/>
      <c r="DQ305" s="12"/>
      <c r="DR305" s="12"/>
      <c r="DS305" s="12"/>
      <c r="DT305" s="12"/>
      <c r="DU305" s="12"/>
      <c r="DV305" s="12"/>
      <c r="DW305" s="12"/>
      <c r="DX305" s="12"/>
      <c r="DY305" s="12"/>
      <c r="DZ305" s="12"/>
      <c r="EA305" s="12"/>
      <c r="EB305" s="12"/>
      <c r="EC305" s="12"/>
      <c r="ED305" s="12"/>
      <c r="EE305" s="12"/>
      <c r="EF305" s="12"/>
      <c r="EG305" s="12"/>
      <c r="EH305" s="12"/>
      <c r="EI305" s="12"/>
      <c r="EJ305" s="12"/>
      <c r="EK305" s="12"/>
      <c r="EL305" s="12"/>
      <c r="EM305" s="12"/>
      <c r="EN305" s="12"/>
      <c r="EO305" s="12"/>
      <c r="EP305" s="12"/>
      <c r="EQ305" s="12"/>
      <c r="ER305" s="12"/>
      <c r="ES305" s="12"/>
      <c r="ET305" s="12"/>
      <c r="EU305" s="12"/>
      <c r="EV305" s="12"/>
      <c r="EW305" s="12"/>
      <c r="EX305" s="12"/>
      <c r="EY305" s="12"/>
      <c r="EZ305" s="12"/>
      <c r="FA305" s="12"/>
      <c r="FB305" s="12"/>
      <c r="FC305" s="12"/>
      <c r="FD305" s="12"/>
      <c r="FE305" s="12"/>
      <c r="FF305" s="12"/>
      <c r="FG305" s="12"/>
      <c r="FH305" s="12"/>
      <c r="FI305" s="12"/>
      <c r="FJ305" s="12"/>
      <c r="FK305" s="12"/>
      <c r="FL305" s="12"/>
      <c r="FM305" s="12"/>
      <c r="FN305" s="12"/>
      <c r="FO305" s="12"/>
      <c r="FP305" s="12"/>
      <c r="FQ305" s="12"/>
      <c r="FR305" s="12"/>
      <c r="FS305" s="12"/>
      <c r="FT305" s="12"/>
      <c r="FU305" s="12"/>
      <c r="FV305" s="12"/>
      <c r="FW305" s="12"/>
      <c r="FX305" s="12"/>
      <c r="FY305" s="12"/>
      <c r="FZ305" s="12"/>
      <c r="GA305" s="12"/>
      <c r="GB305" s="12"/>
      <c r="GC305" s="12"/>
      <c r="GD305" s="12"/>
      <c r="GE305" s="12"/>
      <c r="GF305" s="12"/>
      <c r="GG305" s="12"/>
      <c r="GH305" s="12"/>
      <c r="GI305" s="12"/>
      <c r="GJ305" s="12"/>
      <c r="GK305" s="12"/>
      <c r="GL305" s="12"/>
      <c r="GM305" s="12"/>
      <c r="GN305" s="12"/>
      <c r="GO305" s="12"/>
      <c r="GP305" s="12"/>
      <c r="GQ305" s="12"/>
      <c r="GR305" s="12"/>
      <c r="GS305" s="12"/>
      <c r="GT305" s="12"/>
      <c r="GU305" s="12"/>
      <c r="GV305" s="12"/>
      <c r="GW305" s="12"/>
      <c r="GX305" s="12"/>
      <c r="GY305" s="12"/>
      <c r="GZ305" s="12"/>
      <c r="HA305" s="12"/>
      <c r="HB305" s="12"/>
      <c r="HC305" s="12"/>
      <c r="HD305" s="12"/>
      <c r="HE305" s="12"/>
      <c r="HF305" s="12"/>
      <c r="HG305" s="12"/>
      <c r="HH305" s="12"/>
      <c r="HI305" s="12"/>
      <c r="HJ305" s="12"/>
      <c r="HK305" s="12"/>
      <c r="HL305" s="12"/>
      <c r="HM305" s="12"/>
      <c r="HN305" s="12"/>
      <c r="HO305" s="12"/>
      <c r="HP305" s="12"/>
      <c r="HQ305" s="12"/>
      <c r="HR305" s="12"/>
      <c r="HS305" s="12"/>
      <c r="HT305" s="12"/>
      <c r="HU305" s="12"/>
      <c r="HV305" s="12"/>
      <c r="HW305" s="12"/>
      <c r="HX305" s="12"/>
      <c r="HY305" s="12"/>
      <c r="HZ305" s="12"/>
      <c r="IA305" s="12"/>
      <c r="IB305" s="12"/>
      <c r="IC305" s="12"/>
      <c r="ID305" s="12"/>
      <c r="IE305" s="12"/>
      <c r="IF305" s="12"/>
      <c r="IG305" s="12"/>
      <c r="IH305" s="12"/>
      <c r="II305" s="12"/>
      <c r="IJ305" s="12"/>
      <c r="IK305" s="12"/>
      <c r="IL305" s="12"/>
      <c r="IM305" s="12"/>
      <c r="IN305" s="12"/>
      <c r="IO305" s="12"/>
      <c r="IP305" s="12"/>
      <c r="IQ305" s="12"/>
      <c r="IR305" s="12"/>
      <c r="IS305" s="12"/>
      <c r="IT305" s="12"/>
      <c r="IU305" s="12"/>
      <c r="IV305" s="12"/>
      <c r="IW305" s="12"/>
    </row>
    <row r="306" customFormat="false" ht="11.25" hidden="false" customHeight="false" outlineLevel="0" collapsed="false">
      <c r="A306" s="25" t="n">
        <f aca="false">DATE(YEAR(A305),MONTH(A305)+1,1)</f>
        <v>55032</v>
      </c>
      <c r="B306" s="21" t="n">
        <v>4.319</v>
      </c>
      <c r="C306" s="21" t="n">
        <v>4.419</v>
      </c>
      <c r="D306" s="11"/>
      <c r="E306" s="5"/>
      <c r="F306" s="5"/>
      <c r="G306" s="6"/>
      <c r="H306" s="22" t="n">
        <f aca="false">A306</f>
        <v>55032</v>
      </c>
      <c r="I306" s="23" t="n">
        <f aca="false">IF($J$1="bid",B306,C306)</f>
        <v>4.419</v>
      </c>
      <c r="J306" s="25"/>
      <c r="K306" s="32"/>
      <c r="L306" s="11"/>
      <c r="M306" s="11"/>
      <c r="N306" s="11"/>
      <c r="O306" s="11"/>
      <c r="P306" s="11"/>
      <c r="Q306" s="11"/>
      <c r="R306" s="11"/>
      <c r="S306" s="11"/>
      <c r="T306" s="11"/>
      <c r="U306" s="11"/>
      <c r="V306" s="11"/>
      <c r="W306" s="11"/>
      <c r="X306" s="11"/>
      <c r="Y306" s="11"/>
      <c r="Z306" s="11"/>
      <c r="AA306" s="11"/>
      <c r="AB306" s="11"/>
      <c r="AC306" s="11"/>
      <c r="AD306" s="11"/>
      <c r="AE306" s="11"/>
      <c r="AF306" s="11"/>
      <c r="AG306" s="11"/>
      <c r="AH306" s="11"/>
      <c r="AI306" s="11"/>
      <c r="AJ306" s="11"/>
      <c r="AK306" s="11"/>
      <c r="AL306" s="11"/>
      <c r="AM306" s="11"/>
      <c r="AN306" s="11"/>
      <c r="AO306" s="11"/>
      <c r="AP306" s="11"/>
      <c r="AQ306" s="11"/>
      <c r="AR306" s="5"/>
      <c r="AS306" s="12"/>
      <c r="AT306" s="12"/>
      <c r="AU306" s="12"/>
      <c r="AV306" s="12"/>
      <c r="AW306" s="12"/>
      <c r="AX306" s="12"/>
      <c r="AY306" s="12"/>
      <c r="AZ306" s="12"/>
      <c r="BA306" s="12"/>
      <c r="BB306" s="12"/>
      <c r="BC306" s="12"/>
      <c r="BD306" s="12"/>
      <c r="BE306" s="12"/>
      <c r="BF306" s="12"/>
      <c r="BG306" s="12"/>
      <c r="BH306" s="12"/>
      <c r="BI306" s="12"/>
      <c r="BJ306" s="12"/>
      <c r="BK306" s="12"/>
      <c r="BL306" s="12"/>
      <c r="BM306" s="12"/>
      <c r="BN306" s="12"/>
      <c r="BO306" s="12"/>
      <c r="BP306" s="12"/>
      <c r="BQ306" s="12"/>
      <c r="BR306" s="12"/>
      <c r="BS306" s="12"/>
      <c r="BT306" s="12"/>
      <c r="BU306" s="12"/>
      <c r="BV306" s="12"/>
      <c r="BW306" s="12"/>
      <c r="BX306" s="12"/>
      <c r="BY306" s="12"/>
      <c r="BZ306" s="12"/>
      <c r="CA306" s="12"/>
      <c r="CB306" s="12"/>
      <c r="CC306" s="12"/>
      <c r="CD306" s="12"/>
      <c r="CE306" s="12"/>
      <c r="CF306" s="12"/>
      <c r="CG306" s="12"/>
      <c r="CH306" s="12"/>
      <c r="CI306" s="12"/>
      <c r="CJ306" s="12"/>
      <c r="CK306" s="12"/>
      <c r="CL306" s="12"/>
      <c r="CM306" s="12"/>
      <c r="CN306" s="12"/>
      <c r="CO306" s="12"/>
      <c r="CP306" s="12"/>
      <c r="CQ306" s="12"/>
      <c r="CR306" s="12"/>
      <c r="CS306" s="12"/>
      <c r="CT306" s="12"/>
      <c r="CU306" s="12"/>
      <c r="CV306" s="12"/>
      <c r="CW306" s="12"/>
      <c r="CX306" s="12"/>
      <c r="CY306" s="12"/>
      <c r="CZ306" s="12"/>
      <c r="DA306" s="12"/>
      <c r="DB306" s="12"/>
      <c r="DC306" s="12"/>
      <c r="DD306" s="12"/>
      <c r="DE306" s="12"/>
      <c r="DF306" s="12"/>
      <c r="DG306" s="12"/>
      <c r="DH306" s="12"/>
      <c r="DI306" s="12"/>
      <c r="DJ306" s="12"/>
      <c r="DK306" s="12"/>
      <c r="DL306" s="12"/>
      <c r="DM306" s="12"/>
      <c r="DN306" s="12"/>
      <c r="DO306" s="12"/>
      <c r="DP306" s="12"/>
      <c r="DQ306" s="12"/>
      <c r="DR306" s="12"/>
      <c r="DS306" s="12"/>
      <c r="DT306" s="12"/>
      <c r="DU306" s="12"/>
      <c r="DV306" s="12"/>
      <c r="DW306" s="12"/>
      <c r="DX306" s="12"/>
      <c r="DY306" s="12"/>
      <c r="DZ306" s="12"/>
      <c r="EA306" s="12"/>
      <c r="EB306" s="12"/>
      <c r="EC306" s="12"/>
      <c r="ED306" s="12"/>
      <c r="EE306" s="12"/>
      <c r="EF306" s="12"/>
      <c r="EG306" s="12"/>
      <c r="EH306" s="12"/>
      <c r="EI306" s="12"/>
      <c r="EJ306" s="12"/>
      <c r="EK306" s="12"/>
      <c r="EL306" s="12"/>
      <c r="EM306" s="12"/>
      <c r="EN306" s="12"/>
      <c r="EO306" s="12"/>
      <c r="EP306" s="12"/>
      <c r="EQ306" s="12"/>
      <c r="ER306" s="12"/>
      <c r="ES306" s="12"/>
      <c r="ET306" s="12"/>
      <c r="EU306" s="12"/>
      <c r="EV306" s="12"/>
      <c r="EW306" s="12"/>
      <c r="EX306" s="12"/>
      <c r="EY306" s="12"/>
      <c r="EZ306" s="12"/>
      <c r="FA306" s="12"/>
      <c r="FB306" s="12"/>
      <c r="FC306" s="12"/>
      <c r="FD306" s="12"/>
      <c r="FE306" s="12"/>
      <c r="FF306" s="12"/>
      <c r="FG306" s="12"/>
      <c r="FH306" s="12"/>
      <c r="FI306" s="12"/>
      <c r="FJ306" s="12"/>
      <c r="FK306" s="12"/>
      <c r="FL306" s="12"/>
      <c r="FM306" s="12"/>
      <c r="FN306" s="12"/>
      <c r="FO306" s="12"/>
      <c r="FP306" s="12"/>
      <c r="FQ306" s="12"/>
      <c r="FR306" s="12"/>
      <c r="FS306" s="12"/>
      <c r="FT306" s="12"/>
      <c r="FU306" s="12"/>
      <c r="FV306" s="12"/>
      <c r="FW306" s="12"/>
      <c r="FX306" s="12"/>
      <c r="FY306" s="12"/>
      <c r="FZ306" s="12"/>
      <c r="GA306" s="12"/>
      <c r="GB306" s="12"/>
      <c r="GC306" s="12"/>
      <c r="GD306" s="12"/>
      <c r="GE306" s="12"/>
      <c r="GF306" s="12"/>
      <c r="GG306" s="12"/>
      <c r="GH306" s="12"/>
      <c r="GI306" s="12"/>
      <c r="GJ306" s="12"/>
      <c r="GK306" s="12"/>
      <c r="GL306" s="12"/>
      <c r="GM306" s="12"/>
      <c r="GN306" s="12"/>
      <c r="GO306" s="12"/>
      <c r="GP306" s="12"/>
      <c r="GQ306" s="12"/>
      <c r="GR306" s="12"/>
      <c r="GS306" s="12"/>
      <c r="GT306" s="12"/>
      <c r="GU306" s="12"/>
      <c r="GV306" s="12"/>
      <c r="GW306" s="12"/>
      <c r="GX306" s="12"/>
      <c r="GY306" s="12"/>
      <c r="GZ306" s="12"/>
      <c r="HA306" s="12"/>
      <c r="HB306" s="12"/>
      <c r="HC306" s="12"/>
      <c r="HD306" s="12"/>
      <c r="HE306" s="12"/>
      <c r="HF306" s="12"/>
      <c r="HG306" s="12"/>
      <c r="HH306" s="12"/>
      <c r="HI306" s="12"/>
      <c r="HJ306" s="12"/>
      <c r="HK306" s="12"/>
      <c r="HL306" s="12"/>
      <c r="HM306" s="12"/>
      <c r="HN306" s="12"/>
      <c r="HO306" s="12"/>
      <c r="HP306" s="12"/>
      <c r="HQ306" s="12"/>
      <c r="HR306" s="12"/>
      <c r="HS306" s="12"/>
      <c r="HT306" s="12"/>
      <c r="HU306" s="12"/>
      <c r="HV306" s="12"/>
      <c r="HW306" s="12"/>
      <c r="HX306" s="12"/>
      <c r="HY306" s="12"/>
      <c r="HZ306" s="12"/>
      <c r="IA306" s="12"/>
      <c r="IB306" s="12"/>
      <c r="IC306" s="12"/>
      <c r="ID306" s="12"/>
      <c r="IE306" s="12"/>
      <c r="IF306" s="12"/>
      <c r="IG306" s="12"/>
      <c r="IH306" s="12"/>
      <c r="II306" s="12"/>
      <c r="IJ306" s="12"/>
      <c r="IK306" s="12"/>
      <c r="IL306" s="12"/>
      <c r="IM306" s="12"/>
      <c r="IN306" s="12"/>
      <c r="IO306" s="12"/>
      <c r="IP306" s="12"/>
      <c r="IQ306" s="12"/>
      <c r="IR306" s="12"/>
      <c r="IS306" s="12"/>
      <c r="IT306" s="12"/>
      <c r="IU306" s="12"/>
      <c r="IV306" s="12"/>
      <c r="IW306" s="12"/>
    </row>
    <row r="307" customFormat="false" ht="11.25" hidden="false" customHeight="false" outlineLevel="0" collapsed="false">
      <c r="A307" s="25" t="n">
        <f aca="false">DATE(YEAR(A306),MONTH(A306)+1,1)</f>
        <v>55062</v>
      </c>
      <c r="B307" s="21" t="n">
        <v>4.437</v>
      </c>
      <c r="C307" s="21" t="n">
        <v>4.537</v>
      </c>
      <c r="D307" s="25"/>
      <c r="E307" s="5"/>
      <c r="F307" s="5"/>
      <c r="G307" s="6"/>
      <c r="H307" s="22" t="n">
        <f aca="false">A307</f>
        <v>55062</v>
      </c>
      <c r="I307" s="23" t="n">
        <f aca="false">IF($J$1="bid",B307,C307)</f>
        <v>4.537</v>
      </c>
      <c r="J307" s="25"/>
      <c r="K307" s="32"/>
      <c r="L307" s="11"/>
      <c r="M307" s="11"/>
      <c r="N307" s="11"/>
      <c r="O307" s="11"/>
      <c r="P307" s="11"/>
      <c r="Q307" s="11"/>
      <c r="R307" s="11"/>
      <c r="S307" s="11"/>
      <c r="T307" s="11"/>
      <c r="U307" s="11"/>
      <c r="V307" s="11"/>
      <c r="W307" s="11"/>
      <c r="X307" s="11"/>
      <c r="Y307" s="11"/>
      <c r="Z307" s="11"/>
      <c r="AA307" s="11"/>
      <c r="AB307" s="11"/>
      <c r="AC307" s="11"/>
      <c r="AD307" s="11"/>
      <c r="AE307" s="11"/>
      <c r="AF307" s="11"/>
      <c r="AG307" s="11"/>
      <c r="AH307" s="11"/>
      <c r="AI307" s="11"/>
      <c r="AJ307" s="11"/>
      <c r="AK307" s="11"/>
      <c r="AL307" s="11"/>
      <c r="AM307" s="11"/>
      <c r="AN307" s="11"/>
      <c r="AO307" s="11"/>
      <c r="AP307" s="11"/>
      <c r="AQ307" s="11"/>
      <c r="AR307" s="5"/>
      <c r="AS307" s="12"/>
      <c r="AT307" s="12"/>
      <c r="AU307" s="12"/>
      <c r="AV307" s="12"/>
      <c r="AW307" s="12"/>
      <c r="AX307" s="12"/>
      <c r="AY307" s="12"/>
      <c r="AZ307" s="12"/>
      <c r="BA307" s="12"/>
      <c r="BB307" s="12"/>
      <c r="BC307" s="12"/>
      <c r="BD307" s="12"/>
      <c r="BE307" s="12"/>
      <c r="BF307" s="12"/>
      <c r="BG307" s="12"/>
      <c r="BH307" s="12"/>
      <c r="BI307" s="12"/>
      <c r="BJ307" s="12"/>
      <c r="BK307" s="12"/>
      <c r="BL307" s="12"/>
      <c r="BM307" s="12"/>
      <c r="BN307" s="12"/>
      <c r="BO307" s="12"/>
      <c r="BP307" s="12"/>
      <c r="BQ307" s="12"/>
      <c r="BR307" s="12"/>
      <c r="BS307" s="12"/>
      <c r="BT307" s="12"/>
      <c r="BU307" s="12"/>
      <c r="BV307" s="12"/>
      <c r="BW307" s="12"/>
      <c r="BX307" s="12"/>
      <c r="BY307" s="12"/>
      <c r="BZ307" s="12"/>
      <c r="CA307" s="12"/>
      <c r="CB307" s="12"/>
      <c r="CC307" s="12"/>
      <c r="CD307" s="12"/>
      <c r="CE307" s="12"/>
      <c r="CF307" s="12"/>
      <c r="CG307" s="12"/>
      <c r="CH307" s="12"/>
      <c r="CI307" s="12"/>
      <c r="CJ307" s="12"/>
      <c r="CK307" s="12"/>
      <c r="CL307" s="12"/>
      <c r="CM307" s="12"/>
      <c r="CN307" s="12"/>
      <c r="CO307" s="12"/>
      <c r="CP307" s="12"/>
      <c r="CQ307" s="12"/>
      <c r="CR307" s="12"/>
      <c r="CS307" s="12"/>
      <c r="CT307" s="12"/>
      <c r="CU307" s="12"/>
      <c r="CV307" s="12"/>
      <c r="CW307" s="12"/>
      <c r="CX307" s="12"/>
      <c r="CY307" s="12"/>
      <c r="CZ307" s="12"/>
      <c r="DA307" s="12"/>
      <c r="DB307" s="12"/>
      <c r="DC307" s="12"/>
      <c r="DD307" s="12"/>
      <c r="DE307" s="12"/>
      <c r="DF307" s="12"/>
      <c r="DG307" s="12"/>
      <c r="DH307" s="12"/>
      <c r="DI307" s="12"/>
      <c r="DJ307" s="12"/>
      <c r="DK307" s="12"/>
      <c r="DL307" s="12"/>
      <c r="DM307" s="12"/>
      <c r="DN307" s="12"/>
      <c r="DO307" s="12"/>
      <c r="DP307" s="12"/>
      <c r="DQ307" s="12"/>
      <c r="DR307" s="12"/>
      <c r="DS307" s="12"/>
      <c r="DT307" s="12"/>
      <c r="DU307" s="12"/>
      <c r="DV307" s="12"/>
      <c r="DW307" s="12"/>
      <c r="DX307" s="12"/>
      <c r="DY307" s="12"/>
      <c r="DZ307" s="12"/>
      <c r="EA307" s="12"/>
      <c r="EB307" s="12"/>
      <c r="EC307" s="12"/>
      <c r="ED307" s="12"/>
      <c r="EE307" s="12"/>
      <c r="EF307" s="12"/>
      <c r="EG307" s="12"/>
      <c r="EH307" s="12"/>
      <c r="EI307" s="12"/>
      <c r="EJ307" s="12"/>
      <c r="EK307" s="12"/>
      <c r="EL307" s="12"/>
      <c r="EM307" s="12"/>
      <c r="EN307" s="12"/>
      <c r="EO307" s="12"/>
      <c r="EP307" s="12"/>
      <c r="EQ307" s="12"/>
      <c r="ER307" s="12"/>
      <c r="ES307" s="12"/>
      <c r="ET307" s="12"/>
      <c r="EU307" s="12"/>
      <c r="EV307" s="12"/>
      <c r="EW307" s="12"/>
      <c r="EX307" s="12"/>
      <c r="EY307" s="12"/>
      <c r="EZ307" s="12"/>
      <c r="FA307" s="12"/>
      <c r="FB307" s="12"/>
      <c r="FC307" s="12"/>
      <c r="FD307" s="12"/>
      <c r="FE307" s="12"/>
      <c r="FF307" s="12"/>
      <c r="FG307" s="12"/>
      <c r="FH307" s="12"/>
      <c r="FI307" s="12"/>
      <c r="FJ307" s="12"/>
      <c r="FK307" s="12"/>
      <c r="FL307" s="12"/>
      <c r="FM307" s="12"/>
      <c r="FN307" s="12"/>
      <c r="FO307" s="12"/>
      <c r="FP307" s="12"/>
      <c r="FQ307" s="12"/>
      <c r="FR307" s="12"/>
      <c r="FS307" s="12"/>
      <c r="FT307" s="12"/>
      <c r="FU307" s="12"/>
      <c r="FV307" s="12"/>
      <c r="FW307" s="12"/>
      <c r="FX307" s="12"/>
      <c r="FY307" s="12"/>
      <c r="FZ307" s="12"/>
      <c r="GA307" s="12"/>
      <c r="GB307" s="12"/>
      <c r="GC307" s="12"/>
      <c r="GD307" s="12"/>
      <c r="GE307" s="12"/>
      <c r="GF307" s="12"/>
      <c r="GG307" s="12"/>
      <c r="GH307" s="12"/>
      <c r="GI307" s="12"/>
      <c r="GJ307" s="12"/>
      <c r="GK307" s="12"/>
      <c r="GL307" s="12"/>
      <c r="GM307" s="12"/>
      <c r="GN307" s="12"/>
      <c r="GO307" s="12"/>
      <c r="GP307" s="12"/>
      <c r="GQ307" s="12"/>
      <c r="GR307" s="12"/>
      <c r="GS307" s="12"/>
      <c r="GT307" s="12"/>
      <c r="GU307" s="12"/>
      <c r="GV307" s="12"/>
      <c r="GW307" s="12"/>
      <c r="GX307" s="12"/>
      <c r="GY307" s="12"/>
      <c r="GZ307" s="12"/>
      <c r="HA307" s="12"/>
      <c r="HB307" s="12"/>
      <c r="HC307" s="12"/>
      <c r="HD307" s="12"/>
      <c r="HE307" s="12"/>
      <c r="HF307" s="12"/>
      <c r="HG307" s="12"/>
      <c r="HH307" s="12"/>
      <c r="HI307" s="12"/>
      <c r="HJ307" s="12"/>
      <c r="HK307" s="12"/>
      <c r="HL307" s="12"/>
      <c r="HM307" s="12"/>
      <c r="HN307" s="12"/>
      <c r="HO307" s="12"/>
      <c r="HP307" s="12"/>
      <c r="HQ307" s="12"/>
      <c r="HR307" s="12"/>
      <c r="HS307" s="12"/>
      <c r="HT307" s="12"/>
      <c r="HU307" s="12"/>
      <c r="HV307" s="12"/>
      <c r="HW307" s="12"/>
      <c r="HX307" s="12"/>
      <c r="HY307" s="12"/>
      <c r="HZ307" s="12"/>
      <c r="IA307" s="12"/>
      <c r="IB307" s="12"/>
      <c r="IC307" s="12"/>
      <c r="ID307" s="12"/>
      <c r="IE307" s="12"/>
      <c r="IF307" s="12"/>
      <c r="IG307" s="12"/>
      <c r="IH307" s="12"/>
      <c r="II307" s="12"/>
      <c r="IJ307" s="12"/>
      <c r="IK307" s="12"/>
      <c r="IL307" s="12"/>
      <c r="IM307" s="12"/>
      <c r="IN307" s="12"/>
      <c r="IO307" s="12"/>
      <c r="IP307" s="12"/>
      <c r="IQ307" s="12"/>
      <c r="IR307" s="12"/>
      <c r="IS307" s="12"/>
      <c r="IT307" s="12"/>
      <c r="IU307" s="12"/>
      <c r="IV307" s="12"/>
      <c r="IW307" s="12"/>
    </row>
    <row r="308" customFormat="false" ht="11.25" hidden="false" customHeight="false" outlineLevel="0" collapsed="false">
      <c r="A308" s="25" t="n">
        <f aca="false">DATE(YEAR(A307),MONTH(A307)+1,1)</f>
        <v>55093</v>
      </c>
      <c r="B308" s="21" t="n">
        <v>4.628</v>
      </c>
      <c r="C308" s="21" t="n">
        <v>4.728</v>
      </c>
      <c r="D308" s="25"/>
      <c r="E308" s="5"/>
      <c r="F308" s="5"/>
      <c r="G308" s="6"/>
      <c r="H308" s="22" t="n">
        <f aca="false">A308</f>
        <v>55093</v>
      </c>
      <c r="I308" s="23" t="n">
        <f aca="false">IF($J$1="bid",B308,C308)</f>
        <v>4.728</v>
      </c>
      <c r="J308" s="25"/>
      <c r="K308" s="32"/>
      <c r="L308" s="11"/>
      <c r="M308" s="11"/>
      <c r="N308" s="11"/>
      <c r="O308" s="11"/>
      <c r="P308" s="11"/>
      <c r="Q308" s="11"/>
      <c r="R308" s="11"/>
      <c r="S308" s="11"/>
      <c r="T308" s="11"/>
      <c r="U308" s="11"/>
      <c r="V308" s="11"/>
      <c r="W308" s="11"/>
      <c r="X308" s="11"/>
      <c r="Y308" s="11"/>
      <c r="Z308" s="11"/>
      <c r="AA308" s="11"/>
      <c r="AB308" s="11"/>
      <c r="AC308" s="11"/>
      <c r="AD308" s="11"/>
      <c r="AE308" s="11"/>
      <c r="AF308" s="11"/>
      <c r="AG308" s="11"/>
      <c r="AH308" s="11"/>
      <c r="AI308" s="11"/>
      <c r="AJ308" s="11"/>
      <c r="AK308" s="11"/>
      <c r="AL308" s="11"/>
      <c r="AM308" s="11"/>
      <c r="AN308" s="11"/>
      <c r="AO308" s="11"/>
      <c r="AP308" s="11"/>
      <c r="AQ308" s="11"/>
      <c r="AR308" s="5"/>
      <c r="AS308" s="12"/>
      <c r="AT308" s="12"/>
      <c r="AU308" s="12"/>
      <c r="AV308" s="12"/>
      <c r="AW308" s="12"/>
      <c r="AX308" s="12"/>
      <c r="AY308" s="12"/>
      <c r="AZ308" s="12"/>
      <c r="BA308" s="12"/>
      <c r="BB308" s="12"/>
      <c r="BC308" s="12"/>
      <c r="BD308" s="12"/>
      <c r="BE308" s="12"/>
      <c r="BF308" s="12"/>
      <c r="BG308" s="12"/>
      <c r="BH308" s="12"/>
      <c r="BI308" s="12"/>
      <c r="BJ308" s="12"/>
      <c r="BK308" s="12"/>
      <c r="BL308" s="12"/>
      <c r="BM308" s="12"/>
      <c r="BN308" s="12"/>
      <c r="BO308" s="12"/>
      <c r="BP308" s="12"/>
      <c r="BQ308" s="12"/>
      <c r="BR308" s="12"/>
      <c r="BS308" s="12"/>
      <c r="BT308" s="12"/>
      <c r="BU308" s="12"/>
      <c r="BV308" s="12"/>
      <c r="BW308" s="12"/>
      <c r="BX308" s="12"/>
      <c r="BY308" s="12"/>
      <c r="BZ308" s="12"/>
      <c r="CA308" s="12"/>
      <c r="CB308" s="12"/>
      <c r="CC308" s="12"/>
      <c r="CD308" s="12"/>
      <c r="CE308" s="12"/>
      <c r="CF308" s="12"/>
      <c r="CG308" s="12"/>
      <c r="CH308" s="12"/>
      <c r="CI308" s="12"/>
      <c r="CJ308" s="12"/>
      <c r="CK308" s="12"/>
      <c r="CL308" s="12"/>
      <c r="CM308" s="12"/>
      <c r="CN308" s="12"/>
      <c r="CO308" s="12"/>
      <c r="CP308" s="12"/>
      <c r="CQ308" s="12"/>
      <c r="CR308" s="12"/>
      <c r="CS308" s="12"/>
      <c r="CT308" s="12"/>
      <c r="CU308" s="12"/>
      <c r="CV308" s="12"/>
      <c r="CW308" s="12"/>
      <c r="CX308" s="12"/>
      <c r="CY308" s="12"/>
      <c r="CZ308" s="12"/>
      <c r="DA308" s="12"/>
      <c r="DB308" s="12"/>
      <c r="DC308" s="12"/>
      <c r="DD308" s="12"/>
      <c r="DE308" s="12"/>
      <c r="DF308" s="12"/>
      <c r="DG308" s="12"/>
      <c r="DH308" s="12"/>
      <c r="DI308" s="12"/>
      <c r="DJ308" s="12"/>
      <c r="DK308" s="12"/>
      <c r="DL308" s="12"/>
      <c r="DM308" s="12"/>
      <c r="DN308" s="12"/>
      <c r="DO308" s="12"/>
      <c r="DP308" s="12"/>
      <c r="DQ308" s="12"/>
      <c r="DR308" s="12"/>
      <c r="DS308" s="12"/>
      <c r="DT308" s="12"/>
      <c r="DU308" s="12"/>
      <c r="DV308" s="12"/>
      <c r="DW308" s="12"/>
      <c r="DX308" s="12"/>
      <c r="DY308" s="12"/>
      <c r="DZ308" s="12"/>
      <c r="EA308" s="12"/>
      <c r="EB308" s="12"/>
      <c r="EC308" s="12"/>
      <c r="ED308" s="12"/>
      <c r="EE308" s="12"/>
      <c r="EF308" s="12"/>
      <c r="EG308" s="12"/>
      <c r="EH308" s="12"/>
      <c r="EI308" s="12"/>
      <c r="EJ308" s="12"/>
      <c r="EK308" s="12"/>
      <c r="EL308" s="12"/>
      <c r="EM308" s="12"/>
      <c r="EN308" s="12"/>
      <c r="EO308" s="12"/>
      <c r="EP308" s="12"/>
      <c r="EQ308" s="12"/>
      <c r="ER308" s="12"/>
      <c r="ES308" s="12"/>
      <c r="ET308" s="12"/>
      <c r="EU308" s="12"/>
      <c r="EV308" s="12"/>
      <c r="EW308" s="12"/>
      <c r="EX308" s="12"/>
      <c r="EY308" s="12"/>
      <c r="EZ308" s="12"/>
      <c r="FA308" s="12"/>
      <c r="FB308" s="12"/>
      <c r="FC308" s="12"/>
      <c r="FD308" s="12"/>
      <c r="FE308" s="12"/>
      <c r="FF308" s="12"/>
      <c r="FG308" s="12"/>
      <c r="FH308" s="12"/>
      <c r="FI308" s="12"/>
      <c r="FJ308" s="12"/>
      <c r="FK308" s="12"/>
      <c r="FL308" s="12"/>
      <c r="FM308" s="12"/>
      <c r="FN308" s="12"/>
      <c r="FO308" s="12"/>
      <c r="FP308" s="12"/>
      <c r="FQ308" s="12"/>
      <c r="FR308" s="12"/>
      <c r="FS308" s="12"/>
      <c r="FT308" s="12"/>
      <c r="FU308" s="12"/>
      <c r="FV308" s="12"/>
      <c r="FW308" s="12"/>
      <c r="FX308" s="12"/>
      <c r="FY308" s="12"/>
      <c r="FZ308" s="12"/>
      <c r="GA308" s="12"/>
      <c r="GB308" s="12"/>
      <c r="GC308" s="12"/>
      <c r="GD308" s="12"/>
      <c r="GE308" s="12"/>
      <c r="GF308" s="12"/>
      <c r="GG308" s="12"/>
      <c r="GH308" s="12"/>
      <c r="GI308" s="12"/>
      <c r="GJ308" s="12"/>
      <c r="GK308" s="12"/>
      <c r="GL308" s="12"/>
      <c r="GM308" s="12"/>
      <c r="GN308" s="12"/>
      <c r="GO308" s="12"/>
      <c r="GP308" s="12"/>
      <c r="GQ308" s="12"/>
      <c r="GR308" s="12"/>
      <c r="GS308" s="12"/>
      <c r="GT308" s="12"/>
      <c r="GU308" s="12"/>
      <c r="GV308" s="12"/>
      <c r="GW308" s="12"/>
      <c r="GX308" s="12"/>
      <c r="GY308" s="12"/>
      <c r="GZ308" s="12"/>
      <c r="HA308" s="12"/>
      <c r="HB308" s="12"/>
      <c r="HC308" s="12"/>
      <c r="HD308" s="12"/>
      <c r="HE308" s="12"/>
      <c r="HF308" s="12"/>
      <c r="HG308" s="12"/>
      <c r="HH308" s="12"/>
      <c r="HI308" s="12"/>
      <c r="HJ308" s="12"/>
      <c r="HK308" s="12"/>
      <c r="HL308" s="12"/>
      <c r="HM308" s="12"/>
      <c r="HN308" s="12"/>
      <c r="HO308" s="12"/>
      <c r="HP308" s="12"/>
      <c r="HQ308" s="12"/>
      <c r="HR308" s="12"/>
      <c r="HS308" s="12"/>
      <c r="HT308" s="12"/>
      <c r="HU308" s="12"/>
      <c r="HV308" s="12"/>
      <c r="HW308" s="12"/>
      <c r="HX308" s="12"/>
      <c r="HY308" s="12"/>
      <c r="HZ308" s="12"/>
      <c r="IA308" s="12"/>
      <c r="IB308" s="12"/>
      <c r="IC308" s="12"/>
      <c r="ID308" s="12"/>
      <c r="IE308" s="12"/>
      <c r="IF308" s="12"/>
      <c r="IG308" s="12"/>
      <c r="IH308" s="12"/>
      <c r="II308" s="12"/>
      <c r="IJ308" s="12"/>
      <c r="IK308" s="12"/>
      <c r="IL308" s="12"/>
      <c r="IM308" s="12"/>
      <c r="IN308" s="12"/>
      <c r="IO308" s="12"/>
      <c r="IP308" s="12"/>
      <c r="IQ308" s="12"/>
      <c r="IR308" s="12"/>
      <c r="IS308" s="12"/>
      <c r="IT308" s="12"/>
      <c r="IU308" s="12"/>
      <c r="IV308" s="12"/>
      <c r="IW308" s="12"/>
    </row>
    <row r="309" customFormat="false" ht="11.25" hidden="false" customHeight="false" outlineLevel="0" collapsed="false">
      <c r="A309" s="25" t="n">
        <f aca="false">DATE(YEAR(A308),MONTH(A308)+1,1)</f>
        <v>55123</v>
      </c>
      <c r="B309" s="21" t="n">
        <v>4.543</v>
      </c>
      <c r="C309" s="21" t="n">
        <v>4.643</v>
      </c>
      <c r="D309" s="25"/>
      <c r="E309" s="5"/>
      <c r="F309" s="5"/>
      <c r="G309" s="6"/>
      <c r="H309" s="22" t="n">
        <f aca="false">A309</f>
        <v>55123</v>
      </c>
      <c r="I309" s="23" t="n">
        <f aca="false">IF($J$1="bid",B309,C309)</f>
        <v>4.643</v>
      </c>
      <c r="J309" s="25"/>
      <c r="K309" s="32"/>
      <c r="L309" s="11"/>
      <c r="M309" s="11"/>
      <c r="N309" s="11"/>
      <c r="O309" s="11"/>
      <c r="P309" s="11"/>
      <c r="Q309" s="11"/>
      <c r="R309" s="11"/>
      <c r="S309" s="11"/>
      <c r="T309" s="11"/>
      <c r="U309" s="11"/>
      <c r="V309" s="11"/>
      <c r="W309" s="11"/>
      <c r="X309" s="11"/>
      <c r="Y309" s="11"/>
      <c r="Z309" s="11"/>
      <c r="AA309" s="11"/>
      <c r="AB309" s="11"/>
      <c r="AC309" s="11"/>
      <c r="AD309" s="11"/>
      <c r="AE309" s="11"/>
      <c r="AF309" s="11"/>
      <c r="AG309" s="11"/>
      <c r="AH309" s="11"/>
      <c r="AI309" s="11"/>
      <c r="AJ309" s="11"/>
      <c r="AK309" s="11"/>
      <c r="AL309" s="11"/>
      <c r="AM309" s="11"/>
      <c r="AN309" s="11"/>
      <c r="AO309" s="11"/>
      <c r="AP309" s="11"/>
      <c r="AQ309" s="11"/>
      <c r="AR309" s="5"/>
      <c r="AS309" s="12"/>
      <c r="AT309" s="12"/>
      <c r="AU309" s="12"/>
      <c r="AV309" s="12"/>
      <c r="AW309" s="12"/>
      <c r="AX309" s="12"/>
      <c r="AY309" s="12"/>
      <c r="AZ309" s="12"/>
      <c r="BA309" s="12"/>
      <c r="BB309" s="12"/>
      <c r="BC309" s="12"/>
      <c r="BD309" s="12"/>
      <c r="BE309" s="12"/>
      <c r="BF309" s="12"/>
      <c r="BG309" s="12"/>
      <c r="BH309" s="12"/>
      <c r="BI309" s="12"/>
      <c r="BJ309" s="12"/>
      <c r="BK309" s="12"/>
      <c r="BL309" s="12"/>
      <c r="BM309" s="12"/>
      <c r="BN309" s="12"/>
      <c r="BO309" s="12"/>
      <c r="BP309" s="12"/>
      <c r="BQ309" s="12"/>
      <c r="BR309" s="12"/>
      <c r="BS309" s="12"/>
      <c r="BT309" s="12"/>
      <c r="BU309" s="12"/>
      <c r="BV309" s="12"/>
      <c r="BW309" s="12"/>
      <c r="BX309" s="12"/>
      <c r="BY309" s="12"/>
      <c r="BZ309" s="12"/>
      <c r="CA309" s="12"/>
      <c r="CB309" s="12"/>
      <c r="CC309" s="12"/>
      <c r="CD309" s="12"/>
      <c r="CE309" s="12"/>
      <c r="CF309" s="12"/>
      <c r="CG309" s="12"/>
      <c r="CH309" s="12"/>
      <c r="CI309" s="12"/>
      <c r="CJ309" s="12"/>
      <c r="CK309" s="12"/>
      <c r="CL309" s="12"/>
      <c r="CM309" s="12"/>
      <c r="CN309" s="12"/>
      <c r="CO309" s="12"/>
      <c r="CP309" s="12"/>
      <c r="CQ309" s="12"/>
      <c r="CR309" s="12"/>
      <c r="CS309" s="12"/>
      <c r="CT309" s="12"/>
      <c r="CU309" s="12"/>
      <c r="CV309" s="12"/>
      <c r="CW309" s="12"/>
      <c r="CX309" s="12"/>
      <c r="CY309" s="12"/>
      <c r="CZ309" s="12"/>
      <c r="DA309" s="12"/>
      <c r="DB309" s="12"/>
      <c r="DC309" s="12"/>
      <c r="DD309" s="12"/>
      <c r="DE309" s="12"/>
      <c r="DF309" s="12"/>
      <c r="DG309" s="12"/>
      <c r="DH309" s="12"/>
      <c r="DI309" s="12"/>
      <c r="DJ309" s="12"/>
      <c r="DK309" s="12"/>
      <c r="DL309" s="12"/>
      <c r="DM309" s="12"/>
      <c r="DN309" s="12"/>
      <c r="DO309" s="12"/>
      <c r="DP309" s="12"/>
      <c r="DQ309" s="12"/>
      <c r="DR309" s="12"/>
      <c r="DS309" s="12"/>
      <c r="DT309" s="12"/>
      <c r="DU309" s="12"/>
      <c r="DV309" s="12"/>
      <c r="DW309" s="12"/>
      <c r="DX309" s="12"/>
      <c r="DY309" s="12"/>
      <c r="DZ309" s="12"/>
      <c r="EA309" s="12"/>
      <c r="EB309" s="12"/>
      <c r="EC309" s="12"/>
      <c r="ED309" s="12"/>
      <c r="EE309" s="12"/>
      <c r="EF309" s="12"/>
      <c r="EG309" s="12"/>
      <c r="EH309" s="12"/>
      <c r="EI309" s="12"/>
      <c r="EJ309" s="12"/>
      <c r="EK309" s="12"/>
      <c r="EL309" s="12"/>
      <c r="EM309" s="12"/>
      <c r="EN309" s="12"/>
      <c r="EO309" s="12"/>
      <c r="EP309" s="12"/>
      <c r="EQ309" s="12"/>
      <c r="ER309" s="12"/>
      <c r="ES309" s="12"/>
      <c r="ET309" s="12"/>
      <c r="EU309" s="12"/>
      <c r="EV309" s="12"/>
      <c r="EW309" s="12"/>
      <c r="EX309" s="12"/>
      <c r="EY309" s="12"/>
      <c r="EZ309" s="12"/>
      <c r="FA309" s="12"/>
      <c r="FB309" s="12"/>
      <c r="FC309" s="12"/>
      <c r="FD309" s="12"/>
      <c r="FE309" s="12"/>
      <c r="FF309" s="12"/>
      <c r="FG309" s="12"/>
      <c r="FH309" s="12"/>
      <c r="FI309" s="12"/>
      <c r="FJ309" s="12"/>
      <c r="FK309" s="12"/>
      <c r="FL309" s="12"/>
      <c r="FM309" s="12"/>
      <c r="FN309" s="12"/>
      <c r="FO309" s="12"/>
      <c r="FP309" s="12"/>
      <c r="FQ309" s="12"/>
      <c r="FR309" s="12"/>
      <c r="FS309" s="12"/>
      <c r="FT309" s="12"/>
      <c r="FU309" s="12"/>
      <c r="FV309" s="12"/>
      <c r="FW309" s="12"/>
      <c r="FX309" s="12"/>
      <c r="FY309" s="12"/>
      <c r="FZ309" s="12"/>
      <c r="GA309" s="12"/>
      <c r="GB309" s="12"/>
      <c r="GC309" s="12"/>
      <c r="GD309" s="12"/>
      <c r="GE309" s="12"/>
      <c r="GF309" s="12"/>
      <c r="GG309" s="12"/>
      <c r="GH309" s="12"/>
      <c r="GI309" s="12"/>
      <c r="GJ309" s="12"/>
      <c r="GK309" s="12"/>
      <c r="GL309" s="12"/>
      <c r="GM309" s="12"/>
      <c r="GN309" s="12"/>
      <c r="GO309" s="12"/>
      <c r="GP309" s="12"/>
      <c r="GQ309" s="12"/>
      <c r="GR309" s="12"/>
      <c r="GS309" s="12"/>
      <c r="GT309" s="12"/>
      <c r="GU309" s="12"/>
      <c r="GV309" s="12"/>
      <c r="GW309" s="12"/>
      <c r="GX309" s="12"/>
      <c r="GY309" s="12"/>
      <c r="GZ309" s="12"/>
      <c r="HA309" s="12"/>
      <c r="HB309" s="12"/>
      <c r="HC309" s="12"/>
      <c r="HD309" s="12"/>
      <c r="HE309" s="12"/>
      <c r="HF309" s="12"/>
      <c r="HG309" s="12"/>
      <c r="HH309" s="12"/>
      <c r="HI309" s="12"/>
      <c r="HJ309" s="12"/>
      <c r="HK309" s="12"/>
      <c r="HL309" s="12"/>
      <c r="HM309" s="12"/>
      <c r="HN309" s="12"/>
      <c r="HO309" s="12"/>
      <c r="HP309" s="12"/>
      <c r="HQ309" s="12"/>
      <c r="HR309" s="12"/>
      <c r="HS309" s="12"/>
      <c r="HT309" s="12"/>
      <c r="HU309" s="12"/>
      <c r="HV309" s="12"/>
      <c r="HW309" s="12"/>
      <c r="HX309" s="12"/>
      <c r="HY309" s="12"/>
      <c r="HZ309" s="12"/>
      <c r="IA309" s="12"/>
      <c r="IB309" s="12"/>
      <c r="IC309" s="12"/>
      <c r="ID309" s="12"/>
      <c r="IE309" s="12"/>
      <c r="IF309" s="12"/>
      <c r="IG309" s="12"/>
      <c r="IH309" s="12"/>
      <c r="II309" s="12"/>
      <c r="IJ309" s="12"/>
      <c r="IK309" s="12"/>
      <c r="IL309" s="12"/>
      <c r="IM309" s="12"/>
      <c r="IN309" s="12"/>
      <c r="IO309" s="12"/>
      <c r="IP309" s="12"/>
      <c r="IQ309" s="12"/>
      <c r="IR309" s="12"/>
      <c r="IS309" s="12"/>
      <c r="IT309" s="12"/>
      <c r="IU309" s="12"/>
      <c r="IV309" s="12"/>
      <c r="IW309" s="12"/>
    </row>
    <row r="310" customFormat="false" ht="11.25" hidden="false" customHeight="false" outlineLevel="0" collapsed="false">
      <c r="A310" s="25" t="n">
        <f aca="false">DATE(YEAR(A309),MONTH(A309)+1,1)</f>
        <v>55154</v>
      </c>
      <c r="B310" s="21" t="n">
        <v>0</v>
      </c>
      <c r="C310" s="21" t="n">
        <v>0</v>
      </c>
      <c r="D310" s="25"/>
      <c r="E310" s="5"/>
      <c r="F310" s="5"/>
      <c r="G310" s="6"/>
      <c r="H310" s="25"/>
      <c r="I310" s="11"/>
      <c r="J310" s="25"/>
      <c r="K310" s="32"/>
      <c r="L310" s="11"/>
      <c r="M310" s="11"/>
      <c r="N310" s="11"/>
      <c r="O310" s="11"/>
      <c r="P310" s="11"/>
      <c r="Q310" s="11"/>
      <c r="R310" s="11"/>
      <c r="S310" s="11"/>
      <c r="T310" s="11"/>
      <c r="U310" s="11"/>
      <c r="V310" s="11"/>
      <c r="W310" s="11"/>
      <c r="X310" s="11"/>
      <c r="Y310" s="11"/>
      <c r="Z310" s="11"/>
      <c r="AA310" s="11"/>
      <c r="AB310" s="11"/>
      <c r="AC310" s="11"/>
      <c r="AD310" s="11"/>
      <c r="AE310" s="11"/>
      <c r="AF310" s="11"/>
      <c r="AG310" s="11"/>
      <c r="AH310" s="11"/>
      <c r="AI310" s="11"/>
      <c r="AJ310" s="11"/>
      <c r="AK310" s="11"/>
      <c r="AL310" s="11"/>
      <c r="AM310" s="11"/>
      <c r="AN310" s="11"/>
      <c r="AO310" s="11"/>
      <c r="AP310" s="11"/>
      <c r="AQ310" s="11"/>
      <c r="AR310" s="5"/>
      <c r="AS310" s="12"/>
      <c r="AT310" s="12"/>
      <c r="AU310" s="12"/>
      <c r="AV310" s="12"/>
      <c r="AW310" s="12"/>
      <c r="AX310" s="12"/>
      <c r="AY310" s="12"/>
      <c r="AZ310" s="12"/>
      <c r="BA310" s="12"/>
      <c r="BB310" s="12"/>
      <c r="BC310" s="12"/>
      <c r="BD310" s="12"/>
      <c r="BE310" s="12"/>
      <c r="BF310" s="12"/>
      <c r="BG310" s="12"/>
      <c r="BH310" s="12"/>
      <c r="BI310" s="12"/>
      <c r="BJ310" s="12"/>
      <c r="BK310" s="12"/>
      <c r="BL310" s="12"/>
      <c r="BM310" s="12"/>
      <c r="BN310" s="12"/>
      <c r="BO310" s="12"/>
      <c r="BP310" s="12"/>
      <c r="BQ310" s="12"/>
      <c r="BR310" s="12"/>
      <c r="BS310" s="12"/>
      <c r="BT310" s="12"/>
      <c r="BU310" s="12"/>
      <c r="BV310" s="12"/>
      <c r="BW310" s="12"/>
      <c r="BX310" s="12"/>
      <c r="BY310" s="12"/>
      <c r="BZ310" s="12"/>
      <c r="CA310" s="12"/>
      <c r="CB310" s="12"/>
      <c r="CC310" s="12"/>
      <c r="CD310" s="12"/>
      <c r="CE310" s="12"/>
      <c r="CF310" s="12"/>
      <c r="CG310" s="12"/>
      <c r="CH310" s="12"/>
      <c r="CI310" s="12"/>
      <c r="CJ310" s="12"/>
      <c r="CK310" s="12"/>
      <c r="CL310" s="12"/>
      <c r="CM310" s="12"/>
      <c r="CN310" s="12"/>
      <c r="CO310" s="12"/>
      <c r="CP310" s="12"/>
      <c r="CQ310" s="12"/>
      <c r="CR310" s="12"/>
      <c r="CS310" s="12"/>
      <c r="CT310" s="12"/>
      <c r="CU310" s="12"/>
      <c r="CV310" s="12"/>
      <c r="CW310" s="12"/>
      <c r="CX310" s="12"/>
      <c r="CY310" s="12"/>
      <c r="CZ310" s="12"/>
      <c r="DA310" s="12"/>
      <c r="DB310" s="12"/>
      <c r="DC310" s="12"/>
      <c r="DD310" s="12"/>
      <c r="DE310" s="12"/>
      <c r="DF310" s="12"/>
      <c r="DG310" s="12"/>
      <c r="DH310" s="12"/>
      <c r="DI310" s="12"/>
      <c r="DJ310" s="12"/>
      <c r="DK310" s="12"/>
      <c r="DL310" s="12"/>
      <c r="DM310" s="12"/>
      <c r="DN310" s="12"/>
      <c r="DO310" s="12"/>
      <c r="DP310" s="12"/>
      <c r="DQ310" s="12"/>
      <c r="DR310" s="12"/>
      <c r="DS310" s="12"/>
      <c r="DT310" s="12"/>
      <c r="DU310" s="12"/>
      <c r="DV310" s="12"/>
      <c r="DW310" s="12"/>
      <c r="DX310" s="12"/>
      <c r="DY310" s="12"/>
      <c r="DZ310" s="12"/>
      <c r="EA310" s="12"/>
      <c r="EB310" s="12"/>
      <c r="EC310" s="12"/>
      <c r="ED310" s="12"/>
      <c r="EE310" s="12"/>
      <c r="EF310" s="12"/>
      <c r="EG310" s="12"/>
      <c r="EH310" s="12"/>
      <c r="EI310" s="12"/>
      <c r="EJ310" s="12"/>
      <c r="EK310" s="12"/>
      <c r="EL310" s="12"/>
      <c r="EM310" s="12"/>
      <c r="EN310" s="12"/>
      <c r="EO310" s="12"/>
      <c r="EP310" s="12"/>
      <c r="EQ310" s="12"/>
      <c r="ER310" s="12"/>
      <c r="ES310" s="12"/>
      <c r="ET310" s="12"/>
      <c r="EU310" s="12"/>
      <c r="EV310" s="12"/>
      <c r="EW310" s="12"/>
      <c r="EX310" s="12"/>
      <c r="EY310" s="12"/>
      <c r="EZ310" s="12"/>
      <c r="FA310" s="12"/>
      <c r="FB310" s="12"/>
      <c r="FC310" s="12"/>
      <c r="FD310" s="12"/>
      <c r="FE310" s="12"/>
      <c r="FF310" s="12"/>
      <c r="FG310" s="12"/>
      <c r="FH310" s="12"/>
      <c r="FI310" s="12"/>
      <c r="FJ310" s="12"/>
      <c r="FK310" s="12"/>
      <c r="FL310" s="12"/>
      <c r="FM310" s="12"/>
      <c r="FN310" s="12"/>
      <c r="FO310" s="12"/>
      <c r="FP310" s="12"/>
      <c r="FQ310" s="12"/>
      <c r="FR310" s="12"/>
      <c r="FS310" s="12"/>
      <c r="FT310" s="12"/>
      <c r="FU310" s="12"/>
      <c r="FV310" s="12"/>
      <c r="FW310" s="12"/>
      <c r="FX310" s="12"/>
      <c r="FY310" s="12"/>
      <c r="FZ310" s="12"/>
      <c r="GA310" s="12"/>
      <c r="GB310" s="12"/>
      <c r="GC310" s="12"/>
      <c r="GD310" s="12"/>
      <c r="GE310" s="12"/>
      <c r="GF310" s="12"/>
      <c r="GG310" s="12"/>
      <c r="GH310" s="12"/>
      <c r="GI310" s="12"/>
      <c r="GJ310" s="12"/>
      <c r="GK310" s="12"/>
      <c r="GL310" s="12"/>
      <c r="GM310" s="12"/>
      <c r="GN310" s="12"/>
      <c r="GO310" s="12"/>
      <c r="GP310" s="12"/>
      <c r="GQ310" s="12"/>
      <c r="GR310" s="12"/>
      <c r="GS310" s="12"/>
      <c r="GT310" s="12"/>
      <c r="GU310" s="12"/>
      <c r="GV310" s="12"/>
      <c r="GW310" s="12"/>
      <c r="GX310" s="12"/>
      <c r="GY310" s="12"/>
      <c r="GZ310" s="12"/>
      <c r="HA310" s="12"/>
      <c r="HB310" s="12"/>
      <c r="HC310" s="12"/>
      <c r="HD310" s="12"/>
      <c r="HE310" s="12"/>
      <c r="HF310" s="12"/>
      <c r="HG310" s="12"/>
      <c r="HH310" s="12"/>
      <c r="HI310" s="12"/>
      <c r="HJ310" s="12"/>
      <c r="HK310" s="12"/>
      <c r="HL310" s="12"/>
      <c r="HM310" s="12"/>
      <c r="HN310" s="12"/>
      <c r="HO310" s="12"/>
      <c r="HP310" s="12"/>
      <c r="HQ310" s="12"/>
      <c r="HR310" s="12"/>
      <c r="HS310" s="12"/>
      <c r="HT310" s="12"/>
      <c r="HU310" s="12"/>
      <c r="HV310" s="12"/>
      <c r="HW310" s="12"/>
      <c r="HX310" s="12"/>
      <c r="HY310" s="12"/>
      <c r="HZ310" s="12"/>
      <c r="IA310" s="12"/>
      <c r="IB310" s="12"/>
      <c r="IC310" s="12"/>
      <c r="ID310" s="12"/>
      <c r="IE310" s="12"/>
      <c r="IF310" s="12"/>
      <c r="IG310" s="12"/>
      <c r="IH310" s="12"/>
      <c r="II310" s="12"/>
      <c r="IJ310" s="12"/>
      <c r="IK310" s="12"/>
      <c r="IL310" s="12"/>
      <c r="IM310" s="12"/>
      <c r="IN310" s="12"/>
      <c r="IO310" s="12"/>
      <c r="IP310" s="12"/>
      <c r="IQ310" s="12"/>
      <c r="IR310" s="12"/>
      <c r="IS310" s="12"/>
      <c r="IT310" s="12"/>
      <c r="IU310" s="12"/>
      <c r="IV310" s="12"/>
      <c r="IW310" s="1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.16015625" defaultRowHeight="5.25" customHeight="true" zeroHeight="false" outlineLevelRow="0" outlineLevelCol="0"/>
  <sheetData/>
  <sheetProtection sheet="true" objects="true" scenarios="true"/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2">
              <controlPr defaultSize="0" print="true" autoFill="0" autoPict="0">
                <anchor moveWithCells="true" sizeWithCells="false">
                  <from>
                    <xdr:col>40</xdr:col>
                    <xdr:colOff>0</xdr:colOff>
                    <xdr:row>25</xdr:row>
                    <xdr:rowOff>0</xdr:rowOff>
                  </from>
                  <to>
                    <xdr:col>49</xdr:col>
                    <xdr:colOff>65520</xdr:colOff>
                    <xdr:row>27</xdr:row>
                    <xdr:rowOff>66600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4" name="Button 3">
              <controlPr defaultSize="0" print="true" autoFill="0" autoPict="0" macro="xls.Module1.button3_click">
                <anchor moveWithCells="true" sizeWithCells="false">
                  <from>
                    <xdr:col>40</xdr:col>
                    <xdr:colOff>0</xdr:colOff>
                    <xdr:row>29</xdr:row>
                    <xdr:rowOff>0</xdr:rowOff>
                  </from>
                  <to>
                    <xdr:col>49</xdr:col>
                    <xdr:colOff>65520</xdr:colOff>
                    <xdr:row>31</xdr:row>
                    <xdr:rowOff>66960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false" showRowColHeaders="true" showZeros="true" rightToLeft="false" tabSelected="false" showOutlineSymbols="true" defaultGridColor="true" view="normal" topLeftCell="A3" colorId="64" zoomScale="100" zoomScaleNormal="100" zoomScalePageLayoutView="100" workbookViewId="0">
      <selection pane="topLeft" activeCell="A1" activeCellId="0" sqref="A1"/>
    </sheetView>
  </sheetViews>
  <sheetFormatPr defaultColWidth="1.16015625" defaultRowHeight="5.25" customHeight="true" zeroHeight="false" outlineLevelRow="0" outlineLevelCol="0"/>
  <sheetData/>
  <sheetProtection sheet="true" objects="true" scenarios="true"/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2">
              <controlPr defaultSize="0" print="true" autoFill="0" autoPict="0">
                <anchor moveWithCells="true" sizeWithCells="false">
                  <from>
                    <xdr:col>66</xdr:col>
                    <xdr:colOff>28080</xdr:colOff>
                    <xdr:row>21</xdr:row>
                    <xdr:rowOff>47880</xdr:rowOff>
                  </from>
                  <to>
                    <xdr:col>76</xdr:col>
                    <xdr:colOff>28080</xdr:colOff>
                    <xdr:row>24</xdr:row>
                    <xdr:rowOff>47520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4" name="Button 3">
              <controlPr defaultSize="0" print="true" autoFill="0" autoPict="0" macro="xls.Module1.button3_click">
                <anchor moveWithCells="true" sizeWithCells="false">
                  <from>
                    <xdr:col>66</xdr:col>
                    <xdr:colOff>28080</xdr:colOff>
                    <xdr:row>26</xdr:row>
                    <xdr:rowOff>28800</xdr:rowOff>
                  </from>
                  <to>
                    <xdr:col>76</xdr:col>
                    <xdr:colOff>28080</xdr:colOff>
                    <xdr:row>29</xdr:row>
                    <xdr:rowOff>28800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3" r:id="rId5" name="Input Assumptions">
              <controlPr defaultSize="0" locked="1" autoFill="0" autoLine="0" autoPict="0" print="true" altText="Check Box 4">
                <anchor moveWithCells="true" sizeWithCells="false">
                  <from>
                    <xdr:col>9</xdr:col>
                    <xdr:colOff>9360</xdr:colOff>
                    <xdr:row>7</xdr:row>
                    <xdr:rowOff>47880</xdr:rowOff>
                  </from>
                  <to>
                    <xdr:col>29</xdr:col>
                    <xdr:colOff>9360</xdr:colOff>
                    <xdr:row>10</xdr:row>
                    <xdr:rowOff>57240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4" r:id="rId6" name="Transaction Funds Flow">
              <controlPr defaultSize="0" locked="1" autoFill="0" autoLine="0" autoPict="0" print="true" altText="Check Box 5">
                <anchor moveWithCells="true" sizeWithCells="false">
                  <from>
                    <xdr:col>11</xdr:col>
                    <xdr:colOff>9360</xdr:colOff>
                    <xdr:row>10</xdr:row>
                    <xdr:rowOff>47520</xdr:rowOff>
                  </from>
                  <to>
                    <xdr:col>37</xdr:col>
                    <xdr:colOff>9360</xdr:colOff>
                    <xdr:row>13</xdr:row>
                    <xdr:rowOff>56880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5" r:id="rId7" name="Debt Repayment">
              <controlPr defaultSize="0" locked="1" autoFill="0" autoLine="0" autoPict="0" print="true" altText="Check Box 6">
                <anchor moveWithCells="true" sizeWithCells="false">
                  <from>
                    <xdr:col>11</xdr:col>
                    <xdr:colOff>9360</xdr:colOff>
                    <xdr:row>21</xdr:row>
                    <xdr:rowOff>47880</xdr:rowOff>
                  </from>
                  <to>
                    <xdr:col>35</xdr:col>
                    <xdr:colOff>9360</xdr:colOff>
                    <xdr:row>24</xdr:row>
                    <xdr:rowOff>56880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6" r:id="rId8" name="Interest Rates">
              <controlPr defaultSize="0" locked="1" autoFill="0" autoLine="0" autoPict="0" print="true" altText="Check Box 7">
                <anchor moveWithCells="true" sizeWithCells="false">
                  <from>
                    <xdr:col>11</xdr:col>
                    <xdr:colOff>9360</xdr:colOff>
                    <xdr:row>24</xdr:row>
                    <xdr:rowOff>47520</xdr:rowOff>
                  </from>
                  <to>
                    <xdr:col>34</xdr:col>
                    <xdr:colOff>9360</xdr:colOff>
                    <xdr:row>27</xdr:row>
                    <xdr:rowOff>56880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7" r:id="rId9" name="Working Capital/">
              <controlPr defaultSize="0" locked="1" autoFill="0" autoLine="0" autoPict="0" print="true" altText="Check Box 8">
                <anchor moveWithCells="true" sizeWithCells="false">
                  <from>
                    <xdr:col>11</xdr:col>
                    <xdr:colOff>9360</xdr:colOff>
                    <xdr:row>16</xdr:row>
                    <xdr:rowOff>47880</xdr:rowOff>
                  </from>
                  <to>
                    <xdr:col>36</xdr:col>
                    <xdr:colOff>9360</xdr:colOff>
                    <xdr:row>19</xdr:row>
                    <xdr:rowOff>56880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8" r:id="rId10" name="Tax Assumptions">
              <controlPr defaultSize="0" locked="1" autoFill="0" autoLine="0" autoPict="0" print="true" altText="Check Box 10">
                <anchor moveWithCells="true" sizeWithCells="false">
                  <from>
                    <xdr:col>11</xdr:col>
                    <xdr:colOff>9360</xdr:colOff>
                    <xdr:row>36</xdr:row>
                    <xdr:rowOff>47520</xdr:rowOff>
                  </from>
                  <to>
                    <xdr:col>32</xdr:col>
                    <xdr:colOff>9360</xdr:colOff>
                    <xdr:row>39</xdr:row>
                    <xdr:rowOff>57240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9" r:id="rId11" name="Financial Statements">
              <controlPr defaultSize="0" locked="1" autoFill="0" autoLine="0" autoPict="0" print="true" altText="Check Box 11">
                <anchor moveWithCells="true" sizeWithCells="false">
                  <from>
                    <xdr:col>34</xdr:col>
                    <xdr:colOff>9360</xdr:colOff>
                    <xdr:row>7</xdr:row>
                    <xdr:rowOff>47880</xdr:rowOff>
                  </from>
                  <to>
                    <xdr:col>57</xdr:col>
                    <xdr:colOff>9360</xdr:colOff>
                    <xdr:row>10</xdr:row>
                    <xdr:rowOff>57240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0" r:id="rId12" name="Overview">
              <controlPr defaultSize="0" locked="1" autoFill="0" autoLine="0" autoPict="0" print="true" altText="Check Box 12">
                <anchor moveWithCells="true" sizeWithCells="false">
                  <from>
                    <xdr:col>36</xdr:col>
                    <xdr:colOff>9000</xdr:colOff>
                    <xdr:row>10</xdr:row>
                    <xdr:rowOff>47520</xdr:rowOff>
                  </from>
                  <to>
                    <xdr:col>57</xdr:col>
                    <xdr:colOff>9360</xdr:colOff>
                    <xdr:row>13</xdr:row>
                    <xdr:rowOff>56880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1" r:id="rId13" name="Income Statement">
              <controlPr defaultSize="0" locked="1" autoFill="0" autoLine="0" autoPict="0" print="true" altText="Check Box 13">
                <anchor moveWithCells="true" sizeWithCells="false">
                  <from>
                    <xdr:col>36</xdr:col>
                    <xdr:colOff>9000</xdr:colOff>
                    <xdr:row>13</xdr:row>
                    <xdr:rowOff>47520</xdr:rowOff>
                  </from>
                  <to>
                    <xdr:col>58</xdr:col>
                    <xdr:colOff>9720</xdr:colOff>
                    <xdr:row>16</xdr:row>
                    <xdr:rowOff>57240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2" r:id="rId14" name="Common Sized I/S">
              <controlPr defaultSize="0" locked="1" autoFill="0" autoLine="0" autoPict="0" print="true" altText="Check Box 14">
                <anchor moveWithCells="true" sizeWithCells="false">
                  <from>
                    <xdr:col>36</xdr:col>
                    <xdr:colOff>9000</xdr:colOff>
                    <xdr:row>16</xdr:row>
                    <xdr:rowOff>57240</xdr:rowOff>
                  </from>
                  <to>
                    <xdr:col>58</xdr:col>
                    <xdr:colOff>9720</xdr:colOff>
                    <xdr:row>19</xdr:row>
                    <xdr:rowOff>66600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3" r:id="rId15" name="Balance Sheet">
              <controlPr defaultSize="0" locked="1" autoFill="0" autoLine="0" autoPict="0" print="true" altText="Check Box 15">
                <anchor moveWithCells="true" sizeWithCells="false">
                  <from>
                    <xdr:col>36</xdr:col>
                    <xdr:colOff>9000</xdr:colOff>
                    <xdr:row>28</xdr:row>
                    <xdr:rowOff>47520</xdr:rowOff>
                  </from>
                  <to>
                    <xdr:col>57</xdr:col>
                    <xdr:colOff>9360</xdr:colOff>
                    <xdr:row>31</xdr:row>
                    <xdr:rowOff>57240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4" r:id="rId16" name="Cash Flow Statement">
              <controlPr defaultSize="0" locked="1" autoFill="0" autoLine="0" autoPict="0" print="true" altText="Check Box 16">
                <anchor moveWithCells="true" sizeWithCells="false">
                  <from>
                    <xdr:col>36</xdr:col>
                    <xdr:colOff>9000</xdr:colOff>
                    <xdr:row>22</xdr:row>
                    <xdr:rowOff>47520</xdr:rowOff>
                  </from>
                  <to>
                    <xdr:col>57</xdr:col>
                    <xdr:colOff>9360</xdr:colOff>
                    <xdr:row>25</xdr:row>
                    <xdr:rowOff>57240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5" r:id="rId17" name="ESOP Assumptions">
              <controlPr defaultSize="0" locked="1" autoFill="0" autoLine="0" autoPict="0" print="true" altText="Check Box 17">
                <anchor moveWithCells="true" sizeWithCells="false">
                  <from>
                    <xdr:col>11</xdr:col>
                    <xdr:colOff>9360</xdr:colOff>
                    <xdr:row>33</xdr:row>
                    <xdr:rowOff>47520</xdr:rowOff>
                  </from>
                  <to>
                    <xdr:col>30</xdr:col>
                    <xdr:colOff>9360</xdr:colOff>
                    <xdr:row>36</xdr:row>
                    <xdr:rowOff>56880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6" r:id="rId18" name="Opening Balance Sheet">
              <controlPr defaultSize="0" locked="1" autoFill="0" autoLine="0" autoPict="0" print="true" altText="Check Box 18">
                <anchor moveWithCells="true" sizeWithCells="false">
                  <from>
                    <xdr:col>36</xdr:col>
                    <xdr:colOff>9000</xdr:colOff>
                    <xdr:row>25</xdr:row>
                    <xdr:rowOff>47880</xdr:rowOff>
                  </from>
                  <to>
                    <xdr:col>59</xdr:col>
                    <xdr:colOff>9360</xdr:colOff>
                    <xdr:row>28</xdr:row>
                    <xdr:rowOff>56880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7" r:id="rId19" name="Capitalization">
              <controlPr defaultSize="0" locked="1" autoFill="0" autoLine="0" autoPict="0" print="true" altText="Check Box 19">
                <anchor moveWithCells="true" sizeWithCells="false">
                  <from>
                    <xdr:col>36</xdr:col>
                    <xdr:colOff>18360</xdr:colOff>
                    <xdr:row>31</xdr:row>
                    <xdr:rowOff>57240</xdr:rowOff>
                  </from>
                  <to>
                    <xdr:col>63</xdr:col>
                    <xdr:colOff>18720</xdr:colOff>
                    <xdr:row>34</xdr:row>
                    <xdr:rowOff>66600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8" r:id="rId20" name="Income Taxes">
              <controlPr defaultSize="0" locked="1" autoFill="0" autoLine="0" autoPict="0" print="true" altText="Check Box 20">
                <anchor moveWithCells="true" sizeWithCells="false">
                  <from>
                    <xdr:col>36</xdr:col>
                    <xdr:colOff>9000</xdr:colOff>
                    <xdr:row>34</xdr:row>
                    <xdr:rowOff>47520</xdr:rowOff>
                  </from>
                  <to>
                    <xdr:col>59</xdr:col>
                    <xdr:colOff>9360</xdr:colOff>
                    <xdr:row>37</xdr:row>
                    <xdr:rowOff>56880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9" r:id="rId21" name="Other Analyses">
              <controlPr defaultSize="0" locked="1" autoFill="0" autoLine="0" autoPict="0" print="true" altText="Check Box 21">
                <anchor moveWithCells="true" sizeWithCells="false">
                  <from>
                    <xdr:col>62</xdr:col>
                    <xdr:colOff>9360</xdr:colOff>
                    <xdr:row>7</xdr:row>
                    <xdr:rowOff>47880</xdr:rowOff>
                  </from>
                  <to>
                    <xdr:col>80</xdr:col>
                    <xdr:colOff>9720</xdr:colOff>
                    <xdr:row>10</xdr:row>
                    <xdr:rowOff>57240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0" r:id="rId22" name="Returns Analysis">
              <controlPr defaultSize="0" locked="1" autoFill="0" autoLine="0" autoPict="0" print="true" altText="Check Box 22">
                <anchor moveWithCells="true" sizeWithCells="false">
                  <from>
                    <xdr:col>64</xdr:col>
                    <xdr:colOff>9000</xdr:colOff>
                    <xdr:row>10</xdr:row>
                    <xdr:rowOff>47520</xdr:rowOff>
                  </from>
                  <to>
                    <xdr:col>82</xdr:col>
                    <xdr:colOff>9360</xdr:colOff>
                    <xdr:row>13</xdr:row>
                    <xdr:rowOff>56880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1" r:id="rId23" name="DCF Analysis">
              <controlPr defaultSize="0" locked="1" autoFill="0" autoLine="0" autoPict="0" print="true" altText="Check Box 23">
                <anchor moveWithCells="true" sizeWithCells="false">
                  <from>
                    <xdr:col>64</xdr:col>
                    <xdr:colOff>9000</xdr:colOff>
                    <xdr:row>13</xdr:row>
                    <xdr:rowOff>47520</xdr:rowOff>
                  </from>
                  <to>
                    <xdr:col>82</xdr:col>
                    <xdr:colOff>9360</xdr:colOff>
                    <xdr:row>16</xdr:row>
                    <xdr:rowOff>57240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2" r:id="rId24" name="Print Everything">
              <controlPr defaultSize="0" locked="1" autoFill="0" autoLine="0" autoPict="0" print="true" altText="Check Box 24">
                <anchor moveWithCells="true" sizeWithCells="false">
                  <from>
                    <xdr:col>62</xdr:col>
                    <xdr:colOff>9360</xdr:colOff>
                    <xdr:row>17</xdr:row>
                    <xdr:rowOff>47520</xdr:rowOff>
                  </from>
                  <to>
                    <xdr:col>79</xdr:col>
                    <xdr:colOff>9360</xdr:colOff>
                    <xdr:row>20</xdr:row>
                    <xdr:rowOff>57240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3" r:id="rId25" name="Transaction Fees">
              <controlPr defaultSize="0" locked="1" autoFill="0" autoLine="0" autoPict="0" print="true" altText="Check Box 27">
                <anchor moveWithCells="true" sizeWithCells="false">
                  <from>
                    <xdr:col>11</xdr:col>
                    <xdr:colOff>9360</xdr:colOff>
                    <xdr:row>13</xdr:row>
                    <xdr:rowOff>47520</xdr:rowOff>
                  </from>
                  <to>
                    <xdr:col>33</xdr:col>
                    <xdr:colOff>9720</xdr:colOff>
                    <xdr:row>16</xdr:row>
                    <xdr:rowOff>57240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" r:id="rId26" name="Other Income Items">
              <controlPr defaultSize="0" locked="1" autoFill="0" autoLine="0" autoPict="0" print="true" altText="Check Box 29">
                <anchor moveWithCells="true" sizeWithCells="false">
                  <from>
                    <xdr:col>11</xdr:col>
                    <xdr:colOff>9360</xdr:colOff>
                    <xdr:row>27</xdr:row>
                    <xdr:rowOff>47520</xdr:rowOff>
                  </from>
                  <to>
                    <xdr:col>32</xdr:col>
                    <xdr:colOff>9360</xdr:colOff>
                    <xdr:row>30</xdr:row>
                    <xdr:rowOff>57240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" r:id="rId27" name="Asset Sales">
              <controlPr defaultSize="0" locked="1" autoFill="0" autoLine="0" autoPict="0" print="true" altText="Check Box 30">
                <anchor moveWithCells="true" sizeWithCells="false">
                  <from>
                    <xdr:col>11</xdr:col>
                    <xdr:colOff>18720</xdr:colOff>
                    <xdr:row>30</xdr:row>
                    <xdr:rowOff>47880</xdr:rowOff>
                  </from>
                  <to>
                    <xdr:col>30</xdr:col>
                    <xdr:colOff>19080</xdr:colOff>
                    <xdr:row>33</xdr:row>
                    <xdr:rowOff>56880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28" name="Sources &amp; Uses">
              <controlPr defaultSize="0" locked="1" autoFill="0" autoLine="0" autoPict="0" print="true" altText="Check Box 31">
                <anchor moveWithCells="true" sizeWithCells="false">
                  <from>
                    <xdr:col>36</xdr:col>
                    <xdr:colOff>9000</xdr:colOff>
                    <xdr:row>19</xdr:row>
                    <xdr:rowOff>47520</xdr:rowOff>
                  </from>
                  <to>
                    <xdr:col>55</xdr:col>
                    <xdr:colOff>9720</xdr:colOff>
                    <xdr:row>22</xdr:row>
                    <xdr:rowOff>56880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3" colorId="64" zoomScale="100" zoomScaleNormal="100" zoomScalePageLayoutView="100" workbookViewId="0">
      <selection pane="topLeft" activeCell="A1" activeCellId="0" sqref="A1"/>
    </sheetView>
  </sheetViews>
  <sheetFormatPr defaultColWidth="1.16015625" defaultRowHeight="5.25" customHeight="true" zeroHeight="false" outlineLevelRow="0" outlineLevelCol="0"/>
  <sheetData/>
  <sheetProtection sheet="true" objects="true" scenarios="true"/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2">
              <controlPr defaultSize="0" print="true" autoFill="0" autoPict="0">
                <anchor moveWithCells="true" sizeWithCells="false">
                  <from>
                    <xdr:col>53</xdr:col>
                    <xdr:colOff>0</xdr:colOff>
                    <xdr:row>35</xdr:row>
                    <xdr:rowOff>0</xdr:rowOff>
                  </from>
                  <to>
                    <xdr:col>62</xdr:col>
                    <xdr:colOff>65520</xdr:colOff>
                    <xdr:row>37</xdr:row>
                    <xdr:rowOff>66600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4" name="Button 3">
              <controlPr defaultSize="0" print="true" autoFill="0" autoPict="0" macro="xls.Emacros.button3_ep">
                <anchor moveWithCells="true" sizeWithCells="false">
                  <from>
                    <xdr:col>53</xdr:col>
                    <xdr:colOff>0</xdr:colOff>
                    <xdr:row>39</xdr:row>
                    <xdr:rowOff>0</xdr:rowOff>
                  </from>
                  <to>
                    <xdr:col>62</xdr:col>
                    <xdr:colOff>65520</xdr:colOff>
                    <xdr:row>41</xdr:row>
                    <xdr:rowOff>66600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3" r:id="rId5" name="Print Everything">
              <controlPr defaultSize="0" locked="1" autoFill="0" autoLine="0" autoPict="0" print="true" altText="Check Box 4">
                <anchor moveWithCells="true" sizeWithCells="false">
                  <from>
                    <xdr:col>25</xdr:col>
                    <xdr:colOff>0</xdr:colOff>
                    <xdr:row>4</xdr:row>
                    <xdr:rowOff>0</xdr:rowOff>
                  </from>
                  <to>
                    <xdr:col>52</xdr:col>
                    <xdr:colOff>360</xdr:colOff>
                    <xdr:row>7</xdr:row>
                    <xdr:rowOff>9720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4" r:id="rId6" name="Depreciation Parameters">
              <controlPr defaultSize="0" locked="1" autoFill="0" autoLine="0" autoPict="0" print="true" altText="Check Box 5">
                <anchor moveWithCells="true" sizeWithCells="false">
                  <from>
                    <xdr:col>27</xdr:col>
                    <xdr:colOff>0</xdr:colOff>
                    <xdr:row>13</xdr:row>
                    <xdr:rowOff>0</xdr:rowOff>
                  </from>
                  <to>
                    <xdr:col>52</xdr:col>
                    <xdr:colOff>360</xdr:colOff>
                    <xdr:row>16</xdr:row>
                    <xdr:rowOff>9720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5" r:id="rId7" name="Capital Expenditure Input">
              <controlPr defaultSize="0" locked="1" autoFill="0" autoLine="0" autoPict="0" print="true" altText="Check Box 6">
                <anchor moveWithCells="true" sizeWithCells="false">
                  <from>
                    <xdr:col>27</xdr:col>
                    <xdr:colOff>0</xdr:colOff>
                    <xdr:row>7</xdr:row>
                    <xdr:rowOff>0</xdr:rowOff>
                  </from>
                  <to>
                    <xdr:col>52</xdr:col>
                    <xdr:colOff>360</xdr:colOff>
                    <xdr:row>10</xdr:row>
                    <xdr:rowOff>9720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6" r:id="rId8" name="Depreciation Schedule">
              <controlPr defaultSize="0" locked="1" autoFill="0" autoLine="0" autoPict="0" print="true" altText="Check Box 7">
                <anchor moveWithCells="true" sizeWithCells="false">
                  <from>
                    <xdr:col>27</xdr:col>
                    <xdr:colOff>0</xdr:colOff>
                    <xdr:row>16</xdr:row>
                    <xdr:rowOff>0</xdr:rowOff>
                  </from>
                  <to>
                    <xdr:col>53</xdr:col>
                    <xdr:colOff>65520</xdr:colOff>
                    <xdr:row>19</xdr:row>
                    <xdr:rowOff>9720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7" r:id="rId9" name="Fixed Asset Summary">
              <controlPr defaultSize="0" locked="1" autoFill="0" autoLine="0" autoPict="0" print="true" altText="Check Box 8">
                <anchor moveWithCells="true" sizeWithCells="false">
                  <from>
                    <xdr:col>27</xdr:col>
                    <xdr:colOff>0</xdr:colOff>
                    <xdr:row>22</xdr:row>
                    <xdr:rowOff>0</xdr:rowOff>
                  </from>
                  <to>
                    <xdr:col>49</xdr:col>
                    <xdr:colOff>65520</xdr:colOff>
                    <xdr:row>25</xdr:row>
                    <xdr:rowOff>9720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8" r:id="rId10" name="Escalation Factors">
              <controlPr defaultSize="0" locked="1" autoFill="0" autoLine="0" autoPict="0" print="true" altText="Check Box 9">
                <anchor moveWithCells="true" sizeWithCells="false">
                  <from>
                    <xdr:col>27</xdr:col>
                    <xdr:colOff>0</xdr:colOff>
                    <xdr:row>25</xdr:row>
                    <xdr:rowOff>0</xdr:rowOff>
                  </from>
                  <to>
                    <xdr:col>47</xdr:col>
                    <xdr:colOff>65520</xdr:colOff>
                    <xdr:row>28</xdr:row>
                    <xdr:rowOff>9720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9" r:id="rId11" name="Oil &amp; Gas Volumes and Revenue">
              <controlPr defaultSize="0" locked="1" autoFill="0" autoLine="0" autoPict="0" print="true" altText="Check Box 10">
                <anchor moveWithCells="true" sizeWithCells="false">
                  <from>
                    <xdr:col>27</xdr:col>
                    <xdr:colOff>0</xdr:colOff>
                    <xdr:row>31</xdr:row>
                    <xdr:rowOff>0</xdr:rowOff>
                  </from>
                  <to>
                    <xdr:col>58</xdr:col>
                    <xdr:colOff>360</xdr:colOff>
                    <xdr:row>34</xdr:row>
                    <xdr:rowOff>9720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0" r:id="rId12" name="Expense Items">
              <controlPr defaultSize="0" locked="1" autoFill="0" autoLine="0" autoPict="0" print="true" altText="Check Box 11">
                <anchor moveWithCells="true" sizeWithCells="false">
                  <from>
                    <xdr:col>27</xdr:col>
                    <xdr:colOff>0</xdr:colOff>
                    <xdr:row>37</xdr:row>
                    <xdr:rowOff>0</xdr:rowOff>
                  </from>
                  <to>
                    <xdr:col>52</xdr:col>
                    <xdr:colOff>360</xdr:colOff>
                    <xdr:row>40</xdr:row>
                    <xdr:rowOff>9720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1" r:id="rId13" name="Depletion Analysis">
              <controlPr defaultSize="0" locked="1" autoFill="0" autoLine="0" autoPict="0" print="true" altText="Check Box 12">
                <anchor moveWithCells="true" sizeWithCells="false">
                  <from>
                    <xdr:col>27</xdr:col>
                    <xdr:colOff>0</xdr:colOff>
                    <xdr:row>19</xdr:row>
                    <xdr:rowOff>0</xdr:rowOff>
                  </from>
                  <to>
                    <xdr:col>49</xdr:col>
                    <xdr:colOff>65520</xdr:colOff>
                    <xdr:row>22</xdr:row>
                    <xdr:rowOff>9360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2" r:id="rId14" name="Oil &amp; Gas Prices">
              <controlPr defaultSize="0" locked="1" autoFill="0" autoLine="0" autoPict="0" print="true" altText="Check Box 13">
                <anchor moveWithCells="true" sizeWithCells="false">
                  <from>
                    <xdr:col>27</xdr:col>
                    <xdr:colOff>0</xdr:colOff>
                    <xdr:row>28</xdr:row>
                    <xdr:rowOff>0</xdr:rowOff>
                  </from>
                  <to>
                    <xdr:col>49</xdr:col>
                    <xdr:colOff>360</xdr:colOff>
                    <xdr:row>31</xdr:row>
                    <xdr:rowOff>9720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3" r:id="rId15" name="Capital Expenditure Simulation">
              <controlPr defaultSize="0" locked="1" autoFill="0" autoLine="0" autoPict="0" print="true" altText="Check Box 14">
                <anchor moveWithCells="true" sizeWithCells="false">
                  <from>
                    <xdr:col>27</xdr:col>
                    <xdr:colOff>0</xdr:colOff>
                    <xdr:row>10</xdr:row>
                    <xdr:rowOff>0</xdr:rowOff>
                  </from>
                  <to>
                    <xdr:col>58</xdr:col>
                    <xdr:colOff>360</xdr:colOff>
                    <xdr:row>13</xdr:row>
                    <xdr:rowOff>9360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4" r:id="rId16" name="Oil &amp; Gas Summary">
              <controlPr defaultSize="0" locked="1" autoFill="0" autoLine="0" autoPict="0" print="true" altText="Check Box 15">
                <anchor moveWithCells="true" sizeWithCells="false">
                  <from>
                    <xdr:col>27</xdr:col>
                    <xdr:colOff>0</xdr:colOff>
                    <xdr:row>34</xdr:row>
                    <xdr:rowOff>0</xdr:rowOff>
                  </from>
                  <to>
                    <xdr:col>49</xdr:col>
                    <xdr:colOff>65520</xdr:colOff>
                    <xdr:row>37</xdr:row>
                    <xdr:rowOff>9360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5" r:id="rId17" name="Calculation of Multiple">
              <controlPr defaultSize="0" locked="1" autoFill="0" autoLine="0" autoPict="0" print="true" altText="Check Box 16">
                <anchor moveWithCells="true" sizeWithCells="false">
                  <from>
                    <xdr:col>27</xdr:col>
                    <xdr:colOff>0</xdr:colOff>
                    <xdr:row>40</xdr:row>
                    <xdr:rowOff>0</xdr:rowOff>
                  </from>
                  <to>
                    <xdr:col>49</xdr:col>
                    <xdr:colOff>360</xdr:colOff>
                    <xdr:row>43</xdr:row>
                    <xdr:rowOff>9720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.16015625" defaultRowHeight="5.25" customHeight="true" zeroHeight="false" outlineLevelRow="0" outlineLevelCol="0"/>
  <sheetData/>
  <sheetProtection sheet="true" objects="true" scenarios="true"/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2">
              <controlPr defaultSize="0" print="true" autoFill="0" autoPict="0">
                <anchor moveWithCells="true" sizeWithCells="false">
                  <from>
                    <xdr:col>63</xdr:col>
                    <xdr:colOff>0</xdr:colOff>
                    <xdr:row>11</xdr:row>
                    <xdr:rowOff>0</xdr:rowOff>
                  </from>
                  <to>
                    <xdr:col>72</xdr:col>
                    <xdr:colOff>65520</xdr:colOff>
                    <xdr:row>13</xdr:row>
                    <xdr:rowOff>66600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4" name="Button 3">
              <controlPr defaultSize="0" print="true" autoFill="0" autoPict="0">
                <anchor moveWithCells="true" sizeWithCells="false">
                  <from>
                    <xdr:col>63</xdr:col>
                    <xdr:colOff>0</xdr:colOff>
                    <xdr:row>15</xdr:row>
                    <xdr:rowOff>0</xdr:rowOff>
                  </from>
                  <to>
                    <xdr:col>72</xdr:col>
                    <xdr:colOff>65520</xdr:colOff>
                    <xdr:row>17</xdr:row>
                    <xdr:rowOff>66600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14.3867187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B129"/>
  <sheetViews>
    <sheetView showFormulas="false" showGridLines="true" showRowColHeaders="true" showZeros="true" rightToLeft="false" tabSelected="false" showOutlineSymbols="true" defaultGridColor="true" view="normal" topLeftCell="D42" colorId="64" zoomScale="100" zoomScaleNormal="100" zoomScalePageLayoutView="100" workbookViewId="0">
      <selection pane="topLeft" activeCell="D77" activeCellId="0" sqref="D77"/>
    </sheetView>
  </sheetViews>
  <sheetFormatPr defaultColWidth="9.328125" defaultRowHeight="11.25" customHeight="true" zeroHeight="false" outlineLevelRow="0" outlineLevelCol="0"/>
  <cols>
    <col collapsed="false" customWidth="true" hidden="false" outlineLevel="0" max="1" min="1" style="5" width="21.99"/>
    <col collapsed="false" customWidth="true" hidden="false" outlineLevel="0" max="2" min="2" style="5" width="15.82"/>
    <col collapsed="false" customWidth="true" hidden="false" outlineLevel="0" max="3" min="3" style="5" width="12.65"/>
    <col collapsed="false" customWidth="true" hidden="false" outlineLevel="0" max="4" min="4" style="5" width="14.82"/>
    <col collapsed="false" customWidth="true" hidden="false" outlineLevel="0" max="5" min="5" style="5" width="10.65"/>
    <col collapsed="false" customWidth="false" hidden="false" outlineLevel="0" max="16" min="6" style="5" width="9.33"/>
    <col collapsed="false" customWidth="true" hidden="false" outlineLevel="0" max="21" min="17" style="5" width="10.65"/>
    <col collapsed="false" customWidth="false" hidden="false" outlineLevel="0" max="257" min="22" style="5" width="9.33"/>
  </cols>
  <sheetData>
    <row r="1" customFormat="false" ht="12" hidden="false" customHeight="false" outlineLevel="0" collapsed="false">
      <c r="A1" s="12"/>
      <c r="B1" s="12"/>
      <c r="D1" s="12"/>
      <c r="E1" s="12"/>
    </row>
    <row r="2" customFormat="false" ht="12.75" hidden="false" customHeight="false" outlineLevel="0" collapsed="false">
      <c r="F2" s="33" t="str">
        <f aca="false">+GC!I2</f>
        <v>12/31/99 or</v>
      </c>
      <c r="G2" s="34"/>
      <c r="H2" s="35"/>
      <c r="I2" s="35"/>
      <c r="J2" s="35"/>
      <c r="K2" s="35"/>
      <c r="L2" s="35"/>
      <c r="M2" s="35"/>
      <c r="N2" s="35"/>
      <c r="O2" s="35"/>
      <c r="P2" s="36" t="str">
        <f aca="false">+GC!S2</f>
        <v>Year 10</v>
      </c>
      <c r="Q2" s="12"/>
      <c r="R2" s="35"/>
      <c r="S2" s="35"/>
      <c r="T2" s="35"/>
      <c r="U2" s="35"/>
      <c r="V2" s="12"/>
      <c r="W2" s="12"/>
      <c r="X2" s="37"/>
      <c r="Y2" s="12"/>
      <c r="Z2" s="38" t="s">
        <v>13</v>
      </c>
    </row>
    <row r="3" customFormat="false" ht="12.75" hidden="false" customHeight="false" outlineLevel="0" collapsed="false">
      <c r="F3" s="39" t="str">
        <f aca="false">+GC!I3</f>
        <v>6 M/1999 </v>
      </c>
      <c r="G3" s="40" t="n">
        <f aca="false">+GC!J3</f>
        <v>2000</v>
      </c>
      <c r="H3" s="40" t="n">
        <f aca="false">+GC!K3</f>
        <v>2001</v>
      </c>
      <c r="I3" s="40" t="n">
        <f aca="false">+GC!L3</f>
        <v>2002</v>
      </c>
      <c r="J3" s="40" t="n">
        <f aca="false">+GC!M3</f>
        <v>2003</v>
      </c>
      <c r="K3" s="40" t="n">
        <f aca="false">+GC!N3</f>
        <v>2004</v>
      </c>
      <c r="L3" s="40" t="n">
        <f aca="false">+GC!O3</f>
        <v>2005</v>
      </c>
      <c r="M3" s="40" t="n">
        <f aca="false">+GC!P3</f>
        <v>2006</v>
      </c>
      <c r="N3" s="40" t="n">
        <f aca="false">+GC!Q3</f>
        <v>2007</v>
      </c>
      <c r="O3" s="40" t="n">
        <f aca="false">+GC!R3</f>
        <v>2008</v>
      </c>
      <c r="P3" s="41" t="n">
        <f aca="false">+GC!S3</f>
        <v>2009</v>
      </c>
      <c r="Q3" s="40" t="n">
        <f aca="false">+GC!T3</f>
        <v>2010</v>
      </c>
      <c r="R3" s="40" t="n">
        <f aca="false">+GC!U3</f>
        <v>2011</v>
      </c>
      <c r="S3" s="40" t="n">
        <f aca="false">+GC!V3</f>
        <v>2012</v>
      </c>
      <c r="T3" s="40" t="n">
        <f aca="false">+GC!W3</f>
        <v>2013</v>
      </c>
      <c r="U3" s="40" t="n">
        <f aca="false">+GC!X3</f>
        <v>2014</v>
      </c>
      <c r="V3" s="40" t="n">
        <f aca="false">+GC!Y3</f>
        <v>2015</v>
      </c>
      <c r="W3" s="40" t="n">
        <f aca="false">+GC!Z3</f>
        <v>2016</v>
      </c>
      <c r="X3" s="40" t="n">
        <f aca="false">+GC!AA3</f>
        <v>2017</v>
      </c>
      <c r="Y3" s="40" t="n">
        <f aca="false">+GC!AB3</f>
        <v>2018</v>
      </c>
      <c r="Z3" s="41" t="n">
        <f aca="false">+GC!AC3</f>
        <v>2019</v>
      </c>
    </row>
    <row r="4" customFormat="false" ht="12" hidden="false" customHeight="false" outlineLevel="0" collapsed="false">
      <c r="A4" s="42" t="s">
        <v>14</v>
      </c>
      <c r="B4" s="42" t="s">
        <v>15</v>
      </c>
      <c r="C4" s="42" t="s">
        <v>16</v>
      </c>
    </row>
    <row r="5" customFormat="false" ht="11.25" hidden="false" customHeight="false" outlineLevel="0" collapsed="false">
      <c r="A5" s="12" t="s">
        <v>17</v>
      </c>
      <c r="B5" s="43" t="s">
        <v>18</v>
      </c>
      <c r="C5" s="5" t="s">
        <v>19</v>
      </c>
      <c r="D5" s="44" t="s">
        <v>20</v>
      </c>
      <c r="E5" s="12"/>
      <c r="F5" s="45" t="e">
        <f aca="false">+GC!I33</f>
        <v>#N/A</v>
      </c>
      <c r="G5" s="45" t="e">
        <f aca="false">+GC!J33</f>
        <v>#N/A</v>
      </c>
      <c r="H5" s="45" t="e">
        <f aca="false">+GC!K33</f>
        <v>#N/A</v>
      </c>
      <c r="I5" s="45" t="e">
        <f aca="false">+GC!L33</f>
        <v>#N/A</v>
      </c>
      <c r="J5" s="45" t="e">
        <f aca="false">+GC!M33</f>
        <v>#N/A</v>
      </c>
      <c r="K5" s="45" t="e">
        <f aca="false">+GC!N33</f>
        <v>#N/A</v>
      </c>
      <c r="L5" s="45" t="e">
        <f aca="false">+GC!O33</f>
        <v>#N/A</v>
      </c>
      <c r="M5" s="45" t="e">
        <f aca="false">+GC!P33</f>
        <v>#N/A</v>
      </c>
      <c r="N5" s="45" t="e">
        <f aca="false">+GC!Q33</f>
        <v>#N/A</v>
      </c>
      <c r="O5" s="45" t="e">
        <f aca="false">+GC!R33</f>
        <v>#N/A</v>
      </c>
      <c r="P5" s="45" t="e">
        <f aca="false">+GC!S33</f>
        <v>#N/A</v>
      </c>
      <c r="Q5" s="45" t="e">
        <f aca="false">+GC!T33</f>
        <v>#N/A</v>
      </c>
      <c r="R5" s="45" t="e">
        <f aca="false">+GC!U33</f>
        <v>#N/A</v>
      </c>
      <c r="S5" s="45" t="e">
        <f aca="false">+GC!V33</f>
        <v>#N/A</v>
      </c>
      <c r="T5" s="45" t="e">
        <f aca="false">+GC!W33</f>
        <v>#N/A</v>
      </c>
      <c r="U5" s="45" t="e">
        <f aca="false">+GC!X33</f>
        <v>#N/A</v>
      </c>
      <c r="V5" s="45" t="e">
        <f aca="false">+GC!Y33</f>
        <v>#N/A</v>
      </c>
      <c r="W5" s="45" t="e">
        <f aca="false">+GC!Z33</f>
        <v>#N/A</v>
      </c>
      <c r="X5" s="45" t="e">
        <f aca="false">+GC!AA33</f>
        <v>#N/A</v>
      </c>
      <c r="Y5" s="45" t="e">
        <f aca="false">+GC!AB33</f>
        <v>#N/A</v>
      </c>
      <c r="Z5" s="45" t="e">
        <f aca="false">+GC!AC33</f>
        <v>#N/A</v>
      </c>
    </row>
    <row r="6" customFormat="false" ht="11.25" hidden="false" customHeight="false" outlineLevel="0" collapsed="false">
      <c r="A6" s="12"/>
      <c r="B6" s="43" t="s">
        <v>18</v>
      </c>
      <c r="C6" s="35" t="s">
        <v>21</v>
      </c>
      <c r="D6" s="43"/>
      <c r="F6" s="45" t="e">
        <f aca="false">+GC!I33</f>
        <v>#N/A</v>
      </c>
      <c r="G6" s="45" t="e">
        <f aca="false">+GC!J33</f>
        <v>#N/A</v>
      </c>
      <c r="H6" s="45" t="e">
        <f aca="false">+GC!K33</f>
        <v>#N/A</v>
      </c>
      <c r="I6" s="45" t="e">
        <f aca="false">+GC!L33</f>
        <v>#N/A</v>
      </c>
      <c r="J6" s="45" t="e">
        <f aca="false">+GC!M33</f>
        <v>#N/A</v>
      </c>
      <c r="K6" s="45" t="e">
        <f aca="false">+GC!N33</f>
        <v>#N/A</v>
      </c>
      <c r="L6" s="45" t="e">
        <f aca="false">+GC!O33</f>
        <v>#N/A</v>
      </c>
      <c r="M6" s="45" t="e">
        <f aca="false">+GC!P33</f>
        <v>#N/A</v>
      </c>
      <c r="N6" s="45" t="e">
        <f aca="false">+GC!Q33</f>
        <v>#N/A</v>
      </c>
      <c r="O6" s="45" t="e">
        <f aca="false">+GC!R33</f>
        <v>#N/A</v>
      </c>
      <c r="P6" s="45" t="e">
        <f aca="false">+GC!S33</f>
        <v>#N/A</v>
      </c>
      <c r="Q6" s="45" t="e">
        <f aca="false">+GC!T33</f>
        <v>#N/A</v>
      </c>
      <c r="R6" s="45" t="e">
        <f aca="false">+GC!U33</f>
        <v>#N/A</v>
      </c>
      <c r="S6" s="45" t="e">
        <f aca="false">+GC!V33</f>
        <v>#N/A</v>
      </c>
      <c r="T6" s="45" t="e">
        <f aca="false">+GC!W33</f>
        <v>#N/A</v>
      </c>
      <c r="U6" s="45" t="e">
        <f aca="false">+GC!X33</f>
        <v>#N/A</v>
      </c>
      <c r="V6" s="45" t="e">
        <f aca="false">+GC!Y33</f>
        <v>#N/A</v>
      </c>
      <c r="W6" s="45" t="e">
        <f aca="false">+GC!Z33</f>
        <v>#N/A</v>
      </c>
      <c r="X6" s="45" t="e">
        <f aca="false">+GC!AA33</f>
        <v>#N/A</v>
      </c>
      <c r="Y6" s="45" t="e">
        <f aca="false">+GC!AB33</f>
        <v>#N/A</v>
      </c>
      <c r="Z6" s="45" t="e">
        <f aca="false">+GC!AC33</f>
        <v>#N/A</v>
      </c>
    </row>
    <row r="7" customFormat="false" ht="11.25" hidden="false" customHeight="false" outlineLevel="0" collapsed="false">
      <c r="A7" s="12"/>
      <c r="B7" s="43" t="s">
        <v>18</v>
      </c>
      <c r="C7" s="5" t="s">
        <v>22</v>
      </c>
      <c r="D7" s="43" t="s">
        <v>23</v>
      </c>
      <c r="E7" s="46" t="n">
        <v>0</v>
      </c>
      <c r="F7" s="5" t="e">
        <f aca="false">+F6*$E$7</f>
        <v>#N/A</v>
      </c>
      <c r="G7" s="5" t="e">
        <f aca="false">+G6*$E$7</f>
        <v>#N/A</v>
      </c>
      <c r="H7" s="5" t="e">
        <f aca="false">+H6*$E$7</f>
        <v>#N/A</v>
      </c>
      <c r="I7" s="5" t="e">
        <f aca="false">+I6*$E$7</f>
        <v>#N/A</v>
      </c>
      <c r="J7" s="5" t="e">
        <f aca="false">+J6*$E$7</f>
        <v>#N/A</v>
      </c>
      <c r="K7" s="5" t="e">
        <f aca="false">+K6*$E$7</f>
        <v>#N/A</v>
      </c>
      <c r="L7" s="5" t="e">
        <f aca="false">+L6*$E$7</f>
        <v>#N/A</v>
      </c>
      <c r="M7" s="5" t="e">
        <f aca="false">+M6*$E$7</f>
        <v>#N/A</v>
      </c>
      <c r="N7" s="5" t="e">
        <f aca="false">+N6*$E$7</f>
        <v>#N/A</v>
      </c>
      <c r="O7" s="5" t="e">
        <f aca="false">+O6*$E$7</f>
        <v>#N/A</v>
      </c>
      <c r="P7" s="5" t="e">
        <f aca="false">+P6*$E$7</f>
        <v>#N/A</v>
      </c>
      <c r="Q7" s="5" t="e">
        <f aca="false">+Q6*$E$7</f>
        <v>#N/A</v>
      </c>
      <c r="R7" s="5" t="e">
        <f aca="false">+R6*$E$7</f>
        <v>#N/A</v>
      </c>
      <c r="S7" s="5" t="e">
        <f aca="false">+S6*$E$7</f>
        <v>#N/A</v>
      </c>
      <c r="T7" s="5" t="e">
        <f aca="false">+T6*$E$7</f>
        <v>#N/A</v>
      </c>
      <c r="U7" s="5" t="e">
        <f aca="false">+U6*$E$7</f>
        <v>#N/A</v>
      </c>
      <c r="V7" s="5" t="e">
        <f aca="false">+V6*$E$7</f>
        <v>#N/A</v>
      </c>
      <c r="W7" s="5" t="e">
        <f aca="false">+W6*$E$7</f>
        <v>#N/A</v>
      </c>
      <c r="X7" s="5" t="e">
        <f aca="false">+X6*$E$7</f>
        <v>#N/A</v>
      </c>
      <c r="Y7" s="5" t="e">
        <f aca="false">+Y6*$E$7</f>
        <v>#N/A</v>
      </c>
      <c r="Z7" s="5" t="e">
        <f aca="false">+Z6*$E$7</f>
        <v>#N/A</v>
      </c>
    </row>
    <row r="9" customFormat="false" ht="11.25" hidden="false" customHeight="false" outlineLevel="0" collapsed="false">
      <c r="A9" s="44" t="s">
        <v>24</v>
      </c>
      <c r="B9" s="43" t="s">
        <v>25</v>
      </c>
      <c r="C9" s="5" t="s">
        <v>26</v>
      </c>
      <c r="D9" s="44" t="s">
        <v>27</v>
      </c>
      <c r="E9" s="12"/>
      <c r="F9" s="47" t="e">
        <f aca="false">+F10</f>
        <v>#N/A</v>
      </c>
      <c r="G9" s="47" t="e">
        <f aca="false">+G10</f>
        <v>#N/A</v>
      </c>
      <c r="H9" s="47" t="e">
        <f aca="false">+H10</f>
        <v>#N/A</v>
      </c>
      <c r="I9" s="47" t="e">
        <f aca="false">+I10</f>
        <v>#N/A</v>
      </c>
      <c r="J9" s="47" t="e">
        <f aca="false">+J10</f>
        <v>#N/A</v>
      </c>
      <c r="K9" s="47" t="e">
        <f aca="false">+K10</f>
        <v>#N/A</v>
      </c>
      <c r="L9" s="47" t="e">
        <f aca="false">+L10</f>
        <v>#N/A</v>
      </c>
      <c r="M9" s="47" t="e">
        <f aca="false">+M10</f>
        <v>#N/A</v>
      </c>
      <c r="N9" s="47" t="e">
        <f aca="false">+N10</f>
        <v>#N/A</v>
      </c>
      <c r="O9" s="47" t="e">
        <f aca="false">+O10</f>
        <v>#N/A</v>
      </c>
      <c r="P9" s="47" t="e">
        <f aca="false">+P10</f>
        <v>#N/A</v>
      </c>
      <c r="Q9" s="47" t="e">
        <f aca="false">+Q10</f>
        <v>#N/A</v>
      </c>
      <c r="R9" s="47" t="e">
        <f aca="false">+R10</f>
        <v>#N/A</v>
      </c>
      <c r="S9" s="47" t="e">
        <f aca="false">+S10</f>
        <v>#N/A</v>
      </c>
      <c r="T9" s="47" t="e">
        <f aca="false">+T10</f>
        <v>#N/A</v>
      </c>
      <c r="U9" s="47" t="e">
        <f aca="false">+U10</f>
        <v>#N/A</v>
      </c>
      <c r="V9" s="47" t="e">
        <f aca="false">+V10</f>
        <v>#N/A</v>
      </c>
      <c r="W9" s="47" t="e">
        <f aca="false">+W10</f>
        <v>#N/A</v>
      </c>
      <c r="X9" s="47" t="e">
        <f aca="false">+X10</f>
        <v>#N/A</v>
      </c>
      <c r="Y9" s="47" t="e">
        <f aca="false">+Y10</f>
        <v>#N/A</v>
      </c>
      <c r="Z9" s="47" t="e">
        <f aca="false">+Z10</f>
        <v>#N/A</v>
      </c>
    </row>
    <row r="10" customFormat="false" ht="11.25" hidden="false" customHeight="false" outlineLevel="0" collapsed="false">
      <c r="A10" s="12"/>
      <c r="B10" s="5" t="s">
        <v>25</v>
      </c>
      <c r="C10" s="5" t="s">
        <v>28</v>
      </c>
      <c r="D10" s="5" t="s">
        <v>29</v>
      </c>
      <c r="E10" s="48" t="n">
        <v>7.7</v>
      </c>
      <c r="F10" s="5" t="e">
        <f aca="false">+F5*1000/$E$10/365</f>
        <v>#N/A</v>
      </c>
      <c r="G10" s="5" t="e">
        <f aca="false">+G5*1000/$E$10/365</f>
        <v>#N/A</v>
      </c>
      <c r="H10" s="5" t="e">
        <f aca="false">+H5*1000/$E$10/365</f>
        <v>#N/A</v>
      </c>
      <c r="I10" s="5" t="e">
        <f aca="false">+I5*1000/$E$10/365</f>
        <v>#N/A</v>
      </c>
      <c r="J10" s="5" t="e">
        <f aca="false">+J5*1000/$E$10/365</f>
        <v>#N/A</v>
      </c>
      <c r="K10" s="5" t="e">
        <f aca="false">+K5*1000/$E$10/365</f>
        <v>#N/A</v>
      </c>
      <c r="L10" s="5" t="e">
        <f aca="false">+L5*1000/$E$10/365</f>
        <v>#N/A</v>
      </c>
      <c r="M10" s="5" t="e">
        <f aca="false">+M5*1000/$E$10/365</f>
        <v>#N/A</v>
      </c>
      <c r="N10" s="5" t="e">
        <f aca="false">+N5*1000/$E$10/365</f>
        <v>#N/A</v>
      </c>
      <c r="O10" s="5" t="e">
        <f aca="false">+O5*1000/$E$10/365</f>
        <v>#N/A</v>
      </c>
      <c r="P10" s="5" t="e">
        <f aca="false">+P5*1000/$E$10/365</f>
        <v>#N/A</v>
      </c>
      <c r="Q10" s="5" t="e">
        <f aca="false">+Q5*1000/$E$10/365</f>
        <v>#N/A</v>
      </c>
      <c r="R10" s="5" t="e">
        <f aca="false">+R5*1000/$E$10/365</f>
        <v>#N/A</v>
      </c>
      <c r="S10" s="5" t="e">
        <f aca="false">+S5*1000/$E$10/365</f>
        <v>#N/A</v>
      </c>
      <c r="T10" s="5" t="e">
        <f aca="false">+T5*1000/$E$10/365</f>
        <v>#N/A</v>
      </c>
      <c r="U10" s="5" t="e">
        <f aca="false">+U5*1000/$E$10/365</f>
        <v>#N/A</v>
      </c>
      <c r="V10" s="5" t="e">
        <f aca="false">+V5*1000/$E$10/365</f>
        <v>#N/A</v>
      </c>
      <c r="W10" s="5" t="e">
        <f aca="false">+W5*1000/$E$10/365</f>
        <v>#N/A</v>
      </c>
      <c r="X10" s="5" t="e">
        <f aca="false">+X5*1000/$E$10/365</f>
        <v>#N/A</v>
      </c>
      <c r="Y10" s="5" t="e">
        <f aca="false">+Y5*1000/$E$10/365</f>
        <v>#N/A</v>
      </c>
      <c r="Z10" s="5" t="e">
        <f aca="false">+Z5*1000/$E$10/365</f>
        <v>#N/A</v>
      </c>
    </row>
    <row r="11" customFormat="false" ht="11.25" hidden="false" customHeight="false" outlineLevel="0" collapsed="false">
      <c r="A11" s="12"/>
      <c r="B11" s="5" t="s">
        <v>25</v>
      </c>
      <c r="C11" s="5" t="s">
        <v>30</v>
      </c>
      <c r="D11" s="44" t="s">
        <v>31</v>
      </c>
      <c r="E11" s="46" t="n">
        <v>0.05</v>
      </c>
      <c r="F11" s="5" t="e">
        <f aca="false">+F10*$E$11</f>
        <v>#N/A</v>
      </c>
      <c r="G11" s="5" t="e">
        <f aca="false">+G10*$E$11</f>
        <v>#N/A</v>
      </c>
      <c r="H11" s="5" t="e">
        <f aca="false">+H10*$E$11</f>
        <v>#N/A</v>
      </c>
      <c r="I11" s="5" t="e">
        <f aca="false">+I10*$E$11</f>
        <v>#N/A</v>
      </c>
      <c r="J11" s="5" t="e">
        <f aca="false">+J10*$E$11</f>
        <v>#N/A</v>
      </c>
      <c r="K11" s="5" t="e">
        <f aca="false">+K10*$E$11</f>
        <v>#N/A</v>
      </c>
      <c r="L11" s="5" t="e">
        <f aca="false">+L10*$E$11</f>
        <v>#N/A</v>
      </c>
      <c r="M11" s="5" t="e">
        <f aca="false">+M10*$E$11</f>
        <v>#N/A</v>
      </c>
      <c r="N11" s="5" t="e">
        <f aca="false">+N10*$E$11</f>
        <v>#N/A</v>
      </c>
      <c r="O11" s="5" t="e">
        <f aca="false">+O10*$E$11</f>
        <v>#N/A</v>
      </c>
      <c r="P11" s="5" t="e">
        <f aca="false">+P10*$E$11</f>
        <v>#N/A</v>
      </c>
      <c r="Q11" s="5" t="e">
        <f aca="false">+Q10*$E$11</f>
        <v>#N/A</v>
      </c>
      <c r="R11" s="5" t="e">
        <f aca="false">+R10*$E$11</f>
        <v>#N/A</v>
      </c>
      <c r="S11" s="5" t="e">
        <f aca="false">+S10*$E$11</f>
        <v>#N/A</v>
      </c>
      <c r="T11" s="5" t="e">
        <f aca="false">+T10*$E$11</f>
        <v>#N/A</v>
      </c>
      <c r="U11" s="5" t="e">
        <f aca="false">+U10*$E$11</f>
        <v>#N/A</v>
      </c>
      <c r="V11" s="5" t="e">
        <f aca="false">+V10*$E$11</f>
        <v>#N/A</v>
      </c>
      <c r="W11" s="5" t="e">
        <f aca="false">+W10*$E$11</f>
        <v>#N/A</v>
      </c>
      <c r="X11" s="5" t="e">
        <f aca="false">+X10*$E$11</f>
        <v>#N/A</v>
      </c>
      <c r="Y11" s="5" t="e">
        <f aca="false">+Y10*$E$11</f>
        <v>#N/A</v>
      </c>
      <c r="Z11" s="5" t="e">
        <f aca="false">+Z10*$E$11</f>
        <v>#N/A</v>
      </c>
    </row>
    <row r="12" customFormat="false" ht="11.25" hidden="false" customHeight="false" outlineLevel="0" collapsed="false">
      <c r="A12" s="12"/>
      <c r="E12" s="12"/>
    </row>
    <row r="13" customFormat="false" ht="11.25" hidden="false" customHeight="false" outlineLevel="0" collapsed="false">
      <c r="A13" s="43" t="s">
        <v>32</v>
      </c>
      <c r="B13" s="5" t="s">
        <v>33</v>
      </c>
      <c r="C13" s="5" t="s">
        <v>34</v>
      </c>
      <c r="D13" s="44" t="s">
        <v>35</v>
      </c>
      <c r="E13" s="12"/>
      <c r="F13" s="46" t="n">
        <f aca="false">+E14</f>
        <v>0.5</v>
      </c>
      <c r="G13" s="46" t="n">
        <f aca="false">F13</f>
        <v>0.5</v>
      </c>
      <c r="H13" s="46" t="n">
        <f aca="false">G13</f>
        <v>0.5</v>
      </c>
      <c r="I13" s="46" t="n">
        <f aca="false">H13</f>
        <v>0.5</v>
      </c>
      <c r="J13" s="46" t="n">
        <f aca="false">I13</f>
        <v>0.5</v>
      </c>
      <c r="K13" s="46" t="n">
        <f aca="false">J13</f>
        <v>0.5</v>
      </c>
      <c r="L13" s="46" t="n">
        <f aca="false">K13</f>
        <v>0.5</v>
      </c>
      <c r="M13" s="46" t="n">
        <f aca="false">L13</f>
        <v>0.5</v>
      </c>
      <c r="N13" s="46" t="n">
        <f aca="false">M13</f>
        <v>0.5</v>
      </c>
      <c r="O13" s="46" t="n">
        <f aca="false">N13</f>
        <v>0.5</v>
      </c>
      <c r="P13" s="46" t="n">
        <f aca="false">O13</f>
        <v>0.5</v>
      </c>
      <c r="Q13" s="46" t="n">
        <f aca="false">P13</f>
        <v>0.5</v>
      </c>
      <c r="R13" s="46" t="n">
        <f aca="false">Q13</f>
        <v>0.5</v>
      </c>
      <c r="S13" s="46" t="n">
        <f aca="false">R13</f>
        <v>0.5</v>
      </c>
      <c r="T13" s="46" t="n">
        <f aca="false">S13</f>
        <v>0.5</v>
      </c>
      <c r="U13" s="46" t="n">
        <f aca="false">T13</f>
        <v>0.5</v>
      </c>
      <c r="V13" s="46" t="n">
        <f aca="false">U13</f>
        <v>0.5</v>
      </c>
      <c r="W13" s="46" t="n">
        <f aca="false">V13</f>
        <v>0.5</v>
      </c>
      <c r="X13" s="46" t="n">
        <f aca="false">W13</f>
        <v>0.5</v>
      </c>
      <c r="Y13" s="46" t="n">
        <f aca="false">X13</f>
        <v>0.5</v>
      </c>
      <c r="Z13" s="46" t="n">
        <f aca="false">Y13</f>
        <v>0.5</v>
      </c>
      <c r="AA13" s="5" t="s">
        <v>36</v>
      </c>
    </row>
    <row r="14" customFormat="false" ht="11.25" hidden="false" customHeight="false" outlineLevel="0" collapsed="false">
      <c r="A14" s="12" t="s">
        <v>37</v>
      </c>
      <c r="B14" s="5" t="s">
        <v>33</v>
      </c>
      <c r="C14" s="5" t="s">
        <v>38</v>
      </c>
      <c r="D14" s="12"/>
      <c r="E14" s="46" t="n">
        <v>0.5</v>
      </c>
      <c r="F14" s="49" t="n">
        <f aca="false">E14</f>
        <v>0.5</v>
      </c>
      <c r="G14" s="49" t="n">
        <f aca="false">F14</f>
        <v>0.5</v>
      </c>
      <c r="H14" s="49" t="n">
        <f aca="false">G14</f>
        <v>0.5</v>
      </c>
      <c r="I14" s="49" t="n">
        <f aca="false">H14</f>
        <v>0.5</v>
      </c>
      <c r="J14" s="49" t="n">
        <f aca="false">I14</f>
        <v>0.5</v>
      </c>
      <c r="K14" s="49" t="n">
        <f aca="false">J14</f>
        <v>0.5</v>
      </c>
      <c r="L14" s="49" t="n">
        <f aca="false">K14</f>
        <v>0.5</v>
      </c>
      <c r="M14" s="49" t="n">
        <f aca="false">L14</f>
        <v>0.5</v>
      </c>
      <c r="N14" s="49" t="n">
        <f aca="false">M14</f>
        <v>0.5</v>
      </c>
      <c r="O14" s="49" t="n">
        <f aca="false">N14</f>
        <v>0.5</v>
      </c>
      <c r="P14" s="49" t="n">
        <f aca="false">O14</f>
        <v>0.5</v>
      </c>
      <c r="Q14" s="49" t="n">
        <f aca="false">P14</f>
        <v>0.5</v>
      </c>
      <c r="R14" s="49" t="n">
        <f aca="false">Q14</f>
        <v>0.5</v>
      </c>
      <c r="S14" s="49" t="n">
        <f aca="false">R14</f>
        <v>0.5</v>
      </c>
      <c r="T14" s="49" t="n">
        <f aca="false">S14</f>
        <v>0.5</v>
      </c>
      <c r="U14" s="49" t="n">
        <f aca="false">T14</f>
        <v>0.5</v>
      </c>
      <c r="V14" s="49" t="n">
        <f aca="false">U14</f>
        <v>0.5</v>
      </c>
      <c r="W14" s="49" t="n">
        <f aca="false">V14</f>
        <v>0.5</v>
      </c>
      <c r="X14" s="49" t="n">
        <f aca="false">W14</f>
        <v>0.5</v>
      </c>
      <c r="Y14" s="49" t="n">
        <f aca="false">X14</f>
        <v>0.5</v>
      </c>
      <c r="Z14" s="49" t="n">
        <f aca="false">Y14</f>
        <v>0.5</v>
      </c>
    </row>
    <row r="15" customFormat="false" ht="11.25" hidden="false" customHeight="false" outlineLevel="0" collapsed="false">
      <c r="A15" s="12"/>
      <c r="B15" s="5" t="s">
        <v>33</v>
      </c>
      <c r="C15" s="5" t="s">
        <v>39</v>
      </c>
      <c r="D15" s="44" t="s">
        <v>40</v>
      </c>
      <c r="E15" s="46" t="n">
        <v>0.05</v>
      </c>
      <c r="F15" s="49" t="n">
        <f aca="false">+F14*$E$15</f>
        <v>0.025</v>
      </c>
      <c r="G15" s="49" t="n">
        <f aca="false">+G14*$E$15</f>
        <v>0.025</v>
      </c>
      <c r="H15" s="49" t="n">
        <f aca="false">+H14*$E$15</f>
        <v>0.025</v>
      </c>
      <c r="I15" s="49" t="n">
        <f aca="false">+I14*$E$15</f>
        <v>0.025</v>
      </c>
      <c r="J15" s="49" t="n">
        <f aca="false">+J14*$E$15</f>
        <v>0.025</v>
      </c>
      <c r="K15" s="49" t="n">
        <f aca="false">+K14*$E$15</f>
        <v>0.025</v>
      </c>
      <c r="L15" s="49" t="n">
        <f aca="false">+L14*$E$15</f>
        <v>0.025</v>
      </c>
      <c r="M15" s="49" t="n">
        <f aca="false">+M14*$E$15</f>
        <v>0.025</v>
      </c>
      <c r="N15" s="49" t="n">
        <f aca="false">+N14*$E$15</f>
        <v>0.025</v>
      </c>
      <c r="O15" s="49" t="n">
        <f aca="false">+O14*$E$15</f>
        <v>0.025</v>
      </c>
      <c r="P15" s="49" t="n">
        <f aca="false">+P14*$E$15</f>
        <v>0.025</v>
      </c>
      <c r="Q15" s="49" t="n">
        <f aca="false">+Q14*$E$15</f>
        <v>0.025</v>
      </c>
      <c r="R15" s="49" t="n">
        <f aca="false">+R14*$E$15</f>
        <v>0.025</v>
      </c>
      <c r="S15" s="49" t="n">
        <f aca="false">+S14*$E$15</f>
        <v>0.025</v>
      </c>
      <c r="T15" s="49" t="n">
        <f aca="false">+T14*$E$15</f>
        <v>0.025</v>
      </c>
      <c r="U15" s="49" t="n">
        <f aca="false">+U14*$E$15</f>
        <v>0.025</v>
      </c>
      <c r="V15" s="49" t="n">
        <f aca="false">+V14*$E$15</f>
        <v>0.025</v>
      </c>
      <c r="W15" s="49" t="n">
        <f aca="false">+W14*$E$15</f>
        <v>0.025</v>
      </c>
      <c r="X15" s="49" t="n">
        <f aca="false">+X14*$E$15</f>
        <v>0.025</v>
      </c>
      <c r="Y15" s="49" t="n">
        <f aca="false">+Y14*$E$15</f>
        <v>0.025</v>
      </c>
      <c r="Z15" s="49" t="n">
        <f aca="false">+Z14*$E$15</f>
        <v>0.025</v>
      </c>
    </row>
    <row r="16" customFormat="false" ht="11.25" hidden="false" customHeight="false" outlineLevel="0" collapsed="false">
      <c r="A16" s="12"/>
      <c r="D16" s="12"/>
      <c r="E16" s="12"/>
    </row>
    <row r="17" customFormat="false" ht="11.25" hidden="false" customHeight="false" outlineLevel="0" collapsed="false">
      <c r="A17" s="44" t="s">
        <v>41</v>
      </c>
      <c r="B17" s="44" t="s">
        <v>42</v>
      </c>
      <c r="C17" s="5" t="s">
        <v>43</v>
      </c>
      <c r="D17" s="43" t="s">
        <v>35</v>
      </c>
      <c r="E17" s="12"/>
      <c r="F17" s="46" t="n">
        <f aca="false">E18</f>
        <v>0.01</v>
      </c>
      <c r="G17" s="46" t="n">
        <f aca="false">F17</f>
        <v>0.01</v>
      </c>
      <c r="H17" s="46" t="n">
        <f aca="false">G17</f>
        <v>0.01</v>
      </c>
      <c r="I17" s="46" t="n">
        <f aca="false">H17</f>
        <v>0.01</v>
      </c>
      <c r="J17" s="46" t="n">
        <f aca="false">I17</f>
        <v>0.01</v>
      </c>
      <c r="K17" s="46" t="n">
        <f aca="false">J17</f>
        <v>0.01</v>
      </c>
      <c r="L17" s="46" t="n">
        <f aca="false">K17</f>
        <v>0.01</v>
      </c>
      <c r="M17" s="46" t="n">
        <f aca="false">L17</f>
        <v>0.01</v>
      </c>
      <c r="N17" s="46" t="n">
        <f aca="false">M17</f>
        <v>0.01</v>
      </c>
      <c r="O17" s="46" t="n">
        <f aca="false">N17</f>
        <v>0.01</v>
      </c>
      <c r="P17" s="46" t="n">
        <f aca="false">O17</f>
        <v>0.01</v>
      </c>
      <c r="Q17" s="46" t="n">
        <f aca="false">P17</f>
        <v>0.01</v>
      </c>
      <c r="R17" s="46" t="n">
        <f aca="false">Q17</f>
        <v>0.01</v>
      </c>
      <c r="S17" s="46" t="n">
        <f aca="false">R17</f>
        <v>0.01</v>
      </c>
      <c r="T17" s="46" t="n">
        <f aca="false">S17</f>
        <v>0.01</v>
      </c>
      <c r="U17" s="46" t="n">
        <f aca="false">T17</f>
        <v>0.01</v>
      </c>
      <c r="V17" s="46" t="n">
        <f aca="false">U17</f>
        <v>0.01</v>
      </c>
      <c r="W17" s="46" t="n">
        <f aca="false">V17</f>
        <v>0.01</v>
      </c>
      <c r="X17" s="46" t="n">
        <f aca="false">W17</f>
        <v>0.01</v>
      </c>
      <c r="Y17" s="46" t="n">
        <f aca="false">X17</f>
        <v>0.01</v>
      </c>
      <c r="Z17" s="46" t="n">
        <f aca="false">Y17</f>
        <v>0.01</v>
      </c>
    </row>
    <row r="18" customFormat="false" ht="11.25" hidden="false" customHeight="false" outlineLevel="0" collapsed="false">
      <c r="A18" s="12" t="s">
        <v>37</v>
      </c>
      <c r="B18" s="5" t="s">
        <v>44</v>
      </c>
      <c r="C18" s="5" t="s">
        <v>45</v>
      </c>
      <c r="E18" s="46" t="n">
        <v>0.01</v>
      </c>
      <c r="F18" s="5" t="n">
        <f aca="false">E18</f>
        <v>0.01</v>
      </c>
      <c r="G18" s="5" t="n">
        <f aca="false">F18</f>
        <v>0.01</v>
      </c>
      <c r="H18" s="5" t="n">
        <f aca="false">G18</f>
        <v>0.01</v>
      </c>
      <c r="I18" s="5" t="n">
        <f aca="false">H18</f>
        <v>0.01</v>
      </c>
      <c r="J18" s="5" t="n">
        <f aca="false">I18</f>
        <v>0.01</v>
      </c>
      <c r="K18" s="5" t="n">
        <f aca="false">J18</f>
        <v>0.01</v>
      </c>
      <c r="L18" s="5" t="n">
        <f aca="false">K18</f>
        <v>0.01</v>
      </c>
      <c r="M18" s="5" t="n">
        <f aca="false">L18</f>
        <v>0.01</v>
      </c>
      <c r="N18" s="5" t="n">
        <f aca="false">M18</f>
        <v>0.01</v>
      </c>
      <c r="O18" s="5" t="n">
        <f aca="false">N18</f>
        <v>0.01</v>
      </c>
      <c r="P18" s="5" t="n">
        <f aca="false">O18</f>
        <v>0.01</v>
      </c>
      <c r="Q18" s="5" t="n">
        <f aca="false">P18</f>
        <v>0.01</v>
      </c>
      <c r="R18" s="5" t="n">
        <f aca="false">Q18</f>
        <v>0.01</v>
      </c>
      <c r="S18" s="5" t="n">
        <f aca="false">R18</f>
        <v>0.01</v>
      </c>
      <c r="T18" s="5" t="n">
        <f aca="false">S18</f>
        <v>0.01</v>
      </c>
      <c r="U18" s="5" t="n">
        <f aca="false">T18</f>
        <v>0.01</v>
      </c>
      <c r="V18" s="5" t="n">
        <f aca="false">U18</f>
        <v>0.01</v>
      </c>
      <c r="W18" s="5" t="n">
        <f aca="false">V18</f>
        <v>0.01</v>
      </c>
      <c r="X18" s="5" t="n">
        <f aca="false">W18</f>
        <v>0.01</v>
      </c>
      <c r="Y18" s="5" t="n">
        <f aca="false">X18</f>
        <v>0.01</v>
      </c>
      <c r="Z18" s="5" t="n">
        <f aca="false">Y18</f>
        <v>0.01</v>
      </c>
    </row>
    <row r="19" customFormat="false" ht="11.25" hidden="false" customHeight="false" outlineLevel="0" collapsed="false">
      <c r="A19" s="12"/>
      <c r="B19" s="5" t="s">
        <v>44</v>
      </c>
      <c r="C19" s="5" t="s">
        <v>46</v>
      </c>
      <c r="D19" s="5" t="s">
        <v>47</v>
      </c>
      <c r="E19" s="46" t="n">
        <v>0.05</v>
      </c>
      <c r="F19" s="5" t="n">
        <f aca="false">+$E$19*F18</f>
        <v>0.0005</v>
      </c>
      <c r="G19" s="5" t="n">
        <f aca="false">+$E$19*G18</f>
        <v>0.0005</v>
      </c>
      <c r="H19" s="5" t="n">
        <f aca="false">+$E$19*H18</f>
        <v>0.0005</v>
      </c>
      <c r="I19" s="5" t="n">
        <f aca="false">+$E$19*I18</f>
        <v>0.0005</v>
      </c>
      <c r="J19" s="5" t="n">
        <f aca="false">+$E$19*J18</f>
        <v>0.0005</v>
      </c>
      <c r="K19" s="5" t="n">
        <f aca="false">+$E$19*K18</f>
        <v>0.0005</v>
      </c>
      <c r="L19" s="5" t="n">
        <f aca="false">+$E$19*L18</f>
        <v>0.0005</v>
      </c>
      <c r="M19" s="5" t="n">
        <f aca="false">+$E$19*M18</f>
        <v>0.0005</v>
      </c>
      <c r="N19" s="5" t="n">
        <f aca="false">+$E$19*N18</f>
        <v>0.0005</v>
      </c>
      <c r="O19" s="5" t="n">
        <f aca="false">+$E$19*O18</f>
        <v>0.0005</v>
      </c>
      <c r="P19" s="5" t="n">
        <f aca="false">+$E$19*P18</f>
        <v>0.0005</v>
      </c>
      <c r="Q19" s="5" t="n">
        <f aca="false">+$E$19*Q18</f>
        <v>0.0005</v>
      </c>
      <c r="R19" s="5" t="n">
        <f aca="false">+$E$19*R18</f>
        <v>0.0005</v>
      </c>
      <c r="S19" s="5" t="n">
        <f aca="false">+$E$19*S18</f>
        <v>0.0005</v>
      </c>
      <c r="T19" s="5" t="n">
        <f aca="false">+$E$19*T18</f>
        <v>0.0005</v>
      </c>
      <c r="U19" s="5" t="n">
        <f aca="false">+$E$19*U18</f>
        <v>0.0005</v>
      </c>
      <c r="V19" s="5" t="n">
        <f aca="false">+$E$19*V18</f>
        <v>0.0005</v>
      </c>
      <c r="W19" s="5" t="n">
        <f aca="false">+$E$19*W18</f>
        <v>0.0005</v>
      </c>
      <c r="X19" s="5" t="n">
        <f aca="false">+$E$19*X18</f>
        <v>0.0005</v>
      </c>
      <c r="Y19" s="5" t="n">
        <f aca="false">+$E$19*Y18</f>
        <v>0.0005</v>
      </c>
      <c r="Z19" s="5" t="n">
        <f aca="false">+$E$19*Z18</f>
        <v>0.0005</v>
      </c>
    </row>
    <row r="20" customFormat="false" ht="11.25" hidden="false" customHeight="false" outlineLevel="0" collapsed="false">
      <c r="A20" s="12"/>
    </row>
    <row r="21" customFormat="false" ht="11.25" hidden="false" customHeight="false" outlineLevel="0" collapsed="false">
      <c r="A21" s="5" t="s">
        <v>48</v>
      </c>
      <c r="B21" s="5" t="s">
        <v>49</v>
      </c>
      <c r="C21" s="5" t="s">
        <v>50</v>
      </c>
      <c r="E21" s="12"/>
      <c r="F21" s="12" t="n">
        <v>0</v>
      </c>
      <c r="G21" s="12" t="n">
        <f aca="false">+F21+1</f>
        <v>1</v>
      </c>
      <c r="H21" s="12" t="n">
        <f aca="false">+G21+1</f>
        <v>2</v>
      </c>
      <c r="I21" s="12" t="n">
        <f aca="false">+H21+1</f>
        <v>3</v>
      </c>
      <c r="J21" s="12" t="n">
        <f aca="false">+I21+1</f>
        <v>4</v>
      </c>
      <c r="K21" s="12" t="n">
        <f aca="false">+J21+1</f>
        <v>5</v>
      </c>
      <c r="L21" s="12" t="n">
        <f aca="false">+K21+1</f>
        <v>6</v>
      </c>
      <c r="M21" s="12" t="n">
        <f aca="false">+L21+1</f>
        <v>7</v>
      </c>
      <c r="N21" s="12" t="n">
        <f aca="false">+M21+1</f>
        <v>8</v>
      </c>
      <c r="O21" s="12" t="n">
        <f aca="false">+N21+1</f>
        <v>9</v>
      </c>
      <c r="P21" s="12" t="n">
        <f aca="false">+O21+1</f>
        <v>10</v>
      </c>
      <c r="Q21" s="12" t="n">
        <f aca="false">+P21+1</f>
        <v>11</v>
      </c>
      <c r="R21" s="12" t="n">
        <f aca="false">+Q21+1</f>
        <v>12</v>
      </c>
      <c r="S21" s="12" t="n">
        <f aca="false">+R21+1</f>
        <v>13</v>
      </c>
      <c r="T21" s="12" t="n">
        <f aca="false">+S21+1</f>
        <v>14</v>
      </c>
      <c r="U21" s="12" t="n">
        <f aca="false">+T21+1</f>
        <v>15</v>
      </c>
      <c r="V21" s="12" t="n">
        <f aca="false">+U21+1</f>
        <v>16</v>
      </c>
      <c r="W21" s="12" t="n">
        <f aca="false">+V21+1</f>
        <v>17</v>
      </c>
      <c r="X21" s="12" t="n">
        <f aca="false">+W21+1</f>
        <v>18</v>
      </c>
      <c r="Y21" s="12" t="n">
        <f aca="false">+X21+1</f>
        <v>19</v>
      </c>
      <c r="Z21" s="12" t="n">
        <f aca="false">+Y21+1</f>
        <v>20</v>
      </c>
    </row>
    <row r="22" customFormat="false" ht="11.25" hidden="false" customHeight="false" outlineLevel="0" collapsed="false">
      <c r="A22" s="5" t="s">
        <v>51</v>
      </c>
      <c r="B22" s="5" t="s">
        <v>49</v>
      </c>
      <c r="C22" s="5" t="s">
        <v>52</v>
      </c>
      <c r="D22" s="44" t="s">
        <v>53</v>
      </c>
      <c r="E22" s="50" t="n">
        <v>1</v>
      </c>
      <c r="F22" s="12" t="n">
        <f aca="false">+F21+E22</f>
        <v>1</v>
      </c>
      <c r="G22" s="12" t="n">
        <f aca="false">+F22+1</f>
        <v>2</v>
      </c>
      <c r="H22" s="12" t="n">
        <f aca="false">+G22+1</f>
        <v>3</v>
      </c>
      <c r="I22" s="12" t="n">
        <f aca="false">+H22+1</f>
        <v>4</v>
      </c>
      <c r="J22" s="12" t="n">
        <f aca="false">+I22+1</f>
        <v>5</v>
      </c>
      <c r="K22" s="12" t="n">
        <f aca="false">+J22+1</f>
        <v>6</v>
      </c>
      <c r="L22" s="12" t="n">
        <f aca="false">+K22+1</f>
        <v>7</v>
      </c>
      <c r="M22" s="12" t="n">
        <f aca="false">+L22+1</f>
        <v>8</v>
      </c>
      <c r="N22" s="12" t="n">
        <f aca="false">+M22+1</f>
        <v>9</v>
      </c>
      <c r="O22" s="12" t="n">
        <f aca="false">+N22+1</f>
        <v>10</v>
      </c>
      <c r="P22" s="12" t="n">
        <f aca="false">+O22+1</f>
        <v>11</v>
      </c>
      <c r="Q22" s="12" t="n">
        <f aca="false">+P22+1</f>
        <v>12</v>
      </c>
      <c r="R22" s="12" t="n">
        <f aca="false">+Q22+1</f>
        <v>13</v>
      </c>
      <c r="S22" s="12" t="n">
        <f aca="false">+R22+1</f>
        <v>14</v>
      </c>
      <c r="T22" s="12" t="n">
        <f aca="false">+S22+1</f>
        <v>15</v>
      </c>
      <c r="U22" s="12" t="n">
        <f aca="false">+T22+1</f>
        <v>16</v>
      </c>
      <c r="V22" s="12" t="n">
        <f aca="false">+U22+1</f>
        <v>17</v>
      </c>
      <c r="W22" s="12" t="n">
        <f aca="false">+V22+1</f>
        <v>18</v>
      </c>
      <c r="X22" s="12" t="n">
        <f aca="false">+W22+1</f>
        <v>19</v>
      </c>
      <c r="Y22" s="12" t="n">
        <f aca="false">+X22+1</f>
        <v>20</v>
      </c>
      <c r="Z22" s="12" t="n">
        <f aca="false">+Y22+1</f>
        <v>21</v>
      </c>
    </row>
    <row r="23" customFormat="false" ht="11.25" hidden="false" customHeight="false" outlineLevel="0" collapsed="false">
      <c r="A23" s="5" t="s">
        <v>54</v>
      </c>
      <c r="B23" s="5" t="s">
        <v>25</v>
      </c>
      <c r="C23" s="5" t="s">
        <v>55</v>
      </c>
      <c r="E23" s="12"/>
      <c r="F23" s="51" t="n">
        <v>10</v>
      </c>
      <c r="G23" s="50" t="n">
        <f aca="false">F23</f>
        <v>10</v>
      </c>
      <c r="H23" s="50" t="n">
        <f aca="false">G23</f>
        <v>10</v>
      </c>
      <c r="I23" s="50" t="n">
        <f aca="false">H23</f>
        <v>10</v>
      </c>
      <c r="J23" s="50" t="n">
        <f aca="false">I23</f>
        <v>10</v>
      </c>
      <c r="K23" s="50" t="n">
        <f aca="false">J23</f>
        <v>10</v>
      </c>
      <c r="L23" s="50" t="n">
        <f aca="false">K23</f>
        <v>10</v>
      </c>
      <c r="M23" s="50" t="n">
        <f aca="false">L23</f>
        <v>10</v>
      </c>
      <c r="N23" s="50" t="n">
        <f aca="false">M23</f>
        <v>10</v>
      </c>
      <c r="O23" s="50" t="n">
        <f aca="false">N23</f>
        <v>10</v>
      </c>
      <c r="P23" s="50" t="n">
        <f aca="false">O23</f>
        <v>10</v>
      </c>
      <c r="Q23" s="50" t="n">
        <f aca="false">P23</f>
        <v>10</v>
      </c>
      <c r="R23" s="50" t="n">
        <f aca="false">Q23</f>
        <v>10</v>
      </c>
      <c r="S23" s="50" t="n">
        <f aca="false">R23</f>
        <v>10</v>
      </c>
      <c r="T23" s="50" t="n">
        <f aca="false">S23</f>
        <v>10</v>
      </c>
      <c r="U23" s="50" t="n">
        <f aca="false">T23</f>
        <v>10</v>
      </c>
      <c r="V23" s="50" t="n">
        <f aca="false">U23</f>
        <v>10</v>
      </c>
      <c r="W23" s="50" t="n">
        <f aca="false">V23</f>
        <v>10</v>
      </c>
      <c r="X23" s="50" t="n">
        <f aca="false">W23</f>
        <v>10</v>
      </c>
      <c r="Y23" s="50" t="n">
        <f aca="false">X23</f>
        <v>10</v>
      </c>
      <c r="Z23" s="50" t="n">
        <f aca="false">Y23</f>
        <v>10</v>
      </c>
    </row>
    <row r="24" customFormat="false" ht="11.25" hidden="false" customHeight="false" outlineLevel="0" collapsed="false">
      <c r="A24" s="5" t="s">
        <v>56</v>
      </c>
      <c r="B24" s="5" t="s">
        <v>57</v>
      </c>
      <c r="C24" s="5" t="s">
        <v>58</v>
      </c>
      <c r="E24" s="12"/>
      <c r="F24" s="26" t="n">
        <v>0</v>
      </c>
      <c r="G24" s="26" t="n">
        <f aca="false">F24</f>
        <v>0</v>
      </c>
      <c r="H24" s="26" t="n">
        <f aca="false">G24</f>
        <v>0</v>
      </c>
      <c r="I24" s="26" t="n">
        <f aca="false">H24</f>
        <v>0</v>
      </c>
      <c r="J24" s="26" t="n">
        <f aca="false">I24</f>
        <v>0</v>
      </c>
      <c r="K24" s="26" t="n">
        <f aca="false">J24</f>
        <v>0</v>
      </c>
      <c r="L24" s="26" t="n">
        <f aca="false">K24</f>
        <v>0</v>
      </c>
      <c r="M24" s="26" t="n">
        <f aca="false">L24</f>
        <v>0</v>
      </c>
      <c r="N24" s="26" t="n">
        <f aca="false">M24</f>
        <v>0</v>
      </c>
      <c r="O24" s="26" t="n">
        <f aca="false">N24</f>
        <v>0</v>
      </c>
      <c r="P24" s="26" t="n">
        <f aca="false">O24</f>
        <v>0</v>
      </c>
      <c r="Q24" s="26" t="n">
        <f aca="false">P24</f>
        <v>0</v>
      </c>
      <c r="R24" s="26" t="n">
        <f aca="false">Q24</f>
        <v>0</v>
      </c>
      <c r="S24" s="26" t="n">
        <f aca="false">R24</f>
        <v>0</v>
      </c>
      <c r="T24" s="26" t="n">
        <f aca="false">S24</f>
        <v>0</v>
      </c>
      <c r="U24" s="26" t="n">
        <f aca="false">T24</f>
        <v>0</v>
      </c>
      <c r="V24" s="26" t="n">
        <f aca="false">U24</f>
        <v>0</v>
      </c>
      <c r="W24" s="26" t="n">
        <f aca="false">V24</f>
        <v>0</v>
      </c>
      <c r="X24" s="26" t="n">
        <f aca="false">W24</f>
        <v>0</v>
      </c>
      <c r="Y24" s="26" t="n">
        <f aca="false">X24</f>
        <v>0</v>
      </c>
      <c r="Z24" s="26" t="n">
        <f aca="false">Y24</f>
        <v>0</v>
      </c>
    </row>
    <row r="25" customFormat="false" ht="11.25" hidden="false" customHeight="false" outlineLevel="0" collapsed="false">
      <c r="A25" s="12"/>
      <c r="B25" s="12"/>
      <c r="C25" s="12"/>
      <c r="D25" s="12"/>
      <c r="E25" s="12"/>
      <c r="F25" s="12"/>
      <c r="G25" s="12"/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12"/>
      <c r="Y25" s="12"/>
      <c r="Z25" s="12"/>
    </row>
    <row r="26" customFormat="false" ht="11.25" hidden="false" customHeight="false" outlineLevel="0" collapsed="false">
      <c r="A26" s="52" t="s">
        <v>59</v>
      </c>
      <c r="B26" s="12"/>
      <c r="C26" s="12"/>
      <c r="D26" s="12"/>
      <c r="E26" s="12"/>
      <c r="F26" s="53" t="e">
        <f aca="false">(SUM(F55:F94)-F5)/F5</f>
        <v>#N/A</v>
      </c>
      <c r="G26" s="53" t="e">
        <f aca="false">(SUM(G55:G94)-G5)/G5</f>
        <v>#N/A</v>
      </c>
      <c r="H26" s="53" t="e">
        <f aca="false">(SUM(H55:H94)-H5)/H5</f>
        <v>#N/A</v>
      </c>
      <c r="I26" s="53" t="e">
        <f aca="false">(SUM(I55:I94)-I5)/I5</f>
        <v>#N/A</v>
      </c>
      <c r="J26" s="53" t="e">
        <f aca="false">(SUM(J55:J94)-J5)/J5</f>
        <v>#N/A</v>
      </c>
      <c r="K26" s="53" t="e">
        <f aca="false">(SUM(K55:K94)-K5)/K5</f>
        <v>#N/A</v>
      </c>
      <c r="L26" s="53" t="e">
        <f aca="false">(SUM(L55:L94)-L5)/L5</f>
        <v>#N/A</v>
      </c>
      <c r="M26" s="53" t="e">
        <f aca="false">(SUM(M55:M94)-M5)/M5</f>
        <v>#N/A</v>
      </c>
      <c r="N26" s="53" t="e">
        <f aca="false">(SUM(N55:N94)-N5)/N5</f>
        <v>#N/A</v>
      </c>
      <c r="O26" s="53" t="e">
        <f aca="false">(SUM(O55:O94)-O5)/O5</f>
        <v>#N/A</v>
      </c>
      <c r="P26" s="53" t="e">
        <f aca="false">(SUM(P55:P94)-P5)/P5</f>
        <v>#N/A</v>
      </c>
      <c r="Q26" s="53" t="e">
        <f aca="false">(SUM(Q55:Q94)-Q5)/Q5</f>
        <v>#N/A</v>
      </c>
      <c r="R26" s="53" t="e">
        <f aca="false">(SUM(R55:R94)-R5)/R5</f>
        <v>#N/A</v>
      </c>
      <c r="S26" s="53" t="e">
        <f aca="false">(SUM(S55:S94)-S5)/S5</f>
        <v>#N/A</v>
      </c>
      <c r="T26" s="53" t="e">
        <f aca="false">(SUM(T55:T94)-T5)/T5</f>
        <v>#N/A</v>
      </c>
      <c r="U26" s="53" t="e">
        <f aca="false">(SUM(U55:U94)-U5)/U5</f>
        <v>#N/A</v>
      </c>
      <c r="V26" s="53" t="e">
        <f aca="false">(SUM(V55:V94)-V5)/V5</f>
        <v>#N/A</v>
      </c>
      <c r="W26" s="53" t="e">
        <f aca="false">(SUM(W55:W94)-W5)/W5</f>
        <v>#N/A</v>
      </c>
      <c r="X26" s="53" t="e">
        <f aca="false">(SUM(X55:X94)-X5)/X5</f>
        <v>#N/A</v>
      </c>
      <c r="Y26" s="53" t="e">
        <f aca="false">(SUM(Y55:Y94)-Y5)/Y5</f>
        <v>#N/A</v>
      </c>
      <c r="Z26" s="53" t="e">
        <f aca="false">(SUM(Z55:Z94)-Z5)/Z5</f>
        <v>#N/A</v>
      </c>
    </row>
    <row r="27" customFormat="false" ht="11.25" hidden="false" customHeight="false" outlineLevel="0" collapsed="false">
      <c r="A27" s="12"/>
      <c r="B27" s="12"/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</row>
    <row r="28" customFormat="false" ht="11.25" hidden="false" customHeight="false" outlineLevel="0" collapsed="false">
      <c r="A28" s="12"/>
      <c r="B28" s="12"/>
      <c r="C28" s="12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</row>
    <row r="29" customFormat="false" ht="11.25" hidden="false" customHeight="false" outlineLevel="0" collapsed="false">
      <c r="A29" s="5" t="s">
        <v>60</v>
      </c>
      <c r="B29" s="5" t="s">
        <v>49</v>
      </c>
      <c r="C29" s="35" t="s">
        <v>61</v>
      </c>
      <c r="E29" s="12"/>
      <c r="F29" s="5" t="n">
        <f aca="false">INT(F21)</f>
        <v>0</v>
      </c>
      <c r="G29" s="5" t="n">
        <f aca="false">INT(G21)</f>
        <v>1</v>
      </c>
      <c r="H29" s="5" t="n">
        <f aca="false">INT(H21)</f>
        <v>2</v>
      </c>
      <c r="I29" s="5" t="n">
        <f aca="false">INT(I21)</f>
        <v>3</v>
      </c>
      <c r="J29" s="5" t="n">
        <f aca="false">INT(J21)</f>
        <v>4</v>
      </c>
      <c r="K29" s="5" t="n">
        <f aca="false">INT(K21)</f>
        <v>5</v>
      </c>
      <c r="L29" s="5" t="n">
        <f aca="false">INT(L21)</f>
        <v>6</v>
      </c>
      <c r="M29" s="5" t="n">
        <f aca="false">INT(M21)</f>
        <v>7</v>
      </c>
      <c r="N29" s="5" t="n">
        <f aca="false">INT(N21)</f>
        <v>8</v>
      </c>
      <c r="O29" s="5" t="n">
        <f aca="false">INT(O21)</f>
        <v>9</v>
      </c>
      <c r="P29" s="5" t="n">
        <f aca="false">INT(P21)</f>
        <v>10</v>
      </c>
      <c r="Q29" s="5" t="n">
        <f aca="false">INT(Q21)</f>
        <v>11</v>
      </c>
      <c r="R29" s="5" t="n">
        <f aca="false">INT(R21)</f>
        <v>12</v>
      </c>
      <c r="S29" s="5" t="n">
        <f aca="false">INT(S21)</f>
        <v>13</v>
      </c>
      <c r="T29" s="5" t="n">
        <f aca="false">INT(T21)</f>
        <v>14</v>
      </c>
      <c r="U29" s="5" t="n">
        <f aca="false">INT(U21)</f>
        <v>15</v>
      </c>
      <c r="V29" s="5" t="n">
        <f aca="false">INT(V21)</f>
        <v>16</v>
      </c>
      <c r="W29" s="5" t="n">
        <f aca="false">INT(W21)</f>
        <v>17</v>
      </c>
      <c r="X29" s="5" t="n">
        <f aca="false">INT(X21)</f>
        <v>18</v>
      </c>
      <c r="Y29" s="5" t="n">
        <f aca="false">INT(Y21)</f>
        <v>19</v>
      </c>
      <c r="Z29" s="5" t="n">
        <f aca="false">INT(Z21)</f>
        <v>20</v>
      </c>
    </row>
    <row r="30" customFormat="false" ht="11.25" hidden="false" customHeight="false" outlineLevel="0" collapsed="false">
      <c r="A30" s="5" t="s">
        <v>62</v>
      </c>
      <c r="B30" s="5" t="s">
        <v>49</v>
      </c>
      <c r="C30" s="5" t="s">
        <v>63</v>
      </c>
      <c r="E30" s="12"/>
      <c r="F30" s="5" t="n">
        <f aca="false">INT(F22)</f>
        <v>1</v>
      </c>
      <c r="G30" s="5" t="n">
        <f aca="false">INT(G22)</f>
        <v>2</v>
      </c>
      <c r="H30" s="5" t="n">
        <f aca="false">INT(H22)</f>
        <v>3</v>
      </c>
      <c r="I30" s="5" t="n">
        <f aca="false">INT(I22)</f>
        <v>4</v>
      </c>
      <c r="J30" s="5" t="n">
        <f aca="false">INT(J22)</f>
        <v>5</v>
      </c>
      <c r="K30" s="5" t="n">
        <f aca="false">INT(K22)</f>
        <v>6</v>
      </c>
      <c r="L30" s="5" t="n">
        <f aca="false">INT(L22)</f>
        <v>7</v>
      </c>
      <c r="M30" s="5" t="n">
        <f aca="false">INT(M22)</f>
        <v>8</v>
      </c>
      <c r="N30" s="5" t="n">
        <f aca="false">INT(N22)</f>
        <v>9</v>
      </c>
      <c r="O30" s="5" t="n">
        <f aca="false">INT(O22)</f>
        <v>10</v>
      </c>
      <c r="P30" s="5" t="n">
        <f aca="false">INT(P22)</f>
        <v>11</v>
      </c>
      <c r="Q30" s="5" t="n">
        <f aca="false">INT(Q22)</f>
        <v>12</v>
      </c>
      <c r="R30" s="5" t="n">
        <f aca="false">INT(R22)</f>
        <v>13</v>
      </c>
      <c r="S30" s="5" t="n">
        <f aca="false">INT(S22)</f>
        <v>14</v>
      </c>
      <c r="T30" s="5" t="n">
        <f aca="false">INT(T22)</f>
        <v>15</v>
      </c>
      <c r="U30" s="5" t="n">
        <f aca="false">INT(U22)</f>
        <v>16</v>
      </c>
      <c r="V30" s="5" t="n">
        <f aca="false">INT(V22)</f>
        <v>17</v>
      </c>
      <c r="W30" s="5" t="n">
        <f aca="false">INT(W22)</f>
        <v>18</v>
      </c>
      <c r="X30" s="5" t="n">
        <f aca="false">INT(X22)</f>
        <v>19</v>
      </c>
      <c r="Y30" s="5" t="n">
        <f aca="false">INT(Y22)</f>
        <v>20</v>
      </c>
      <c r="Z30" s="5" t="n">
        <f aca="false">INT(Z22)</f>
        <v>21</v>
      </c>
    </row>
    <row r="31" customFormat="false" ht="11.25" hidden="false" customHeight="false" outlineLevel="0" collapsed="false">
      <c r="A31" s="5" t="s">
        <v>64</v>
      </c>
      <c r="B31" s="44"/>
      <c r="C31" s="5" t="s">
        <v>65</v>
      </c>
      <c r="D31" s="44"/>
      <c r="E31" s="12"/>
      <c r="F31" s="54" t="n">
        <f aca="false">EXP(-F17)</f>
        <v>0.990049833749168</v>
      </c>
      <c r="G31" s="55" t="n">
        <f aca="false">EXP(-G17)</f>
        <v>0.990049833749168</v>
      </c>
      <c r="H31" s="55" t="n">
        <f aca="false">EXP(-H17)</f>
        <v>0.990049833749168</v>
      </c>
      <c r="I31" s="55" t="n">
        <f aca="false">EXP(-I17)</f>
        <v>0.990049833749168</v>
      </c>
      <c r="J31" s="55" t="n">
        <f aca="false">EXP(-J17)</f>
        <v>0.990049833749168</v>
      </c>
      <c r="K31" s="55" t="n">
        <f aca="false">EXP(-K17)</f>
        <v>0.990049833749168</v>
      </c>
      <c r="L31" s="55" t="n">
        <f aca="false">EXP(-L17)</f>
        <v>0.990049833749168</v>
      </c>
      <c r="M31" s="55" t="n">
        <f aca="false">EXP(-M17)</f>
        <v>0.990049833749168</v>
      </c>
      <c r="N31" s="55" t="n">
        <f aca="false">EXP(-N17)</f>
        <v>0.990049833749168</v>
      </c>
      <c r="O31" s="55" t="n">
        <f aca="false">EXP(-O17)</f>
        <v>0.990049833749168</v>
      </c>
      <c r="P31" s="55" t="n">
        <f aca="false">EXP(-P17)</f>
        <v>0.990049833749168</v>
      </c>
      <c r="Q31" s="55" t="n">
        <f aca="false">EXP(-Q17)</f>
        <v>0.990049833749168</v>
      </c>
      <c r="R31" s="55" t="n">
        <f aca="false">EXP(-R17)</f>
        <v>0.990049833749168</v>
      </c>
      <c r="S31" s="55" t="n">
        <f aca="false">EXP(-S17)</f>
        <v>0.990049833749168</v>
      </c>
      <c r="T31" s="55" t="n">
        <f aca="false">EXP(-T17)</f>
        <v>0.990049833749168</v>
      </c>
      <c r="U31" s="55" t="n">
        <f aca="false">EXP(-U17)</f>
        <v>0.990049833749168</v>
      </c>
      <c r="V31" s="55" t="n">
        <f aca="false">EXP(-V17)</f>
        <v>0.990049833749168</v>
      </c>
      <c r="W31" s="55" t="n">
        <f aca="false">EXP(-W17)</f>
        <v>0.990049833749168</v>
      </c>
      <c r="X31" s="55" t="n">
        <f aca="false">EXP(-X17)</f>
        <v>0.990049833749168</v>
      </c>
      <c r="Y31" s="55" t="n">
        <f aca="false">EXP(-Y17)</f>
        <v>0.990049833749168</v>
      </c>
      <c r="Z31" s="55" t="n">
        <f aca="false">EXP(-Z17)</f>
        <v>0.990049833749168</v>
      </c>
    </row>
    <row r="32" customFormat="false" ht="11.25" hidden="false" customHeight="false" outlineLevel="0" collapsed="false">
      <c r="A32" s="5" t="s">
        <v>66</v>
      </c>
      <c r="B32" s="5" t="s">
        <v>18</v>
      </c>
      <c r="C32" s="5" t="s">
        <v>67</v>
      </c>
      <c r="E32" s="12"/>
      <c r="F32" s="54" t="e">
        <f aca="false">IF(INT(F21+1)&lt;=INT(F22),0.5*F9*$B$83*(INT(F21+1)-F21)/(F22-F21),0)</f>
        <v>#N/A</v>
      </c>
      <c r="G32" s="54" t="e">
        <f aca="false">IF(INT(G21+1)&lt;=INT(G22),0.5*G9*$B$83*(INT(G21+1)-G21)/(G22-G21),0)</f>
        <v>#N/A</v>
      </c>
      <c r="H32" s="54" t="e">
        <f aca="false">IF(INT(H21+1)&lt;=INT(H22),0.5*H9*$B$83*(INT(H21+1)-H21)/(H22-H21),0)</f>
        <v>#N/A</v>
      </c>
      <c r="I32" s="54" t="e">
        <f aca="false">IF(INT(I21+1)&lt;=INT(I22),0.5*I9*$B$83*(INT(I21+1)-I21)/(I22-I21),0)</f>
        <v>#N/A</v>
      </c>
      <c r="J32" s="54" t="e">
        <f aca="false">IF(INT(J21+1)&lt;=INT(J22),0.5*J9*$B$83*(INT(J21+1)-J21)/(J22-J21),0)</f>
        <v>#N/A</v>
      </c>
      <c r="K32" s="54" t="e">
        <f aca="false">IF(INT(K21+1)&lt;=INT(K22),0.5*K9*$B$83*(INT(K21+1)-K21)/(K22-K21),0)</f>
        <v>#N/A</v>
      </c>
      <c r="L32" s="54" t="e">
        <f aca="false">IF(INT(L21+1)&lt;=INT(L22),0.5*L9*$B$83*(INT(L21+1)-L21)/(L22-L21),0)</f>
        <v>#N/A</v>
      </c>
      <c r="M32" s="54" t="e">
        <f aca="false">IF(INT(M21+1)&lt;=INT(M22),0.5*M9*$B$83*(INT(M21+1)-M21)/(M22-M21),0)</f>
        <v>#N/A</v>
      </c>
      <c r="N32" s="54" t="e">
        <f aca="false">IF(INT(N21+1)&lt;=INT(N22),0.5*N9*$B$83*(INT(N21+1)-N21)/(N22-N21),0)</f>
        <v>#N/A</v>
      </c>
      <c r="O32" s="54" t="e">
        <f aca="false">IF(INT(O21+1)&lt;=INT(O22),0.5*O9*$B$83*(INT(O21+1)-O21)/(O22-O21),0)</f>
        <v>#N/A</v>
      </c>
      <c r="P32" s="54" t="e">
        <f aca="false">IF(INT(P21+1)&lt;=INT(P22),0.5*P9*$B$83*(INT(P21+1)-P21)/(P22-P21),0)</f>
        <v>#N/A</v>
      </c>
      <c r="Q32" s="54" t="e">
        <f aca="false">IF(INT(Q21+1)&lt;=INT(Q22),0.5*Q9*$B$83*(INT(Q21+1)-Q21)/(Q22-Q21),0)</f>
        <v>#N/A</v>
      </c>
      <c r="R32" s="54" t="e">
        <f aca="false">IF(INT(R21+1)&lt;=INT(R22),0.5*R9*$B$83*(INT(R21+1)-R21)/(R22-R21),0)</f>
        <v>#N/A</v>
      </c>
      <c r="S32" s="54" t="e">
        <f aca="false">IF(INT(S21+1)&lt;=INT(S22),0.5*S9*$B$83*(INT(S21+1)-S21)/(S22-S21),0)</f>
        <v>#N/A</v>
      </c>
      <c r="T32" s="54" t="e">
        <f aca="false">IF(INT(T21+1)&lt;=INT(T22),0.5*T9*$B$83*(INT(T21+1)-T21)/(T22-T21),0)</f>
        <v>#N/A</v>
      </c>
      <c r="U32" s="54" t="e">
        <f aca="false">IF(INT(U21+1)&lt;=INT(U22),0.5*U9*$B$83*(INT(U21+1)-U21)/(U22-U21),0)</f>
        <v>#N/A</v>
      </c>
      <c r="V32" s="54" t="e">
        <f aca="false">IF(INT(V21+1)&lt;=INT(V22),0.5*V9*$B$83*(INT(V21+1)-V21)/(V22-V21),0)</f>
        <v>#N/A</v>
      </c>
      <c r="W32" s="54" t="e">
        <f aca="false">IF(INT(W21+1)&lt;=INT(W22),0.5*W9*$B$83*(INT(W21+1)-W21)/(W22-W21),0)</f>
        <v>#N/A</v>
      </c>
      <c r="X32" s="54" t="e">
        <f aca="false">IF(INT(X21+1)&lt;=INT(X22),0.5*X9*$B$83*(INT(X21+1)-X21)/(X22-X21),0)</f>
        <v>#N/A</v>
      </c>
      <c r="Y32" s="54" t="e">
        <f aca="false">IF(INT(Y21+1)&lt;=INT(Y22),0.5*Y9*$B$83*(INT(Y21+1)-Y21)/(Y22-Y21),0)</f>
        <v>#N/A</v>
      </c>
      <c r="Z32" s="54" t="e">
        <f aca="false">IF(INT(Z21+1)&lt;=INT(Z22),0.5*Z9*$B$83*(INT(Z21+1)-Z21)/(Z22-Z21),0)</f>
        <v>#N/A</v>
      </c>
    </row>
    <row r="33" customFormat="false" ht="11.25" hidden="false" customHeight="false" outlineLevel="0" collapsed="false">
      <c r="A33" s="5" t="s">
        <v>68</v>
      </c>
      <c r="B33" s="5" t="s">
        <v>18</v>
      </c>
      <c r="C33" s="5" t="s">
        <v>69</v>
      </c>
      <c r="E33" s="12"/>
      <c r="F33" s="54" t="e">
        <f aca="false">0.5*(F22-F21)*F9*$B$83</f>
        <v>#N/A</v>
      </c>
      <c r="G33" s="54" t="e">
        <f aca="false">0.5*(G22-G21)*G9*$B$83</f>
        <v>#N/A</v>
      </c>
      <c r="H33" s="54" t="e">
        <f aca="false">0.5*(H22-H21)*H9*$B$83</f>
        <v>#N/A</v>
      </c>
      <c r="I33" s="54" t="e">
        <f aca="false">0.5*(I22-I21)*I9*$B$83</f>
        <v>#N/A</v>
      </c>
      <c r="J33" s="54" t="e">
        <f aca="false">0.5*(J22-J21)*J9*$B$83</f>
        <v>#N/A</v>
      </c>
      <c r="K33" s="54" t="e">
        <f aca="false">0.5*(K22-K21)*K9*$B$83</f>
        <v>#N/A</v>
      </c>
      <c r="L33" s="54" t="e">
        <f aca="false">0.5*(L22-L21)*L9*$B$83</f>
        <v>#N/A</v>
      </c>
      <c r="M33" s="54" t="e">
        <f aca="false">0.5*(M22-M21)*M9*$B$83</f>
        <v>#N/A</v>
      </c>
      <c r="N33" s="54" t="e">
        <f aca="false">0.5*(N22-N21)*N9*$B$83</f>
        <v>#N/A</v>
      </c>
      <c r="O33" s="54" t="e">
        <f aca="false">0.5*(O22-O21)*O9*$B$83</f>
        <v>#N/A</v>
      </c>
      <c r="P33" s="54" t="e">
        <f aca="false">0.5*(P22-P21)*P9*$B$83</f>
        <v>#N/A</v>
      </c>
      <c r="Q33" s="54" t="e">
        <f aca="false">0.5*(Q22-Q21)*Q9*$B$83</f>
        <v>#N/A</v>
      </c>
      <c r="R33" s="54" t="e">
        <f aca="false">0.5*(R22-R21)*R9*$B$83</f>
        <v>#N/A</v>
      </c>
      <c r="S33" s="54" t="e">
        <f aca="false">0.5*(S22-S21)*S9*$B$83</f>
        <v>#N/A</v>
      </c>
      <c r="T33" s="54" t="e">
        <f aca="false">0.5*(T22-T21)*T9*$B$83</f>
        <v>#N/A</v>
      </c>
      <c r="U33" s="54" t="e">
        <f aca="false">0.5*(U22-U21)*U9*$B$83</f>
        <v>#N/A</v>
      </c>
      <c r="V33" s="54" t="e">
        <f aca="false">0.5*(V22-V21)*V9*$B$83</f>
        <v>#N/A</v>
      </c>
      <c r="W33" s="54" t="e">
        <f aca="false">0.5*(W22-W21)*W9*$B$83</f>
        <v>#N/A</v>
      </c>
      <c r="X33" s="54" t="e">
        <f aca="false">0.5*(X22-X21)*X9*$B$83</f>
        <v>#N/A</v>
      </c>
      <c r="Y33" s="54" t="e">
        <f aca="false">0.5*(Y22-Y21)*Y9*$B$83</f>
        <v>#N/A</v>
      </c>
      <c r="Z33" s="54" t="e">
        <f aca="false">0.5*(Z22-Z21)*Z9*$B$83</f>
        <v>#N/A</v>
      </c>
    </row>
    <row r="34" customFormat="false" ht="11.25" hidden="false" customHeight="false" outlineLevel="0" collapsed="false">
      <c r="A34" s="5" t="s">
        <v>70</v>
      </c>
      <c r="B34" s="5" t="s">
        <v>25</v>
      </c>
      <c r="C34" s="5" t="s">
        <v>71</v>
      </c>
      <c r="E34" s="12"/>
      <c r="F34" s="54" t="e">
        <f aca="false">MIN(F9,MAX(F23+0.001,F9-F17*(F13*F5-F33)/$B$83))</f>
        <v>#N/A</v>
      </c>
      <c r="G34" s="54" t="e">
        <f aca="false">MIN(G9,MAX(G23+0.001,G9-G17*(G13*G5-G33)/$B$83))</f>
        <v>#N/A</v>
      </c>
      <c r="H34" s="54" t="e">
        <f aca="false">MIN(H9,MAX(H23+0.001,H9-H17*(H13*H5-H33)/$B$83))</f>
        <v>#N/A</v>
      </c>
      <c r="I34" s="54" t="e">
        <f aca="false">MIN(I9,MAX(I23+0.001,I9-I17*(I13*I5-I33)/$B$83))</f>
        <v>#N/A</v>
      </c>
      <c r="J34" s="54" t="e">
        <f aca="false">MIN(J9,MAX(J23+0.001,J9-J17*(J13*J5-J33)/$B$83))</f>
        <v>#N/A</v>
      </c>
      <c r="K34" s="54" t="e">
        <f aca="false">MIN(K9,MAX(K23+0.001,K9-K17*(K13*K5-K33)/$B$83))</f>
        <v>#N/A</v>
      </c>
      <c r="L34" s="54" t="e">
        <f aca="false">MIN(L9,MAX(L23+0.001,L9-L17*(L13*L5-L33)/$B$83))</f>
        <v>#N/A</v>
      </c>
      <c r="M34" s="54" t="e">
        <f aca="false">MIN(M9,MAX(M23+0.001,M9-M17*(M13*M5-M33)/$B$83))</f>
        <v>#N/A</v>
      </c>
      <c r="N34" s="54" t="e">
        <f aca="false">MIN(N9,MAX(N23+0.001,N9-N17*(N13*N5-N33)/$B$83))</f>
        <v>#N/A</v>
      </c>
      <c r="O34" s="54" t="e">
        <f aca="false">MIN(O9,MAX(O23+0.001,O9-O17*(O13*O5-O33)/$B$83))</f>
        <v>#N/A</v>
      </c>
      <c r="P34" s="54" t="e">
        <f aca="false">MIN(P9,MAX(P23+0.001,P9-P17*(P13*P5-P33)/$B$83))</f>
        <v>#N/A</v>
      </c>
      <c r="Q34" s="54" t="e">
        <f aca="false">MIN(Q9,MAX(Q23+0.001,Q9-Q17*(Q13*Q5-Q33)/$B$83))</f>
        <v>#N/A</v>
      </c>
      <c r="R34" s="54" t="e">
        <f aca="false">MIN(R9,MAX(R23+0.001,R9-R17*(R13*R5-R33)/$B$83))</f>
        <v>#N/A</v>
      </c>
      <c r="S34" s="54" t="e">
        <f aca="false">MIN(S9,MAX(S23+0.001,S9-S17*(S13*S5-S33)/$B$83))</f>
        <v>#N/A</v>
      </c>
      <c r="T34" s="54" t="e">
        <f aca="false">MIN(T9,MAX(T23+0.001,T9-T17*(T13*T5-T33)/$B$83))</f>
        <v>#N/A</v>
      </c>
      <c r="U34" s="54" t="e">
        <f aca="false">MIN(U9,MAX(U23+0.001,U9-U17*(U13*U5-U33)/$B$83))</f>
        <v>#N/A</v>
      </c>
      <c r="V34" s="54" t="e">
        <f aca="false">MIN(V9,MAX(V23+0.001,V9-V17*(V13*V5-V33)/$B$83))</f>
        <v>#N/A</v>
      </c>
      <c r="W34" s="54" t="e">
        <f aca="false">MIN(W9,MAX(W23+0.001,W9-W17*(W13*W5-W33)/$B$83))</f>
        <v>#N/A</v>
      </c>
      <c r="X34" s="54" t="e">
        <f aca="false">MIN(X9,MAX(X23+0.001,X9-X17*(X13*X5-X33)/$B$83))</f>
        <v>#N/A</v>
      </c>
      <c r="Y34" s="54" t="e">
        <f aca="false">MIN(Y9,MAX(Y23+0.001,Y9-Y17*(Y13*Y5-Y33)/$B$83))</f>
        <v>#N/A</v>
      </c>
      <c r="Z34" s="54" t="e">
        <f aca="false">MIN(Z9,MAX(Z23+0.001,Z9-Z17*(Z13*Z5-Z33)/$B$83))</f>
        <v>#N/A</v>
      </c>
    </row>
    <row r="35" customFormat="false" ht="11.25" hidden="false" customHeight="false" outlineLevel="0" collapsed="false">
      <c r="A35" s="5" t="s">
        <v>72</v>
      </c>
      <c r="B35" s="5" t="s">
        <v>49</v>
      </c>
      <c r="C35" s="5" t="s">
        <v>73</v>
      </c>
      <c r="E35" s="12"/>
      <c r="F35" s="54" t="e">
        <f aca="false">MAX(0,1/F17*LN(F9/F34))+F22</f>
        <v>#N/A</v>
      </c>
      <c r="G35" s="54" t="e">
        <f aca="false">MAX(0,1/G17*LN(G9/G34))+G22</f>
        <v>#N/A</v>
      </c>
      <c r="H35" s="54" t="e">
        <f aca="false">MAX(0,1/H17*LN(H9/H34))+H22</f>
        <v>#N/A</v>
      </c>
      <c r="I35" s="54" t="e">
        <f aca="false">MAX(0,1/I17*LN(I9/I34))+I22</f>
        <v>#N/A</v>
      </c>
      <c r="J35" s="54" t="e">
        <f aca="false">MAX(0,1/J17*LN(J9/J34))+J22</f>
        <v>#N/A</v>
      </c>
      <c r="K35" s="54" t="e">
        <f aca="false">MAX(0,1/K17*LN(K9/K34))+K22</f>
        <v>#N/A</v>
      </c>
      <c r="L35" s="54" t="e">
        <f aca="false">MAX(0,1/L17*LN(L9/L34))+L22</f>
        <v>#N/A</v>
      </c>
      <c r="M35" s="54" t="e">
        <f aca="false">MAX(0,1/M17*LN(M9/M34))+M22</f>
        <v>#N/A</v>
      </c>
      <c r="N35" s="54" t="e">
        <f aca="false">MAX(0,1/N17*LN(N9/N34))+N22</f>
        <v>#N/A</v>
      </c>
      <c r="O35" s="54" t="e">
        <f aca="false">MAX(0,1/O17*LN(O9/O34))+O22</f>
        <v>#N/A</v>
      </c>
      <c r="P35" s="54" t="e">
        <f aca="false">MAX(0,1/P17*LN(P9/P34))+P22</f>
        <v>#N/A</v>
      </c>
      <c r="Q35" s="54" t="e">
        <f aca="false">MAX(0,1/Q17*LN(Q9/Q34))+Q22</f>
        <v>#N/A</v>
      </c>
      <c r="R35" s="54" t="e">
        <f aca="false">MAX(0,1/R17*LN(R9/R34))+R22</f>
        <v>#N/A</v>
      </c>
      <c r="S35" s="54" t="e">
        <f aca="false">MAX(0,1/S17*LN(S9/S34))+S22</f>
        <v>#N/A</v>
      </c>
      <c r="T35" s="54" t="e">
        <f aca="false">MAX(0,1/T17*LN(T9/T34))+T22</f>
        <v>#N/A</v>
      </c>
      <c r="U35" s="54" t="e">
        <f aca="false">MAX(0,1/U17*LN(U9/U34))+U22</f>
        <v>#N/A</v>
      </c>
      <c r="V35" s="54" t="e">
        <f aca="false">MAX(0,1/V17*LN(V9/V34))+V22</f>
        <v>#N/A</v>
      </c>
      <c r="W35" s="54" t="e">
        <f aca="false">MAX(0,1/W17*LN(W9/W34))+W22</f>
        <v>#N/A</v>
      </c>
      <c r="X35" s="54" t="e">
        <f aca="false">MAX(0,1/X17*LN(X9/X34))+X22</f>
        <v>#N/A</v>
      </c>
      <c r="Y35" s="54" t="e">
        <f aca="false">MAX(0,1/Y17*LN(Y9/Y34))+Y22</f>
        <v>#N/A</v>
      </c>
      <c r="Z35" s="54" t="e">
        <f aca="false">MAX(0,1/Z17*LN(Z9/Z34))+Z22</f>
        <v>#N/A</v>
      </c>
    </row>
    <row r="36" customFormat="false" ht="11.25" hidden="false" customHeight="false" outlineLevel="0" collapsed="false">
      <c r="A36" s="44" t="s">
        <v>74</v>
      </c>
      <c r="B36" s="5" t="s">
        <v>49</v>
      </c>
      <c r="C36" s="5" t="s">
        <v>75</v>
      </c>
      <c r="E36" s="12"/>
      <c r="F36" s="54" t="e">
        <f aca="false">INT(F35)</f>
        <v>#N/A</v>
      </c>
      <c r="G36" s="54" t="e">
        <f aca="false">INT(G35)</f>
        <v>#N/A</v>
      </c>
      <c r="H36" s="54" t="e">
        <f aca="false">INT(H35)</f>
        <v>#N/A</v>
      </c>
      <c r="I36" s="54" t="e">
        <f aca="false">INT(I35)</f>
        <v>#N/A</v>
      </c>
      <c r="J36" s="54" t="e">
        <f aca="false">INT(J35)</f>
        <v>#N/A</v>
      </c>
      <c r="K36" s="54" t="e">
        <f aca="false">INT(K35)</f>
        <v>#N/A</v>
      </c>
      <c r="L36" s="54" t="e">
        <f aca="false">INT(L35)</f>
        <v>#N/A</v>
      </c>
      <c r="M36" s="54" t="e">
        <f aca="false">INT(M35)</f>
        <v>#N/A</v>
      </c>
      <c r="N36" s="54" t="e">
        <f aca="false">INT(N35)</f>
        <v>#N/A</v>
      </c>
      <c r="O36" s="54" t="e">
        <f aca="false">INT(O35)</f>
        <v>#N/A</v>
      </c>
      <c r="P36" s="54" t="e">
        <f aca="false">INT(P35)</f>
        <v>#N/A</v>
      </c>
      <c r="Q36" s="54" t="e">
        <f aca="false">INT(Q35)</f>
        <v>#N/A</v>
      </c>
      <c r="R36" s="54" t="e">
        <f aca="false">INT(R35)</f>
        <v>#N/A</v>
      </c>
      <c r="S36" s="54" t="e">
        <f aca="false">INT(S35)</f>
        <v>#N/A</v>
      </c>
      <c r="T36" s="54" t="e">
        <f aca="false">INT(T35)</f>
        <v>#N/A</v>
      </c>
      <c r="U36" s="54" t="e">
        <f aca="false">INT(U35)</f>
        <v>#N/A</v>
      </c>
      <c r="V36" s="54" t="e">
        <f aca="false">INT(V35)</f>
        <v>#N/A</v>
      </c>
      <c r="W36" s="54" t="e">
        <f aca="false">INT(W35)</f>
        <v>#N/A</v>
      </c>
      <c r="X36" s="54" t="e">
        <f aca="false">INT(X35)</f>
        <v>#N/A</v>
      </c>
      <c r="Y36" s="54" t="e">
        <f aca="false">INT(Y35)</f>
        <v>#N/A</v>
      </c>
      <c r="Z36" s="54" t="e">
        <f aca="false">INT(Z35)</f>
        <v>#N/A</v>
      </c>
    </row>
    <row r="37" customFormat="false" ht="11.25" hidden="false" customHeight="false" outlineLevel="0" collapsed="false">
      <c r="A37" s="5" t="s">
        <v>76</v>
      </c>
      <c r="B37" s="44" t="s">
        <v>42</v>
      </c>
      <c r="C37" s="5" t="s">
        <v>77</v>
      </c>
      <c r="D37" s="44"/>
      <c r="E37" s="12"/>
      <c r="F37" s="54" t="e">
        <f aca="false">IF(F5=0,0,(F34-F23)*$B$83/((1-F13)*F5))</f>
        <v>#N/A</v>
      </c>
      <c r="G37" s="54" t="e">
        <f aca="false">IF(G5=0,0,(G34-G23)*$B$83/((1-G13)*G5))</f>
        <v>#N/A</v>
      </c>
      <c r="H37" s="54" t="e">
        <f aca="false">IF(H5=0,0,(H34-H23)*$B$83/((1-H13)*H5))</f>
        <v>#N/A</v>
      </c>
      <c r="I37" s="54" t="e">
        <f aca="false">IF(I5=0,0,(I34-I23)*$B$83/((1-I13)*I5))</f>
        <v>#N/A</v>
      </c>
      <c r="J37" s="54" t="e">
        <f aca="false">IF(J5=0,0,(J34-J23)*$B$83/((1-J13)*J5))</f>
        <v>#N/A</v>
      </c>
      <c r="K37" s="54" t="e">
        <f aca="false">IF(K5=0,0,(K34-K23)*$B$83/((1-K13)*K5))</f>
        <v>#N/A</v>
      </c>
      <c r="L37" s="54" t="e">
        <f aca="false">IF(L5=0,0,(L34-L23)*$B$83/((1-L13)*L5))</f>
        <v>#N/A</v>
      </c>
      <c r="M37" s="54" t="e">
        <f aca="false">IF(M5=0,0,(M34-M23)*$B$83/((1-M13)*M5))</f>
        <v>#N/A</v>
      </c>
      <c r="N37" s="54" t="e">
        <f aca="false">IF(N5=0,0,(N34-N23)*$B$83/((1-N13)*N5))</f>
        <v>#N/A</v>
      </c>
      <c r="O37" s="54" t="e">
        <f aca="false">IF(O5=0,0,(O34-O23)*$B$83/((1-O13)*O5))</f>
        <v>#N/A</v>
      </c>
      <c r="P37" s="54" t="e">
        <f aca="false">IF(P5=0,0,(P34-P23)*$B$83/((1-P13)*P5))</f>
        <v>#N/A</v>
      </c>
      <c r="Q37" s="54" t="e">
        <f aca="false">IF(Q5=0,0,(Q34-Q23)*$B$83/((1-Q13)*Q5))</f>
        <v>#N/A</v>
      </c>
      <c r="R37" s="54" t="e">
        <f aca="false">IF(R5=0,0,(R34-R23)*$B$83/((1-R13)*R5))</f>
        <v>#N/A</v>
      </c>
      <c r="S37" s="54" t="e">
        <f aca="false">IF(S5=0,0,(S34-S23)*$B$83/((1-S13)*S5))</f>
        <v>#N/A</v>
      </c>
      <c r="T37" s="54" t="e">
        <f aca="false">IF(T5=0,0,(T34-T23)*$B$83/((1-T13)*T5))</f>
        <v>#N/A</v>
      </c>
      <c r="U37" s="54" t="e">
        <f aca="false">IF(U5=0,0,(U34-U23)*$B$83/((1-U13)*U5))</f>
        <v>#N/A</v>
      </c>
      <c r="V37" s="54" t="e">
        <f aca="false">IF(V5=0,0,(V34-V23)*$B$83/((1-V13)*V5))</f>
        <v>#N/A</v>
      </c>
      <c r="W37" s="54" t="e">
        <f aca="false">IF(W5=0,0,(W34-W23)*$B$83/((1-W13)*W5))</f>
        <v>#N/A</v>
      </c>
      <c r="X37" s="54" t="e">
        <f aca="false">IF(X5=0,0,(X34-X23)*$B$83/((1-X13)*X5))</f>
        <v>#N/A</v>
      </c>
      <c r="Y37" s="54" t="e">
        <f aca="false">IF(Y5=0,0,(Y34-Y23)*$B$83/((1-Y13)*Y5))</f>
        <v>#N/A</v>
      </c>
      <c r="Z37" s="54" t="e">
        <f aca="false">IF(Z5=0,0,(Z34-Z23)*$B$83/((1-Z13)*Z5))</f>
        <v>#N/A</v>
      </c>
    </row>
    <row r="38" customFormat="false" ht="11.25" hidden="false" customHeight="false" outlineLevel="0" collapsed="false">
      <c r="A38" s="5" t="s">
        <v>78</v>
      </c>
      <c r="B38" s="44"/>
      <c r="C38" s="5" t="s">
        <v>79</v>
      </c>
      <c r="D38" s="44"/>
      <c r="E38" s="12"/>
      <c r="F38" s="54" t="e">
        <f aca="false">EXP(-F37)</f>
        <v>#N/A</v>
      </c>
      <c r="G38" s="54" t="e">
        <f aca="false">EXP(-G37)</f>
        <v>#N/A</v>
      </c>
      <c r="H38" s="54" t="e">
        <f aca="false">EXP(-H37)</f>
        <v>#N/A</v>
      </c>
      <c r="I38" s="54" t="e">
        <f aca="false">EXP(-I37)</f>
        <v>#N/A</v>
      </c>
      <c r="J38" s="54" t="e">
        <f aca="false">EXP(-J37)</f>
        <v>#N/A</v>
      </c>
      <c r="K38" s="54" t="e">
        <f aca="false">EXP(-K37)</f>
        <v>#N/A</v>
      </c>
      <c r="L38" s="54" t="e">
        <f aca="false">EXP(-L37)</f>
        <v>#N/A</v>
      </c>
      <c r="M38" s="54" t="e">
        <f aca="false">EXP(-M37)</f>
        <v>#N/A</v>
      </c>
      <c r="N38" s="54" t="e">
        <f aca="false">EXP(-N37)</f>
        <v>#N/A</v>
      </c>
      <c r="O38" s="54" t="e">
        <f aca="false">EXP(-O37)</f>
        <v>#N/A</v>
      </c>
      <c r="P38" s="54" t="e">
        <f aca="false">EXP(-P37)</f>
        <v>#N/A</v>
      </c>
      <c r="Q38" s="54" t="e">
        <f aca="false">EXP(-Q37)</f>
        <v>#N/A</v>
      </c>
      <c r="R38" s="54" t="e">
        <f aca="false">EXP(-R37)</f>
        <v>#N/A</v>
      </c>
      <c r="S38" s="54" t="e">
        <f aca="false">EXP(-S37)</f>
        <v>#N/A</v>
      </c>
      <c r="T38" s="54" t="e">
        <f aca="false">EXP(-T37)</f>
        <v>#N/A</v>
      </c>
      <c r="U38" s="54" t="e">
        <f aca="false">EXP(-U37)</f>
        <v>#N/A</v>
      </c>
      <c r="V38" s="54" t="e">
        <f aca="false">EXP(-V37)</f>
        <v>#N/A</v>
      </c>
      <c r="W38" s="54" t="e">
        <f aca="false">EXP(-W37)</f>
        <v>#N/A</v>
      </c>
      <c r="X38" s="54" t="e">
        <f aca="false">EXP(-X37)</f>
        <v>#N/A</v>
      </c>
      <c r="Y38" s="54" t="e">
        <f aca="false">EXP(-Y37)</f>
        <v>#N/A</v>
      </c>
      <c r="Z38" s="54" t="e">
        <f aca="false">EXP(-Z37)</f>
        <v>#N/A</v>
      </c>
    </row>
    <row r="39" customFormat="false" ht="11.25" hidden="false" customHeight="false" outlineLevel="0" collapsed="false">
      <c r="A39" s="5" t="s">
        <v>80</v>
      </c>
      <c r="B39" s="5" t="s">
        <v>49</v>
      </c>
      <c r="C39" s="5" t="s">
        <v>81</v>
      </c>
      <c r="E39" s="12"/>
      <c r="F39" s="54" t="e">
        <f aca="true">IF(F37=0,0,IF(OR(F9&lt;=F23,RAND()&lt;F24),F21,MAX(0,1/F37*LN(F34/F23))+F35))</f>
        <v>#N/A</v>
      </c>
      <c r="G39" s="54" t="e">
        <f aca="true">IF(G37=0,0,IF(OR(G9&lt;=G23,RAND()&lt;G24),G21,MAX(0,1/G37*LN(G34/G23))+G35))</f>
        <v>#N/A</v>
      </c>
      <c r="H39" s="54" t="e">
        <f aca="true">IF(H37=0,0,IF(OR(H9&lt;=H23,RAND()&lt;H24),H21,MAX(0,1/H37*LN(H34/H23))+H35))</f>
        <v>#N/A</v>
      </c>
      <c r="I39" s="54" t="e">
        <f aca="true">IF(I37=0,0,IF(OR(I9&lt;=I23,RAND()&lt;I24),I21,MAX(0,1/I37*LN(I34/I23))+I35))</f>
        <v>#N/A</v>
      </c>
      <c r="J39" s="54" t="e">
        <f aca="true">IF(J37=0,0,IF(OR(J9&lt;=J23,RAND()&lt;J24),J21,MAX(0,1/J37*LN(J34/J23))+J35))</f>
        <v>#N/A</v>
      </c>
      <c r="K39" s="54" t="e">
        <f aca="true">IF(K37=0,0,IF(OR(K9&lt;=K23,RAND()&lt;K24),K21,MAX(0,1/K37*LN(K34/K23))+K35))</f>
        <v>#N/A</v>
      </c>
      <c r="L39" s="54" t="e">
        <f aca="true">IF(L37=0,0,IF(OR(L9&lt;=L23,RAND()&lt;L24),L21,MAX(0,1/L37*LN(L34/L23))+L35))</f>
        <v>#N/A</v>
      </c>
      <c r="M39" s="54" t="e">
        <f aca="true">IF(M37=0,0,IF(OR(M9&lt;=M23,RAND()&lt;M24),M21,MAX(0,1/M37*LN(M34/M23))+M35))</f>
        <v>#N/A</v>
      </c>
      <c r="N39" s="54" t="e">
        <f aca="true">IF(N37=0,0,IF(OR(N9&lt;=N23,RAND()&lt;N24),N21,MAX(0,1/N37*LN(N34/N23))+N35))</f>
        <v>#N/A</v>
      </c>
      <c r="O39" s="54" t="e">
        <f aca="true">IF(O37=0,0,IF(OR(O9&lt;=O23,RAND()&lt;O24),O21,MAX(0,1/O37*LN(O34/O23))+O35))</f>
        <v>#N/A</v>
      </c>
      <c r="P39" s="54" t="e">
        <f aca="true">IF(P37=0,0,IF(OR(P9&lt;=P23,RAND()&lt;P24),P21,MAX(0,1/P37*LN(P34/P23))+P35))</f>
        <v>#N/A</v>
      </c>
      <c r="Q39" s="54" t="e">
        <f aca="true">IF(Q37=0,0,IF(OR(Q9&lt;=Q23,RAND()&lt;Q24),Q21,MAX(0,1/Q37*LN(Q34/Q23))+Q35))</f>
        <v>#N/A</v>
      </c>
      <c r="R39" s="54" t="e">
        <f aca="true">IF(R37=0,0,IF(OR(R9&lt;=R23,RAND()&lt;R24),R21,MAX(0,1/R37*LN(R34/R23))+R35))</f>
        <v>#N/A</v>
      </c>
      <c r="S39" s="54" t="e">
        <f aca="true">IF(S37=0,0,IF(OR(S9&lt;=S23,RAND()&lt;S24),S21,MAX(0,1/S37*LN(S34/S23))+S35))</f>
        <v>#N/A</v>
      </c>
      <c r="T39" s="54" t="e">
        <f aca="true">IF(T37=0,0,IF(OR(T9&lt;=T23,RAND()&lt;T24),T21,MAX(0,1/T37*LN(T34/T23))+T35))</f>
        <v>#N/A</v>
      </c>
      <c r="U39" s="54" t="e">
        <f aca="true">IF(U37=0,0,IF(OR(U9&lt;=U23,RAND()&lt;U24),U21,MAX(0,1/U37*LN(U34/U23))+U35))</f>
        <v>#N/A</v>
      </c>
      <c r="V39" s="54" t="e">
        <f aca="true">IF(V37=0,0,IF(OR(V9&lt;=V23,RAND()&lt;V24),V21,MAX(0,1/V37*LN(V34/V23))+V35))</f>
        <v>#N/A</v>
      </c>
      <c r="W39" s="54" t="e">
        <f aca="true">IF(W37=0,0,IF(OR(W9&lt;=W23,RAND()&lt;W24),W21,MAX(0,1/W37*LN(W34/W23))+W35))</f>
        <v>#N/A</v>
      </c>
      <c r="X39" s="54" t="e">
        <f aca="true">IF(X37=0,0,IF(OR(X9&lt;=X23,RAND()&lt;X24),X21,MAX(0,1/X37*LN(X34/X23))+X35))</f>
        <v>#N/A</v>
      </c>
      <c r="Y39" s="54" t="e">
        <f aca="true">IF(Y37=0,0,IF(OR(Y9&lt;=Y23,RAND()&lt;Y24),Y21,MAX(0,1/Y37*LN(Y34/Y23))+Y35))</f>
        <v>#N/A</v>
      </c>
      <c r="Z39" s="54" t="e">
        <f aca="true">IF(Z37=0,0,IF(OR(Z9&lt;=Z23,RAND()&lt;Z24),Z21,MAX(0,1/Z37*LN(Z34/Z23))+Z35))</f>
        <v>#N/A</v>
      </c>
    </row>
    <row r="40" customFormat="false" ht="11.25" hidden="false" customHeight="false" outlineLevel="0" collapsed="false">
      <c r="A40" s="5" t="s">
        <v>82</v>
      </c>
      <c r="B40" s="5" t="s">
        <v>49</v>
      </c>
      <c r="C40" s="5" t="s">
        <v>83</v>
      </c>
      <c r="E40" s="12"/>
      <c r="F40" s="54" t="e">
        <f aca="false">INT(F39)</f>
        <v>#N/A</v>
      </c>
      <c r="G40" s="54" t="e">
        <f aca="false">INT(G39)</f>
        <v>#N/A</v>
      </c>
      <c r="H40" s="54" t="e">
        <f aca="false">INT(H39)</f>
        <v>#N/A</v>
      </c>
      <c r="I40" s="54" t="e">
        <f aca="false">INT(I39)</f>
        <v>#N/A</v>
      </c>
      <c r="J40" s="54" t="e">
        <f aca="false">INT(J39)</f>
        <v>#N/A</v>
      </c>
      <c r="K40" s="54" t="e">
        <f aca="false">INT(K39)</f>
        <v>#N/A</v>
      </c>
      <c r="L40" s="54" t="e">
        <f aca="false">INT(L39)</f>
        <v>#N/A</v>
      </c>
      <c r="M40" s="54" t="e">
        <f aca="false">INT(M39)</f>
        <v>#N/A</v>
      </c>
      <c r="N40" s="54" t="e">
        <f aca="false">INT(N39)</f>
        <v>#N/A</v>
      </c>
      <c r="O40" s="54" t="e">
        <f aca="false">INT(O39)</f>
        <v>#N/A</v>
      </c>
      <c r="P40" s="54" t="e">
        <f aca="false">INT(P39)</f>
        <v>#N/A</v>
      </c>
      <c r="Q40" s="54" t="e">
        <f aca="false">INT(Q39)</f>
        <v>#N/A</v>
      </c>
      <c r="R40" s="54" t="e">
        <f aca="false">INT(R39)</f>
        <v>#N/A</v>
      </c>
      <c r="S40" s="54" t="e">
        <f aca="false">INT(S39)</f>
        <v>#N/A</v>
      </c>
      <c r="T40" s="54" t="e">
        <f aca="false">INT(T39)</f>
        <v>#N/A</v>
      </c>
      <c r="U40" s="54" t="e">
        <f aca="false">INT(U39)</f>
        <v>#N/A</v>
      </c>
      <c r="V40" s="54" t="e">
        <f aca="false">INT(V39)</f>
        <v>#N/A</v>
      </c>
      <c r="W40" s="54" t="e">
        <f aca="false">INT(W39)</f>
        <v>#N/A</v>
      </c>
      <c r="X40" s="54" t="e">
        <f aca="false">INT(X39)</f>
        <v>#N/A</v>
      </c>
      <c r="Y40" s="54" t="e">
        <f aca="false">INT(Y39)</f>
        <v>#N/A</v>
      </c>
      <c r="Z40" s="54" t="e">
        <f aca="false">INT(Z39)</f>
        <v>#N/A</v>
      </c>
    </row>
    <row r="41" customFormat="false" ht="11.25" hidden="false" customHeight="false" outlineLevel="0" collapsed="false">
      <c r="A41" s="44" t="s">
        <v>84</v>
      </c>
      <c r="B41" s="5" t="s">
        <v>18</v>
      </c>
      <c r="C41" s="5" t="s">
        <v>85</v>
      </c>
      <c r="E41" s="12"/>
      <c r="F41" s="54" t="e">
        <f aca="false">0.5*F9*(MAX(0,(INT(F22)-F21)/(F22+$B$81-F21))+1)*$B$83*(F22-MAX(INT(F22),F21))</f>
        <v>#N/A</v>
      </c>
      <c r="G41" s="54" t="e">
        <f aca="false">0.5*G9*(MAX(0,(INT(G22)-G21)/(G22+$B$81-G21))+1)*$B$83*(G22-MAX(INT(G22),G21))</f>
        <v>#N/A</v>
      </c>
      <c r="H41" s="54" t="e">
        <f aca="false">0.5*H9*(MAX(0,(INT(H22)-H21)/(H22+$B$81-H21))+1)*$B$83*(H22-MAX(INT(H22),H21))</f>
        <v>#N/A</v>
      </c>
      <c r="I41" s="54" t="e">
        <f aca="false">0.5*I9*(MAX(0,(INT(I22)-I21)/(I22+$B$81-I21))+1)*$B$83*(I22-MAX(INT(I22),I21))</f>
        <v>#N/A</v>
      </c>
      <c r="J41" s="54" t="e">
        <f aca="false">0.5*J9*(MAX(0,(INT(J22)-J21)/(J22+$B$81-J21))+1)*$B$83*(J22-MAX(INT(J22),J21))</f>
        <v>#N/A</v>
      </c>
      <c r="K41" s="54" t="e">
        <f aca="false">0.5*K9*(MAX(0,(INT(K22)-K21)/(K22+$B$81-K21))+1)*$B$83*(K22-MAX(INT(K22),K21))</f>
        <v>#N/A</v>
      </c>
      <c r="L41" s="54" t="e">
        <f aca="false">0.5*L9*(MAX(0,(INT(L22)-L21)/(L22+$B$81-L21))+1)*$B$83*(L22-MAX(INT(L22),L21))</f>
        <v>#N/A</v>
      </c>
      <c r="M41" s="54" t="e">
        <f aca="false">0.5*M9*(MAX(0,(INT(M22)-M21)/(M22+$B$81-M21))+1)*$B$83*(M22-MAX(INT(M22),M21))</f>
        <v>#N/A</v>
      </c>
      <c r="N41" s="54" t="e">
        <f aca="false">0.5*N9*(MAX(0,(INT(N22)-N21)/(N22+$B$81-N21))+1)*$B$83*(N22-MAX(INT(N22),N21))</f>
        <v>#N/A</v>
      </c>
      <c r="O41" s="54" t="e">
        <f aca="false">0.5*O9*(MAX(0,(INT(O22)-O21)/(O22+$B$81-O21))+1)*$B$83*(O22-MAX(INT(O22),O21))</f>
        <v>#N/A</v>
      </c>
      <c r="P41" s="54" t="e">
        <f aca="false">0.5*P9*(MAX(0,(INT(P22)-P21)/(P22+$B$81-P21))+1)*$B$83*(P22-MAX(INT(P22),P21))</f>
        <v>#N/A</v>
      </c>
      <c r="Q41" s="54" t="e">
        <f aca="false">0.5*Q9*(MAX(0,(INT(Q22)-Q21)/(Q22+$B$81-Q21))+1)*$B$83*(Q22-MAX(INT(Q22),Q21))</f>
        <v>#N/A</v>
      </c>
      <c r="R41" s="54" t="e">
        <f aca="false">0.5*R9*(MAX(0,(INT(R22)-R21)/(R22+$B$81-R21))+1)*$B$83*(R22-MAX(INT(R22),R21))</f>
        <v>#N/A</v>
      </c>
      <c r="S41" s="54" t="e">
        <f aca="false">0.5*S9*(MAX(0,(INT(S22)-S21)/(S22+$B$81-S21))+1)*$B$83*(S22-MAX(INT(S22),S21))</f>
        <v>#N/A</v>
      </c>
      <c r="T41" s="54" t="e">
        <f aca="false">0.5*T9*(MAX(0,(INT(T22)-T21)/(T22+$B$81-T21))+1)*$B$83*(T22-MAX(INT(T22),T21))</f>
        <v>#N/A</v>
      </c>
      <c r="U41" s="54" t="e">
        <f aca="false">0.5*U9*(MAX(0,(INT(U22)-U21)/(U22+$B$81-U21))+1)*$B$83*(U22-MAX(INT(U22),U21))</f>
        <v>#N/A</v>
      </c>
      <c r="V41" s="54" t="e">
        <f aca="false">0.5*V9*(MAX(0,(INT(V22)-V21)/(V22+$B$81-V21))+1)*$B$83*(V22-MAX(INT(V22),V21))</f>
        <v>#N/A</v>
      </c>
      <c r="W41" s="54" t="e">
        <f aca="false">0.5*W9*(MAX(0,(INT(W22)-W21)/(W22+$B$81-W21))+1)*$B$83*(W22-MAX(INT(W22),W21))</f>
        <v>#N/A</v>
      </c>
      <c r="X41" s="54" t="e">
        <f aca="false">0.5*X9*(MAX(0,(INT(X22)-X21)/(X22+$B$81-X21))+1)*$B$83*(X22-MAX(INT(X22),X21))</f>
        <v>#N/A</v>
      </c>
      <c r="Y41" s="54" t="e">
        <f aca="false">0.5*Y9*(MAX(0,(INT(Y22)-Y21)/(Y22+$B$81-Y21))+1)*$B$83*(Y22-MAX(INT(Y22),Y21))</f>
        <v>#N/A</v>
      </c>
      <c r="Z41" s="54" t="e">
        <f aca="false">0.5*Z9*(MAX(0,(INT(Z22)-Z21)/(Z22+$B$81-Z21))+1)*$B$83*(Z22-MAX(INT(Z22),Z21))</f>
        <v>#N/A</v>
      </c>
    </row>
    <row r="42" customFormat="false" ht="11.25" hidden="false" customHeight="false" outlineLevel="0" collapsed="false">
      <c r="A42" s="44" t="s">
        <v>86</v>
      </c>
      <c r="B42" s="5" t="s">
        <v>18</v>
      </c>
      <c r="C42" s="5" t="s">
        <v>87</v>
      </c>
      <c r="E42" s="12"/>
      <c r="F42" s="54" t="e">
        <f aca="false">F9/F17*(1-EXP(-F17*(INT(F22+1)-F22)))*$B$83</f>
        <v>#N/A</v>
      </c>
      <c r="G42" s="54" t="e">
        <f aca="false">G9/G17*(1-EXP(-G17*(INT(G22+1)-G22)))*$B$83</f>
        <v>#N/A</v>
      </c>
      <c r="H42" s="54" t="e">
        <f aca="false">H9/H17*(1-EXP(-H17*(INT(H22+1)-H22)))*$B$83</f>
        <v>#N/A</v>
      </c>
      <c r="I42" s="54" t="e">
        <f aca="false">I9/I17*(1-EXP(-I17*(INT(I22+1)-I22)))*$B$83</f>
        <v>#N/A</v>
      </c>
      <c r="J42" s="54" t="e">
        <f aca="false">J9/J17*(1-EXP(-J17*(INT(J22+1)-J22)))*$B$83</f>
        <v>#N/A</v>
      </c>
      <c r="K42" s="54" t="e">
        <f aca="false">K9/K17*(1-EXP(-K17*(INT(K22+1)-K22)))*$B$83</f>
        <v>#N/A</v>
      </c>
      <c r="L42" s="54" t="e">
        <f aca="false">L9/L17*(1-EXP(-L17*(INT(L22+1)-L22)))*$B$83</f>
        <v>#N/A</v>
      </c>
      <c r="M42" s="54" t="e">
        <f aca="false">M9/M17*(1-EXP(-M17*(INT(M22+1)-M22)))*$B$83</f>
        <v>#N/A</v>
      </c>
      <c r="N42" s="54" t="e">
        <f aca="false">N9/N17*(1-EXP(-N17*(INT(N22+1)-N22)))*$B$83</f>
        <v>#N/A</v>
      </c>
      <c r="O42" s="54" t="e">
        <f aca="false">O9/O17*(1-EXP(-O17*(INT(O22+1)-O22)))*$B$83</f>
        <v>#N/A</v>
      </c>
      <c r="P42" s="54" t="e">
        <f aca="false">P9/P17*(1-EXP(-P17*(INT(P22+1)-P22)))*$B$83</f>
        <v>#N/A</v>
      </c>
      <c r="Q42" s="54" t="e">
        <f aca="false">Q9/Q17*(1-EXP(-Q17*(INT(Q22+1)-Q22)))*$B$83</f>
        <v>#N/A</v>
      </c>
      <c r="R42" s="54" t="e">
        <f aca="false">R9/R17*(1-EXP(-R17*(INT(R22+1)-R22)))*$B$83</f>
        <v>#N/A</v>
      </c>
      <c r="S42" s="54" t="e">
        <f aca="false">S9/S17*(1-EXP(-S17*(INT(S22+1)-S22)))*$B$83</f>
        <v>#N/A</v>
      </c>
      <c r="T42" s="54" t="e">
        <f aca="false">T9/T17*(1-EXP(-T17*(INT(T22+1)-T22)))*$B$83</f>
        <v>#N/A</v>
      </c>
      <c r="U42" s="54" t="e">
        <f aca="false">U9/U17*(1-EXP(-U17*(INT(U22+1)-U22)))*$B$83</f>
        <v>#N/A</v>
      </c>
      <c r="V42" s="54" t="e">
        <f aca="false">V9/V17*(1-EXP(-V17*(INT(V22+1)-V22)))*$B$83</f>
        <v>#N/A</v>
      </c>
      <c r="W42" s="54" t="e">
        <f aca="false">W9/W17*(1-EXP(-W17*(INT(W22+1)-W22)))*$B$83</f>
        <v>#N/A</v>
      </c>
      <c r="X42" s="54" t="e">
        <f aca="false">X9/X17*(1-EXP(-X17*(INT(X22+1)-X22)))*$B$83</f>
        <v>#N/A</v>
      </c>
      <c r="Y42" s="54" t="e">
        <f aca="false">Y9/Y17*(1-EXP(-Y17*(INT(Y22+1)-Y22)))*$B$83</f>
        <v>#N/A</v>
      </c>
      <c r="Z42" s="54" t="e">
        <f aca="false">Z9/Z17*(1-EXP(-Z17*(INT(Z22+1)-Z22)))*$B$83</f>
        <v>#N/A</v>
      </c>
    </row>
    <row r="43" customFormat="false" ht="11.25" hidden="false" customHeight="false" outlineLevel="0" collapsed="false">
      <c r="A43" s="44" t="s">
        <v>88</v>
      </c>
      <c r="B43" s="5" t="s">
        <v>18</v>
      </c>
      <c r="C43" s="5" t="s">
        <v>89</v>
      </c>
      <c r="E43" s="12"/>
      <c r="F43" s="54" t="e">
        <f aca="false">(F9/F17*(1-EXP(-F17*(F35-F22)))+F9/F37*EXP(-F17*(F35-F22))*(1-EXP(-F37*(INT(F35+1)-F35))))*$B$83</f>
        <v>#N/A</v>
      </c>
      <c r="G43" s="54" t="e">
        <f aca="false">(G9/G17*(1-EXP(-G17*(G35-G22)))+G9/G37*EXP(-G17*(G35-G22))*(1-EXP(-G37*(INT(G35+1)-G35))))*$B$83</f>
        <v>#N/A</v>
      </c>
      <c r="H43" s="54" t="e">
        <f aca="false">(H9/H17*(1-EXP(-H17*(H35-H22)))+H9/H37*EXP(-H17*(H35-H22))*(1-EXP(-H37*(INT(H35+1)-H35))))*$B$83</f>
        <v>#N/A</v>
      </c>
      <c r="I43" s="54" t="e">
        <f aca="false">(I9/I17*(1-EXP(-I17*(I35-I22)))+I9/I37*EXP(-I17*(I35-I22))*(1-EXP(-I37*(INT(I35+1)-I35))))*$B$83</f>
        <v>#N/A</v>
      </c>
      <c r="J43" s="54" t="e">
        <f aca="false">(J9/J17*(1-EXP(-J17*(J35-J22)))+J9/J37*EXP(-J17*(J35-J22))*(1-EXP(-J37*(INT(J35+1)-J35))))*$B$83</f>
        <v>#N/A</v>
      </c>
      <c r="K43" s="54" t="e">
        <f aca="false">(K9/K17*(1-EXP(-K17*(K35-K22)))+K9/K37*EXP(-K17*(K35-K22))*(1-EXP(-K37*(INT(K35+1)-K35))))*$B$83</f>
        <v>#N/A</v>
      </c>
      <c r="L43" s="54" t="e">
        <f aca="false">(L9/L17*(1-EXP(-L17*(L35-L22)))+L9/L37*EXP(-L17*(L35-L22))*(1-EXP(-L37*(INT(L35+1)-L35))))*$B$83</f>
        <v>#N/A</v>
      </c>
      <c r="M43" s="54" t="e">
        <f aca="false">(M9/M17*(1-EXP(-M17*(M35-M22)))+M9/M37*EXP(-M17*(M35-M22))*(1-EXP(-M37*(INT(M35+1)-M35))))*$B$83</f>
        <v>#N/A</v>
      </c>
      <c r="N43" s="54" t="e">
        <f aca="false">(N9/N17*(1-EXP(-N17*(N35-N22)))+N9/N37*EXP(-N17*(N35-N22))*(1-EXP(-N37*(INT(N35+1)-N35))))*$B$83</f>
        <v>#N/A</v>
      </c>
      <c r="O43" s="54" t="e">
        <f aca="false">(O9/O17*(1-EXP(-O17*(O35-O22)))+O9/O37*EXP(-O17*(O35-O22))*(1-EXP(-O37*(INT(O35+1)-O35))))*$B$83</f>
        <v>#N/A</v>
      </c>
      <c r="P43" s="54" t="e">
        <f aca="false">(P9/P17*(1-EXP(-P17*(P35-P22)))+P9/P37*EXP(-P17*(P35-P22))*(1-EXP(-P37*(INT(P35+1)-P35))))*$B$83</f>
        <v>#N/A</v>
      </c>
      <c r="Q43" s="54" t="e">
        <f aca="false">(Q9/Q17*(1-EXP(-Q17*(Q35-Q22)))+Q9/Q37*EXP(-Q17*(Q35-Q22))*(1-EXP(-Q37*(INT(Q35+1)-Q35))))*$B$83</f>
        <v>#N/A</v>
      </c>
      <c r="R43" s="54" t="e">
        <f aca="false">(R9/R17*(1-EXP(-R17*(R35-R22)))+R9/R37*EXP(-R17*(R35-R22))*(1-EXP(-R37*(INT(R35+1)-R35))))*$B$83</f>
        <v>#N/A</v>
      </c>
      <c r="S43" s="54" t="e">
        <f aca="false">(S9/S17*(1-EXP(-S17*(S35-S22)))+S9/S37*EXP(-S17*(S35-S22))*(1-EXP(-S37*(INT(S35+1)-S35))))*$B$83</f>
        <v>#N/A</v>
      </c>
      <c r="T43" s="54" t="e">
        <f aca="false">(T9/T17*(1-EXP(-T17*(T35-T22)))+T9/T37*EXP(-T17*(T35-T22))*(1-EXP(-T37*(INT(T35+1)-T35))))*$B$83</f>
        <v>#N/A</v>
      </c>
      <c r="U43" s="54" t="e">
        <f aca="false">(U9/U17*(1-EXP(-U17*(U35-U22)))+U9/U37*EXP(-U17*(U35-U22))*(1-EXP(-U37*(INT(U35+1)-U35))))*$B$83</f>
        <v>#N/A</v>
      </c>
      <c r="V43" s="54" t="e">
        <f aca="false">(V9/V17*(1-EXP(-V17*(V35-V22)))+V9/V37*EXP(-V17*(V35-V22))*(1-EXP(-V37*(INT(V35+1)-V35))))*$B$83</f>
        <v>#N/A</v>
      </c>
      <c r="W43" s="54" t="e">
        <f aca="false">(W9/W17*(1-EXP(-W17*(W35-W22)))+W9/W37*EXP(-W17*(W35-W22))*(1-EXP(-W37*(INT(W35+1)-W35))))*$B$83</f>
        <v>#N/A</v>
      </c>
      <c r="X43" s="54" t="e">
        <f aca="false">(X9/X17*(1-EXP(-X17*(X35-X22)))+X9/X37*EXP(-X17*(X35-X22))*(1-EXP(-X37*(INT(X35+1)-X35))))*$B$83</f>
        <v>#N/A</v>
      </c>
      <c r="Y43" s="54" t="e">
        <f aca="false">(Y9/Y17*(1-EXP(-Y17*(Y35-Y22)))+Y9/Y37*EXP(-Y17*(Y35-Y22))*(1-EXP(-Y37*(INT(Y35+1)-Y35))))*$B$83</f>
        <v>#N/A</v>
      </c>
      <c r="Z43" s="54" t="e">
        <f aca="false">(Z9/Z17*(1-EXP(-Z17*(Z35-Z22)))+Z9/Z37*EXP(-Z17*(Z35-Z22))*(1-EXP(-Z37*(INT(Z35+1)-Z35))))*$B$83</f>
        <v>#N/A</v>
      </c>
    </row>
    <row r="44" customFormat="false" ht="11.25" hidden="false" customHeight="false" outlineLevel="0" collapsed="false">
      <c r="A44" s="44" t="s">
        <v>90</v>
      </c>
      <c r="B44" s="5" t="s">
        <v>18</v>
      </c>
      <c r="C44" s="5" t="s">
        <v>91</v>
      </c>
      <c r="E44" s="12"/>
      <c r="F44" s="54" t="e">
        <f aca="false">IF(INT(F22)&gt;=INT(F35),F43,F42)</f>
        <v>#N/A</v>
      </c>
      <c r="G44" s="54" t="e">
        <f aca="false">IF(INT(G22)&gt;=INT(G35),G43,G42)</f>
        <v>#N/A</v>
      </c>
      <c r="H44" s="54" t="e">
        <f aca="false">IF(INT(H22)&gt;=INT(H35),H43,H42)</f>
        <v>#N/A</v>
      </c>
      <c r="I44" s="54" t="e">
        <f aca="false">IF(INT(I22)&gt;=INT(I35),I43,I42)</f>
        <v>#N/A</v>
      </c>
      <c r="J44" s="54" t="e">
        <f aca="false">IF(INT(J22)&gt;=INT(J35),J43,J42)</f>
        <v>#N/A</v>
      </c>
      <c r="K44" s="54" t="e">
        <f aca="false">IF(INT(K22)&gt;=INT(K35),K43,K42)</f>
        <v>#N/A</v>
      </c>
      <c r="L44" s="54" t="e">
        <f aca="false">IF(INT(L22)&gt;=INT(L35),L43,L42)</f>
        <v>#N/A</v>
      </c>
      <c r="M44" s="54" t="e">
        <f aca="false">IF(INT(M22)&gt;=INT(M35),M43,M42)</f>
        <v>#N/A</v>
      </c>
      <c r="N44" s="54" t="e">
        <f aca="false">IF(INT(N22)&gt;=INT(N35),N43,N42)</f>
        <v>#N/A</v>
      </c>
      <c r="O44" s="54" t="e">
        <f aca="false">IF(INT(O22)&gt;=INT(O35),O43,O42)</f>
        <v>#N/A</v>
      </c>
      <c r="P44" s="54" t="e">
        <f aca="false">IF(INT(P22)&gt;=INT(P35),P43,P42)</f>
        <v>#N/A</v>
      </c>
      <c r="Q44" s="54" t="e">
        <f aca="false">IF(INT(Q22)&gt;=INT(Q35),Q43,Q42)</f>
        <v>#N/A</v>
      </c>
      <c r="R44" s="54" t="e">
        <f aca="false">IF(INT(R22)&gt;=INT(R35),R43,R42)</f>
        <v>#N/A</v>
      </c>
      <c r="S44" s="54" t="e">
        <f aca="false">IF(INT(S22)&gt;=INT(S35),S43,S42)</f>
        <v>#N/A</v>
      </c>
      <c r="T44" s="54" t="e">
        <f aca="false">IF(INT(T22)&gt;=INT(T35),T43,T42)</f>
        <v>#N/A</v>
      </c>
      <c r="U44" s="54" t="e">
        <f aca="false">IF(INT(U22)&gt;=INT(U35),U43,U42)</f>
        <v>#N/A</v>
      </c>
      <c r="V44" s="54" t="e">
        <f aca="false">IF(INT(V22)&gt;=INT(V35),V43,V42)</f>
        <v>#N/A</v>
      </c>
      <c r="W44" s="54" t="e">
        <f aca="false">IF(INT(W22)&gt;=INT(W35),W43,W42)</f>
        <v>#N/A</v>
      </c>
      <c r="X44" s="54" t="e">
        <f aca="false">IF(INT(X22)&gt;=INT(X35),X43,X42)</f>
        <v>#N/A</v>
      </c>
      <c r="Y44" s="54" t="e">
        <f aca="false">IF(INT(Y22)&gt;=INT(Y35),Y43,Y42)</f>
        <v>#N/A</v>
      </c>
      <c r="Z44" s="54" t="e">
        <f aca="false">IF(INT(Z22)&gt;=INT(Z35),Z43,Z42)</f>
        <v>#N/A</v>
      </c>
    </row>
    <row r="45" customFormat="false" ht="11.25" hidden="false" customHeight="false" outlineLevel="0" collapsed="false">
      <c r="A45" s="44" t="s">
        <v>92</v>
      </c>
      <c r="B45" s="5" t="s">
        <v>18</v>
      </c>
      <c r="C45" s="5" t="s">
        <v>93</v>
      </c>
      <c r="E45" s="12"/>
      <c r="F45" s="54" t="e">
        <f aca="false">F41+F44</f>
        <v>#N/A</v>
      </c>
      <c r="G45" s="54" t="e">
        <f aca="false">G41+G44</f>
        <v>#N/A</v>
      </c>
      <c r="H45" s="54" t="e">
        <f aca="false">H41+H44</f>
        <v>#N/A</v>
      </c>
      <c r="I45" s="54" t="e">
        <f aca="false">I41+I44</f>
        <v>#N/A</v>
      </c>
      <c r="J45" s="54" t="e">
        <f aca="false">J41+J44</f>
        <v>#N/A</v>
      </c>
      <c r="K45" s="54" t="e">
        <f aca="false">K41+K44</f>
        <v>#N/A</v>
      </c>
      <c r="L45" s="54" t="e">
        <f aca="false">L41+L44</f>
        <v>#N/A</v>
      </c>
      <c r="M45" s="54" t="e">
        <f aca="false">M41+M44</f>
        <v>#N/A</v>
      </c>
      <c r="N45" s="54" t="e">
        <f aca="false">N41+N44</f>
        <v>#N/A</v>
      </c>
      <c r="O45" s="54" t="e">
        <f aca="false">O41+O44</f>
        <v>#N/A</v>
      </c>
      <c r="P45" s="54" t="e">
        <f aca="false">P41+P44</f>
        <v>#N/A</v>
      </c>
      <c r="Q45" s="54" t="e">
        <f aca="false">Q41+Q44</f>
        <v>#N/A</v>
      </c>
      <c r="R45" s="54" t="e">
        <f aca="false">R41+R44</f>
        <v>#N/A</v>
      </c>
      <c r="S45" s="54" t="e">
        <f aca="false">S41+S44</f>
        <v>#N/A</v>
      </c>
      <c r="T45" s="54" t="e">
        <f aca="false">T41+T44</f>
        <v>#N/A</v>
      </c>
      <c r="U45" s="54" t="e">
        <f aca="false">U41+U44</f>
        <v>#N/A</v>
      </c>
      <c r="V45" s="54" t="e">
        <f aca="false">V41+V44</f>
        <v>#N/A</v>
      </c>
      <c r="W45" s="54" t="e">
        <f aca="false">W41+W44</f>
        <v>#N/A</v>
      </c>
      <c r="X45" s="54" t="e">
        <f aca="false">X41+X44</f>
        <v>#N/A</v>
      </c>
      <c r="Y45" s="54" t="e">
        <f aca="false">Y41+Y44</f>
        <v>#N/A</v>
      </c>
      <c r="Z45" s="54" t="e">
        <f aca="false">Z41+Z44</f>
        <v>#N/A</v>
      </c>
    </row>
    <row r="46" customFormat="false" ht="11.25" hidden="false" customHeight="false" outlineLevel="0" collapsed="false">
      <c r="A46" s="44" t="s">
        <v>94</v>
      </c>
      <c r="B46" s="5" t="s">
        <v>18</v>
      </c>
      <c r="C46" s="5" t="s">
        <v>95</v>
      </c>
      <c r="E46" s="12"/>
      <c r="F46" s="54" t="e">
        <f aca="false">F34*(EXP(F17*(F35-INT(F35)))-1)/F17*$B$83</f>
        <v>#N/A</v>
      </c>
      <c r="G46" s="54" t="e">
        <f aca="false">G34*(EXP(G17*(G35-INT(G35)))-1)/G17*$B$83</f>
        <v>#N/A</v>
      </c>
      <c r="H46" s="54" t="e">
        <f aca="false">H34*(EXP(H17*(H35-INT(H35)))-1)/H17*$B$83</f>
        <v>#N/A</v>
      </c>
      <c r="I46" s="54" t="e">
        <f aca="false">I34*(EXP(I17*(I35-INT(I35)))-1)/I17*$B$83</f>
        <v>#N/A</v>
      </c>
      <c r="J46" s="54" t="e">
        <f aca="false">J34*(EXP(J17*(J35-INT(J35)))-1)/J17*$B$83</f>
        <v>#N/A</v>
      </c>
      <c r="K46" s="54" t="e">
        <f aca="false">K34*(EXP(K17*(K35-INT(K35)))-1)/K17*$B$83</f>
        <v>#N/A</v>
      </c>
      <c r="L46" s="54" t="e">
        <f aca="false">L34*(EXP(L17*(L35-INT(L35)))-1)/L17*$B$83</f>
        <v>#N/A</v>
      </c>
      <c r="M46" s="54" t="e">
        <f aca="false">M34*(EXP(M17*(M35-INT(M35)))-1)/M17*$B$83</f>
        <v>#N/A</v>
      </c>
      <c r="N46" s="54" t="e">
        <f aca="false">N34*(EXP(N17*(N35-INT(N35)))-1)/N17*$B$83</f>
        <v>#N/A</v>
      </c>
      <c r="O46" s="54" t="e">
        <f aca="false">O34*(EXP(O17*(O35-INT(O35)))-1)/O17*$B$83</f>
        <v>#N/A</v>
      </c>
      <c r="P46" s="54" t="e">
        <f aca="false">P34*(EXP(P17*(P35-INT(P35)))-1)/P17*$B$83</f>
        <v>#N/A</v>
      </c>
      <c r="Q46" s="54" t="e">
        <f aca="false">Q34*(EXP(Q17*(Q35-INT(Q35)))-1)/Q17*$B$83</f>
        <v>#N/A</v>
      </c>
      <c r="R46" s="54" t="e">
        <f aca="false">R34*(EXP(R17*(R35-INT(R35)))-1)/R17*$B$83</f>
        <v>#N/A</v>
      </c>
      <c r="S46" s="54" t="e">
        <f aca="false">S34*(EXP(S17*(S35-INT(S35)))-1)/S17*$B$83</f>
        <v>#N/A</v>
      </c>
      <c r="T46" s="54" t="e">
        <f aca="false">T34*(EXP(T17*(T35-INT(T35)))-1)/T17*$B$83</f>
        <v>#N/A</v>
      </c>
      <c r="U46" s="54" t="e">
        <f aca="false">U34*(EXP(U17*(U35-INT(U35)))-1)/U17*$B$83</f>
        <v>#N/A</v>
      </c>
      <c r="V46" s="54" t="e">
        <f aca="false">V34*(EXP(V17*(V35-INT(V35)))-1)/V17*$B$83</f>
        <v>#N/A</v>
      </c>
      <c r="W46" s="54" t="e">
        <f aca="false">W34*(EXP(W17*(W35-INT(W35)))-1)/W17*$B$83</f>
        <v>#N/A</v>
      </c>
      <c r="X46" s="54" t="e">
        <f aca="false">X34*(EXP(X17*(X35-INT(X35)))-1)/X17*$B$83</f>
        <v>#N/A</v>
      </c>
      <c r="Y46" s="54" t="e">
        <f aca="false">Y34*(EXP(Y17*(Y35-INT(Y35)))-1)/Y17*$B$83</f>
        <v>#N/A</v>
      </c>
      <c r="Z46" s="54" t="e">
        <f aca="false">Z34*(EXP(Z17*(Z35-INT(Z35)))-1)/Z17*$B$83</f>
        <v>#N/A</v>
      </c>
    </row>
    <row r="47" customFormat="false" ht="11.25" hidden="false" customHeight="false" outlineLevel="0" collapsed="false">
      <c r="A47" s="44" t="s">
        <v>96</v>
      </c>
      <c r="B47" s="5" t="s">
        <v>18</v>
      </c>
      <c r="C47" s="5" t="s">
        <v>97</v>
      </c>
      <c r="E47" s="12"/>
      <c r="F47" s="54" t="e">
        <f aca="false">F34*(1-EXP(-F37*(MIN(F39,INT(F35+1))-F35)))/F37*$B$83</f>
        <v>#N/A</v>
      </c>
      <c r="G47" s="54" t="e">
        <f aca="false">G34*(1-EXP(-G37*(MIN(G39,INT(G35+1))-G35)))/G37*$B$83</f>
        <v>#N/A</v>
      </c>
      <c r="H47" s="54" t="e">
        <f aca="false">H34*(1-EXP(-H37*(MIN(H39,INT(H35+1))-H35)))/H37*$B$83</f>
        <v>#N/A</v>
      </c>
      <c r="I47" s="54" t="e">
        <f aca="false">I34*(1-EXP(-I37*(MIN(I39,INT(I35+1))-I35)))/I37*$B$83</f>
        <v>#N/A</v>
      </c>
      <c r="J47" s="54" t="e">
        <f aca="false">J34*(1-EXP(-J37*(MIN(J39,INT(J35+1))-J35)))/J37*$B$83</f>
        <v>#N/A</v>
      </c>
      <c r="K47" s="54" t="e">
        <f aca="false">K34*(1-EXP(-K37*(MIN(K39,INT(K35+1))-K35)))/K37*$B$83</f>
        <v>#N/A</v>
      </c>
      <c r="L47" s="54" t="e">
        <f aca="false">L34*(1-EXP(-L37*(MIN(L39,INT(L35+1))-L35)))/L37*$B$83</f>
        <v>#N/A</v>
      </c>
      <c r="M47" s="54" t="e">
        <f aca="false">M34*(1-EXP(-M37*(MIN(M39,INT(M35+1))-M35)))/M37*$B$83</f>
        <v>#N/A</v>
      </c>
      <c r="N47" s="54" t="e">
        <f aca="false">N34*(1-EXP(-N37*(MIN(N39,INT(N35+1))-N35)))/N37*$B$83</f>
        <v>#N/A</v>
      </c>
      <c r="O47" s="54" t="e">
        <f aca="false">O34*(1-EXP(-O37*(MIN(O39,INT(O35+1))-O35)))/O37*$B$83</f>
        <v>#N/A</v>
      </c>
      <c r="P47" s="54" t="e">
        <f aca="false">P34*(1-EXP(-P37*(MIN(P39,INT(P35+1))-P35)))/P37*$B$83</f>
        <v>#N/A</v>
      </c>
      <c r="Q47" s="54" t="e">
        <f aca="false">Q34*(1-EXP(-Q37*(MIN(Q39,INT(Q35+1))-Q35)))/Q37*$B$83</f>
        <v>#N/A</v>
      </c>
      <c r="R47" s="54" t="e">
        <f aca="false">R34*(1-EXP(-R37*(MIN(R39,INT(R35+1))-R35)))/R37*$B$83</f>
        <v>#N/A</v>
      </c>
      <c r="S47" s="54" t="e">
        <f aca="false">S34*(1-EXP(-S37*(MIN(S39,INT(S35+1))-S35)))/S37*$B$83</f>
        <v>#N/A</v>
      </c>
      <c r="T47" s="54" t="e">
        <f aca="false">T34*(1-EXP(-T37*(MIN(T39,INT(T35+1))-T35)))/T37*$B$83</f>
        <v>#N/A</v>
      </c>
      <c r="U47" s="54" t="e">
        <f aca="false">U34*(1-EXP(-U37*(MIN(U39,INT(U35+1))-U35)))/U37*$B$83</f>
        <v>#N/A</v>
      </c>
      <c r="V47" s="54" t="e">
        <f aca="false">V34*(1-EXP(-V37*(MIN(V39,INT(V35+1))-V35)))/V37*$B$83</f>
        <v>#N/A</v>
      </c>
      <c r="W47" s="54" t="e">
        <f aca="false">W34*(1-EXP(-W37*(MIN(W39,INT(W35+1))-W35)))/W37*$B$83</f>
        <v>#N/A</v>
      </c>
      <c r="X47" s="54" t="e">
        <f aca="false">X34*(1-EXP(-X37*(MIN(X39,INT(X35+1))-X35)))/X37*$B$83</f>
        <v>#N/A</v>
      </c>
      <c r="Y47" s="54" t="e">
        <f aca="false">Y34*(1-EXP(-Y37*(MIN(Y39,INT(Y35+1))-Y35)))/Y37*$B$83</f>
        <v>#N/A</v>
      </c>
      <c r="Z47" s="54" t="e">
        <f aca="false">Z34*(1-EXP(-Z37*(MIN(Z39,INT(Z35+1))-Z35)))/Z37*$B$83</f>
        <v>#N/A</v>
      </c>
    </row>
    <row r="48" customFormat="false" ht="11.25" hidden="false" customHeight="false" outlineLevel="0" collapsed="false">
      <c r="A48" s="44" t="s">
        <v>98</v>
      </c>
      <c r="B48" s="5" t="s">
        <v>18</v>
      </c>
      <c r="C48" s="5" t="s">
        <v>99</v>
      </c>
      <c r="E48" s="12"/>
      <c r="F48" s="54" t="e">
        <f aca="false">F46+F47</f>
        <v>#N/A</v>
      </c>
      <c r="G48" s="54" t="e">
        <f aca="false">G46+G47</f>
        <v>#N/A</v>
      </c>
      <c r="H48" s="54" t="e">
        <f aca="false">H46+H47</f>
        <v>#N/A</v>
      </c>
      <c r="I48" s="54" t="e">
        <f aca="false">I46+I47</f>
        <v>#N/A</v>
      </c>
      <c r="J48" s="54" t="e">
        <f aca="false">J46+J47</f>
        <v>#N/A</v>
      </c>
      <c r="K48" s="54" t="e">
        <f aca="false">K46+K47</f>
        <v>#N/A</v>
      </c>
      <c r="L48" s="54" t="e">
        <f aca="false">L46+L47</f>
        <v>#N/A</v>
      </c>
      <c r="M48" s="54" t="e">
        <f aca="false">M46+M47</f>
        <v>#N/A</v>
      </c>
      <c r="N48" s="54" t="e">
        <f aca="false">N46+N47</f>
        <v>#N/A</v>
      </c>
      <c r="O48" s="54" t="e">
        <f aca="false">O46+O47</f>
        <v>#N/A</v>
      </c>
      <c r="P48" s="54" t="e">
        <f aca="false">P46+P47</f>
        <v>#N/A</v>
      </c>
      <c r="Q48" s="54" t="e">
        <f aca="false">Q46+Q47</f>
        <v>#N/A</v>
      </c>
      <c r="R48" s="54" t="e">
        <f aca="false">R46+R47</f>
        <v>#N/A</v>
      </c>
      <c r="S48" s="54" t="e">
        <f aca="false">S46+S47</f>
        <v>#N/A</v>
      </c>
      <c r="T48" s="54" t="e">
        <f aca="false">T46+T47</f>
        <v>#N/A</v>
      </c>
      <c r="U48" s="54" t="e">
        <f aca="false">U46+U47</f>
        <v>#N/A</v>
      </c>
      <c r="V48" s="54" t="e">
        <f aca="false">V46+V47</f>
        <v>#N/A</v>
      </c>
      <c r="W48" s="54" t="e">
        <f aca="false">W46+W47</f>
        <v>#N/A</v>
      </c>
      <c r="X48" s="54" t="e">
        <f aca="false">X46+X47</f>
        <v>#N/A</v>
      </c>
      <c r="Y48" s="54" t="e">
        <f aca="false">Y46+Y47</f>
        <v>#N/A</v>
      </c>
      <c r="Z48" s="54" t="e">
        <f aca="false">Z46+Z47</f>
        <v>#N/A</v>
      </c>
    </row>
    <row r="49" customFormat="false" ht="11.25" hidden="false" customHeight="false" outlineLevel="0" collapsed="false">
      <c r="A49" s="5" t="s">
        <v>100</v>
      </c>
      <c r="B49" s="5" t="s">
        <v>18</v>
      </c>
      <c r="C49" s="5" t="s">
        <v>101</v>
      </c>
      <c r="E49" s="12"/>
      <c r="F49" s="54" t="e">
        <f aca="false">F23*(EXP(F37*(F39-INT(F39)))-1)/F37*$B$83</f>
        <v>#N/A</v>
      </c>
      <c r="G49" s="54" t="e">
        <f aca="false">G23*(EXP(G37*(G39-INT(G39)))-1)/G37*$B$83</f>
        <v>#N/A</v>
      </c>
      <c r="H49" s="54" t="e">
        <f aca="false">H23*(EXP(H37*(H39-INT(H39)))-1)/H37*$B$83</f>
        <v>#N/A</v>
      </c>
      <c r="I49" s="56" t="e">
        <f aca="false">I23*(EXP(I37*(I39-INT(I39)))-1)/I37*$B$83</f>
        <v>#N/A</v>
      </c>
      <c r="J49" s="54" t="e">
        <f aca="false">J23*(EXP(J37*(J39-INT(J39)))-1)/J37*$B$83</f>
        <v>#N/A</v>
      </c>
      <c r="K49" s="54" t="e">
        <f aca="false">K23*(EXP(K37*(K39-INT(K39)))-1)/K37*$B$83</f>
        <v>#N/A</v>
      </c>
      <c r="L49" s="54" t="e">
        <f aca="false">L23*(EXP(L37*(L39-INT(L39)))-1)/L37*$B$83</f>
        <v>#N/A</v>
      </c>
      <c r="M49" s="54" t="e">
        <f aca="false">M23*(EXP(M37*(M39-INT(M39)))-1)/M37*$B$83</f>
        <v>#N/A</v>
      </c>
      <c r="N49" s="54" t="e">
        <f aca="false">N23*(EXP(N37*(N39-INT(N39)))-1)/N37*$B$83</f>
        <v>#N/A</v>
      </c>
      <c r="O49" s="54" t="e">
        <f aca="false">O23*(EXP(O37*(O39-INT(O39)))-1)/O37*$B$83</f>
        <v>#N/A</v>
      </c>
      <c r="P49" s="54" t="e">
        <f aca="false">P23*(EXP(P37*(P39-INT(P39)))-1)/P37*$B$83</f>
        <v>#N/A</v>
      </c>
      <c r="Q49" s="54" t="e">
        <f aca="false">Q23*(EXP(Q37*(Q39-INT(Q39)))-1)/Q37*$B$83</f>
        <v>#N/A</v>
      </c>
      <c r="R49" s="54" t="e">
        <f aca="false">R23*(EXP(R37*(R39-INT(R39)))-1)/R37*$B$83</f>
        <v>#N/A</v>
      </c>
      <c r="S49" s="54" t="e">
        <f aca="false">S23*(EXP(S37*(S39-INT(S39)))-1)/S37*$B$83</f>
        <v>#N/A</v>
      </c>
      <c r="T49" s="54" t="e">
        <f aca="false">T23*(EXP(T37*(T39-INT(T39)))-1)/T37*$B$83</f>
        <v>#N/A</v>
      </c>
      <c r="U49" s="54" t="e">
        <f aca="false">U23*(EXP(U37*(U39-INT(U39)))-1)/U37*$B$83</f>
        <v>#N/A</v>
      </c>
      <c r="V49" s="54" t="e">
        <f aca="false">V23*(EXP(V37*(V39-INT(V39)))-1)/V37*$B$83</f>
        <v>#N/A</v>
      </c>
      <c r="W49" s="54" t="e">
        <f aca="false">W23*(EXP(W37*(W39-INT(W39)))-1)/W37*$B$83</f>
        <v>#N/A</v>
      </c>
      <c r="X49" s="54" t="e">
        <f aca="false">X23*(EXP(X37*(X39-INT(X39)))-1)/X37*$B$83</f>
        <v>#N/A</v>
      </c>
      <c r="Y49" s="54" t="e">
        <f aca="false">Y23*(EXP(Y37*(Y39-INT(Y39)))-1)/Y37*$B$83</f>
        <v>#N/A</v>
      </c>
      <c r="Z49" s="54" t="e">
        <f aca="false">Z23*(EXP(Z37*(Z39-INT(Z39)))-1)/Z37*$B$83</f>
        <v>#N/A</v>
      </c>
    </row>
    <row r="50" customFormat="false" ht="11.25" hidden="false" customHeight="false" outlineLevel="0" collapsed="false">
      <c r="A50" s="5" t="s">
        <v>102</v>
      </c>
      <c r="C50" s="5" t="s">
        <v>103</v>
      </c>
      <c r="E50" s="12"/>
      <c r="F50" s="54" t="e">
        <f aca="false">F9*(1-EXP(-F17))/F17*$B$83</f>
        <v>#N/A</v>
      </c>
      <c r="G50" s="54" t="e">
        <f aca="false">G9*(1-EXP(-G17))/G17*$B$83</f>
        <v>#N/A</v>
      </c>
      <c r="H50" s="54" t="e">
        <f aca="false">H9*(1-EXP(-H17))/H17*$B$83</f>
        <v>#N/A</v>
      </c>
      <c r="I50" s="54" t="e">
        <f aca="false">I9*(1-EXP(-I17))/I17*$B$83</f>
        <v>#N/A</v>
      </c>
      <c r="J50" s="54" t="e">
        <f aca="false">J9*(1-EXP(-J17))/J17*$B$83</f>
        <v>#N/A</v>
      </c>
      <c r="K50" s="54" t="e">
        <f aca="false">K9*(1-EXP(-K17))/K17*$B$83</f>
        <v>#N/A</v>
      </c>
      <c r="L50" s="54" t="e">
        <f aca="false">L9*(1-EXP(-L17))/L17*$B$83</f>
        <v>#N/A</v>
      </c>
      <c r="M50" s="54" t="e">
        <f aca="false">M9*(1-EXP(-M17))/M17*$B$83</f>
        <v>#N/A</v>
      </c>
      <c r="N50" s="54" t="e">
        <f aca="false">N9*(1-EXP(-N17))/N17*$B$83</f>
        <v>#N/A</v>
      </c>
      <c r="O50" s="54" t="e">
        <f aca="false">O9*(1-EXP(-O17))/O17*$B$83</f>
        <v>#N/A</v>
      </c>
      <c r="P50" s="54" t="e">
        <f aca="false">P9*(1-EXP(-P17))/P17*$B$83</f>
        <v>#N/A</v>
      </c>
      <c r="Q50" s="54" t="e">
        <f aca="false">Q9*(1-EXP(-Q17))/Q17*$B$83</f>
        <v>#N/A</v>
      </c>
      <c r="R50" s="54" t="e">
        <f aca="false">R9*(1-EXP(-R17))/R17*$B$83</f>
        <v>#N/A</v>
      </c>
      <c r="S50" s="54" t="e">
        <f aca="false">S9*(1-EXP(-S17))/S17*$B$83</f>
        <v>#N/A</v>
      </c>
      <c r="T50" s="54" t="e">
        <f aca="false">T9*(1-EXP(-T17))/T17*$B$83</f>
        <v>#N/A</v>
      </c>
      <c r="U50" s="54" t="e">
        <f aca="false">U9*(1-EXP(-U17))/U17*$B$83</f>
        <v>#N/A</v>
      </c>
      <c r="V50" s="54" t="e">
        <f aca="false">V9*(1-EXP(-V17))/V17*$B$83</f>
        <v>#N/A</v>
      </c>
      <c r="W50" s="54" t="e">
        <f aca="false">W9*(1-EXP(-W17))/W17*$B$83</f>
        <v>#N/A</v>
      </c>
      <c r="X50" s="54" t="e">
        <f aca="false">X9*(1-EXP(-X17))/X17*$B$83</f>
        <v>#N/A</v>
      </c>
      <c r="Y50" s="54" t="e">
        <f aca="false">Y9*(1-EXP(-Y17))/Y17*$B$83</f>
        <v>#N/A</v>
      </c>
      <c r="Z50" s="54" t="e">
        <f aca="false">Z9*(1-EXP(-Z17))/Z17*$B$83</f>
        <v>#N/A</v>
      </c>
    </row>
    <row r="51" customFormat="false" ht="11.25" hidden="false" customHeight="false" outlineLevel="0" collapsed="false">
      <c r="A51" s="5" t="s">
        <v>104</v>
      </c>
      <c r="C51" s="5" t="s">
        <v>105</v>
      </c>
      <c r="E51" s="12"/>
      <c r="F51" s="54" t="e">
        <f aca="false">F34*(1-EXP(-F37))/F37*$B$83</f>
        <v>#N/A</v>
      </c>
      <c r="G51" s="54" t="e">
        <f aca="false">G34*(1-EXP(-G37))/G37*$B$83</f>
        <v>#N/A</v>
      </c>
      <c r="H51" s="54" t="e">
        <f aca="false">H34*(1-EXP(-H37))/H37*$B$83</f>
        <v>#N/A</v>
      </c>
      <c r="I51" s="54" t="e">
        <f aca="false">I34*(1-EXP(-I37))/I37*$B$83</f>
        <v>#N/A</v>
      </c>
      <c r="J51" s="54" t="e">
        <f aca="false">J34*(1-EXP(-J37))/J37*$B$83</f>
        <v>#N/A</v>
      </c>
      <c r="K51" s="54" t="e">
        <f aca="false">K34*(1-EXP(-K37))/K37*$B$83</f>
        <v>#N/A</v>
      </c>
      <c r="L51" s="54" t="e">
        <f aca="false">L34*(1-EXP(-L37))/L37*$B$83</f>
        <v>#N/A</v>
      </c>
      <c r="M51" s="54" t="e">
        <f aca="false">M34*(1-EXP(-M37))/M37*$B$83</f>
        <v>#N/A</v>
      </c>
      <c r="N51" s="54" t="e">
        <f aca="false">N34*(1-EXP(-N37))/N37*$B$83</f>
        <v>#N/A</v>
      </c>
      <c r="O51" s="54" t="e">
        <f aca="false">O34*(1-EXP(-O37))/O37*$B$83</f>
        <v>#N/A</v>
      </c>
      <c r="P51" s="54" t="e">
        <f aca="false">P34*(1-EXP(-P37))/P37*$B$83</f>
        <v>#N/A</v>
      </c>
      <c r="Q51" s="54" t="e">
        <f aca="false">Q34*(1-EXP(-Q37))/Q37*$B$83</f>
        <v>#N/A</v>
      </c>
      <c r="R51" s="54" t="e">
        <f aca="false">R34*(1-EXP(-R37))/R37*$B$83</f>
        <v>#N/A</v>
      </c>
      <c r="S51" s="54" t="e">
        <f aca="false">S34*(1-EXP(-S37))/S37*$B$83</f>
        <v>#N/A</v>
      </c>
      <c r="T51" s="54" t="e">
        <f aca="false">T34*(1-EXP(-T37))/T37*$B$83</f>
        <v>#N/A</v>
      </c>
      <c r="U51" s="54" t="e">
        <f aca="false">U34*(1-EXP(-U37))/U37*$B$83</f>
        <v>#N/A</v>
      </c>
      <c r="V51" s="54" t="e">
        <f aca="false">V34*(1-EXP(-V37))/V37*$B$83</f>
        <v>#N/A</v>
      </c>
      <c r="W51" s="54" t="e">
        <f aca="false">W34*(1-EXP(-W37))/W37*$B$83</f>
        <v>#N/A</v>
      </c>
      <c r="X51" s="54" t="e">
        <f aca="false">X34*(1-EXP(-X37))/X37*$B$83</f>
        <v>#N/A</v>
      </c>
      <c r="Y51" s="54" t="e">
        <f aca="false">Y34*(1-EXP(-Y37))/Y37*$B$83</f>
        <v>#N/A</v>
      </c>
      <c r="Z51" s="54" t="e">
        <f aca="false">Z34*(1-EXP(-Z37))/Z37*$B$83</f>
        <v>#N/A</v>
      </c>
    </row>
    <row r="52" customFormat="false" ht="11.25" hidden="false" customHeight="false" outlineLevel="0" collapsed="false">
      <c r="F52" s="12"/>
      <c r="G52" s="12"/>
      <c r="H52" s="12"/>
      <c r="I52" s="12"/>
      <c r="J52" s="12"/>
      <c r="K52" s="12"/>
      <c r="L52" s="12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</row>
    <row r="53" customFormat="false" ht="11.25" hidden="false" customHeight="false" outlineLevel="0" collapsed="false">
      <c r="A53" s="5" t="e">
        <f aca="false">1/F37*LN(F34/F23)+F35</f>
        <v>#N/A</v>
      </c>
      <c r="H53" s="54"/>
    </row>
    <row r="54" customFormat="false" ht="11.25" hidden="false" customHeight="false" outlineLevel="0" collapsed="false">
      <c r="E54" s="57" t="s">
        <v>106</v>
      </c>
      <c r="F54" s="58" t="s">
        <v>107</v>
      </c>
      <c r="G54" s="58" t="s">
        <v>108</v>
      </c>
      <c r="H54" s="58" t="s">
        <v>109</v>
      </c>
      <c r="I54" s="58" t="s">
        <v>110</v>
      </c>
      <c r="J54" s="58" t="s">
        <v>111</v>
      </c>
      <c r="K54" s="58" t="s">
        <v>112</v>
      </c>
      <c r="L54" s="58" t="s">
        <v>113</v>
      </c>
      <c r="M54" s="58" t="s">
        <v>114</v>
      </c>
      <c r="N54" s="58" t="s">
        <v>115</v>
      </c>
      <c r="O54" s="58" t="s">
        <v>116</v>
      </c>
      <c r="P54" s="58" t="s">
        <v>117</v>
      </c>
      <c r="Q54" s="58" t="s">
        <v>118</v>
      </c>
      <c r="R54" s="58" t="s">
        <v>119</v>
      </c>
      <c r="S54" s="58" t="s">
        <v>120</v>
      </c>
      <c r="T54" s="58" t="s">
        <v>121</v>
      </c>
      <c r="U54" s="58" t="s">
        <v>122</v>
      </c>
      <c r="V54" s="58" t="s">
        <v>123</v>
      </c>
      <c r="W54" s="58" t="s">
        <v>124</v>
      </c>
      <c r="X54" s="58" t="s">
        <v>125</v>
      </c>
      <c r="Y54" s="58" t="s">
        <v>126</v>
      </c>
      <c r="Z54" s="58" t="s">
        <v>127</v>
      </c>
    </row>
    <row r="55" customFormat="false" ht="10.9" hidden="false" customHeight="true" outlineLevel="0" collapsed="false">
      <c r="A55" s="12"/>
      <c r="B55" s="12"/>
      <c r="D55" s="59" t="n">
        <f aca="false">+D56-1</f>
        <v>1999</v>
      </c>
      <c r="E55" s="5" t="n">
        <f aca="false">IF(GC!H375=0,0,1)</f>
        <v>1</v>
      </c>
      <c r="F55" s="54" t="e">
        <f aca="false">(IF(OR($E55&lt;=F$29,F$39&lt;=F$22),0,IF(AND($E55=F$29+1,$E55&lt;F$30+1),F$32,IF($E55&lt;=F$30,0.5*F$9*$B$83*(2*$E55-2*F$21-1)/(F$22-F$21),IF($E55=F$30+1,F$45,IF($E55&lt;=F$36,F$50*F$31^($E55-F$22-1),IF($E55=F$36+1,F$48,IF($E55&lt;=F$40,F$51*F$38^($E55-F$35-1),IF($E55=F$40+1,F$49,0)))))))))</f>
        <v>#N/A</v>
      </c>
      <c r="G55" s="54" t="e">
        <f aca="false">IF(OR($E55&lt;=G$29,G$39&lt;=G$22),0,IF(AND($E55=G$29+1,$E55&lt;G$30+1),G$32,IF($E55&lt;=G$30,0.5*G$9*$B$83*(2*$E55-2*G$21-1)/(G$22-G$21),IF($E55=G$30+1,G$45,IF($E55&lt;=G$36,G$50*G$31^($E55-G$22-1),IF($E55=G$36+1,G$48,IF($E55&lt;=G$40,G$51*G$38^($E55-G$35-1),IF($E55=G$40+1,G$49,0))))))))</f>
        <v>#N/A</v>
      </c>
      <c r="H55" s="54" t="e">
        <f aca="false">IF(OR($E55&lt;=H$29,H$39&lt;=H$22),0,IF(AND($E55=H$29+1,$E55&lt;H$30+1),H$32,IF($E55&lt;=H$30,0.5*H$9*$B$83*(2*$E55-2*H$21-1)/(H$22-H$21),IF($E55=H$30+1,H$45,IF($E55&lt;=H$36,H$50*H$31^($E55-H$22-1),IF($E55=H$36+1,H$48,IF($E55&lt;=H$40,H$51*H$38^($E55-H$35-1),IF($E55=H$40+1,H$49,0))))))))</f>
        <v>#N/A</v>
      </c>
      <c r="I55" s="54" t="e">
        <f aca="false">IF(OR($E55&lt;=I$29,I$39&lt;=I$22),0,IF(AND($E55=I$29+1,$E55&lt;I$30+1),I$32,IF($E55&lt;=I$30,0.5*I$9*$B$83*(2*$E55-2*I$21-1)/(I$22-I$21),IF($E55=I$30+1,I$45,IF($E55&lt;=I$36,I$50*I$31^($E55-I$22-1),IF($E55=I$36+1,I$48,IF($E55&lt;=I$40,I$51*I$38^($E55-I$35-1),IF($E55=I$40+1,I$49,0))))))))</f>
        <v>#N/A</v>
      </c>
      <c r="J55" s="54" t="e">
        <f aca="false">IF(OR($E55&lt;=J$29,J$39&lt;=J$22),0,IF(AND($E55=J$29+1,$E55&lt;J$30+1),J$32,IF($E55&lt;=J$30,0.5*J$9*$B$83*(2*$E55-2*J$21-1)/(J$22-J$21),IF($E55=J$30+1,J$45,IF($E55&lt;=J$36,J$50*J$31^($E55-J$22-1),IF($E55=J$36+1,J$48,IF($E55&lt;=J$40,J$51*J$38^($E55-J$35-1),IF($E55=J$40+1,J$49,0))))))))</f>
        <v>#N/A</v>
      </c>
      <c r="K55" s="54" t="e">
        <f aca="false">IF(OR($E55&lt;=K$29,K$39&lt;=K$22),0,IF(AND($E55=K$29+1,$E55&lt;K$30+1),K$32,IF($E55&lt;=K$30,0.5*K$9*$B$83*(2*$E55-2*K$21-1)/(K$22-K$21),IF($E55=K$30+1,K$45,IF($E55&lt;=K$36,K$50*K$31^($E55-K$22-1),IF($E55=K$36+1,K$48,IF($E55&lt;=K$40,K$51*K$38^($E55-K$35-1),IF($E55=K$40+1,K$49,0))))))))</f>
        <v>#N/A</v>
      </c>
      <c r="L55" s="54" t="e">
        <f aca="false">IF(OR($E55&lt;=L$29,L$39&lt;=L$22),0,IF(AND($E55=L$29+1,$E55&lt;L$30+1),L$32,IF($E55&lt;=L$30,0.5*L$9*$B$83*(2*$E55-2*L$21-1)/(L$22-L$21),IF($E55=L$30+1,L$45,IF($E55&lt;=L$36,L$50*L$31^($E55-L$22-1),IF($E55=L$36+1,L$48,IF($E55&lt;=L$40,L$51*L$38^($E55-L$35-1),IF($E55=L$40+1,L$49,0))))))))</f>
        <v>#N/A</v>
      </c>
      <c r="M55" s="54" t="e">
        <f aca="false">IF(OR($E55&lt;=M$29,M$39&lt;=M$22),0,IF(AND($E55=M$29+1,$E55&lt;M$30+1),M$32,IF($E55&lt;=M$30,0.5*M$9*$B$83*(2*$E55-2*M$21-1)/(M$22-M$21),IF($E55=M$30+1,M$45,IF($E55&lt;=M$36,M$50*M$31^($E55-M$22-1),IF($E55=M$36+1,M$48,IF($E55&lt;=M$40,M$51*M$38^($E55-M$35-1),IF($E55=M$40+1,M$49,0))))))))</f>
        <v>#N/A</v>
      </c>
      <c r="N55" s="54" t="e">
        <f aca="false">IF(OR($E55&lt;=N$29,N$39&lt;=N$22),0,IF(AND($E55=N$29+1,$E55&lt;N$30+1),N$32,IF($E55&lt;=N$30,0.5*N$9*$B$83*(2*$E55-2*N$21-1)/(N$22-N$21),IF($E55=N$30+1,N$45,IF($E55&lt;=N$36,N$50*N$31^($E55-N$22-1),IF($E55=N$36+1,N$48,IF($E55&lt;=N$40,N$51*N$38^($E55-N$35-1),IF($E55=N$40+1,N$49,0))))))))</f>
        <v>#N/A</v>
      </c>
      <c r="O55" s="54" t="e">
        <f aca="false">IF(OR($E55&lt;=O$29,O$39&lt;=O$22),0,IF(AND($E55=O$29+1,$E55&lt;O$30+1),O$32,IF($E55&lt;=O$30,0.5*O$9*$B$83*(2*$E55-2*O$21-1)/(O$22-O$21),IF($E55=O$30+1,O$45,IF($E55&lt;=O$36,O$50*O$31^($E55-O$22-1),IF($E55=O$36+1,O$48,IF($E55&lt;=O$40,O$51*O$38^($E55-O$35-1),IF($E55=O$40+1,O$49,0))))))))</f>
        <v>#N/A</v>
      </c>
      <c r="P55" s="54" t="e">
        <f aca="false">IF(OR($E55&lt;=P$29,P$39&lt;=P$22),0,IF(AND($E55=P$29+1,$E55&lt;P$30+1),P$32,IF($E55&lt;=P$30,0.5*P$9*$B$83*(2*$E55-2*P$21-1)/(P$22-P$21),IF($E55=P$30+1,P$45,IF($E55&lt;=P$36,P$50*P$31^($E55-P$22-1),IF($E55=P$36+1,P$48,IF($E55&lt;=P$40,P$51*P$38^($E55-P$35-1),IF($E55=P$40+1,P$49,0))))))))</f>
        <v>#N/A</v>
      </c>
      <c r="Q55" s="54" t="e">
        <f aca="false">IF(OR($E55&lt;=Q$29,Q$39&lt;=Q$22),0,IF(AND($E55=Q$29+1,$E55&lt;Q$30+1),Q$32,IF($E55&lt;=Q$30,0.5*Q$9*$B$83*(2*$E55-2*Q$21-1)/(Q$22-Q$21),IF($E55=Q$30+1,Q$45,IF($E55&lt;=Q$36,Q$50*Q$31^($E55-Q$22-1),IF($E55=Q$36+1,Q$48,IF($E55&lt;=Q$40,Q$51*Q$38^($E55-Q$35-1),IF($E55=Q$40+1,Q$49,0))))))))</f>
        <v>#N/A</v>
      </c>
      <c r="R55" s="54" t="e">
        <f aca="false">IF(OR($E55&lt;=R$29,R$39&lt;=R$22),0,IF(AND($E55=R$29+1,$E55&lt;R$30+1),R$32,IF($E55&lt;=R$30,0.5*R$9*$B$83*(2*$E55-2*R$21-1)/(R$22-R$21),IF($E55=R$30+1,R$45,IF($E55&lt;=R$36,R$50*R$31^($E55-R$22-1),IF($E55=R$36+1,R$48,IF($E55&lt;=R$40,R$51*R$38^($E55-R$35-1),IF($E55=R$40+1,R$49,0))))))))</f>
        <v>#N/A</v>
      </c>
      <c r="S55" s="54" t="e">
        <f aca="false">IF(OR($E55&lt;=S$29,S$39&lt;=S$22),0,IF(AND($E55=S$29+1,$E55&lt;S$30+1),S$32,IF($E55&lt;=S$30,0.5*S$9*$B$83*(2*$E55-2*S$21-1)/(S$22-S$21),IF($E55=S$30+1,S$45,IF($E55&lt;=S$36,S$50*S$31^($E55-S$22-1),IF($E55=S$36+1,S$48,IF($E55&lt;=S$40,S$51*S$38^($E55-S$35-1),IF($E55=S$40+1,S$49,0))))))))</f>
        <v>#N/A</v>
      </c>
      <c r="T55" s="54" t="e">
        <f aca="false">IF(OR($E55&lt;=T$29,T$39&lt;=T$22),0,IF(AND($E55=T$29+1,$E55&lt;T$30+1),T$32,IF($E55&lt;=T$30,0.5*T$9*$B$83*(2*$E55-2*T$21-1)/(T$22-T$21),IF($E55=T$30+1,T$45,IF($E55&lt;=T$36,T$50*T$31^($E55-T$22-1),IF($E55=T$36+1,T$48,IF($E55&lt;=T$40,T$51*T$38^($E55-T$35-1),IF($E55=T$40+1,T$49,0))))))))</f>
        <v>#N/A</v>
      </c>
      <c r="U55" s="54" t="e">
        <f aca="false">IF(OR($E55&lt;=U$29,U$39&lt;=U$22),0,IF(AND($E55=U$29+1,$E55&lt;U$30+1),U$32,IF($E55&lt;=U$30,0.5*U$9*$B$83*(2*$E55-2*U$21-1)/(U$22-U$21),IF($E55=U$30+1,U$45,IF($E55&lt;=U$36,U$50*U$31^($E55-U$22-1),IF($E55=U$36+1,U$48,IF($E55&lt;=U$40,U$51*U$38^($E55-U$35-1),IF($E55=U$40+1,U$49,0))))))))</f>
        <v>#N/A</v>
      </c>
      <c r="V55" s="54" t="e">
        <f aca="false">IF(OR($E55&lt;=V$29,V$39&lt;=V$22),0,IF(AND($E55=V$29+1,$E55&lt;V$30+1),V$32,IF($E55&lt;=V$30,0.5*V$9*$B$83*(2*$E55-2*V$21-1)/(V$22-V$21),IF($E55=V$30+1,V$45,IF($E55&lt;=V$36,V$50*V$31^($E55-V$22-1),IF($E55=V$36+1,V$48,IF($E55&lt;=V$40,V$51*V$38^($E55-V$35-1),IF($E55=V$40+1,V$49,0))))))))</f>
        <v>#N/A</v>
      </c>
      <c r="W55" s="54" t="e">
        <f aca="false">IF(OR($E55&lt;=W$29,W$39&lt;=W$22),0,IF(AND($E55=W$29+1,$E55&lt;W$30+1),W$32,IF($E55&lt;=W$30,0.5*W$9*$B$83*(2*$E55-2*W$21-1)/(W$22-W$21),IF($E55=W$30+1,W$45,IF($E55&lt;=W$36,W$50*W$31^($E55-W$22-1),IF($E55=W$36+1,W$48,IF($E55&lt;=W$40,W$51*W$38^($E55-W$35-1),IF($E55=W$40+1,W$49,0))))))))</f>
        <v>#N/A</v>
      </c>
      <c r="X55" s="54" t="e">
        <f aca="false">IF(OR($E55&lt;=X$29,X$39&lt;=X$22),0,IF(AND($E55=X$29+1,$E55&lt;X$30+1),X$32,IF($E55&lt;=X$30,0.5*X$9*$B$83*(2*$E55-2*X$21-1)/(X$22-X$21),IF($E55=X$30+1,X$45,IF($E55&lt;=X$36,X$50*X$31^($E55-X$22-1),IF($E55=X$36+1,X$48,IF($E55&lt;=X$40,X$51*X$38^($E55-X$35-1),IF($E55=X$40+1,X$49,0))))))))</f>
        <v>#N/A</v>
      </c>
      <c r="Y55" s="54" t="e">
        <f aca="false">IF(OR($E55&lt;=Y$29,Y$39&lt;=Y$22),0,IF(AND($E55=Y$29+1,$E55&lt;Y$30+1),Y$32,IF($E55&lt;=Y$30,0.5*Y$9*$B$83*(2*$E55-2*Y$21-1)/(Y$22-Y$21),IF($E55=Y$30+1,Y$45,IF($E55&lt;=Y$36,Y$50*Y$31^($E55-Y$22-1),IF($E55=Y$36+1,Y$48,IF($E55&lt;=Y$40,Y$51*Y$38^($E55-Y$35-1),IF($E55=Y$40+1,Y$49,0))))))))</f>
        <v>#N/A</v>
      </c>
      <c r="Z55" s="54" t="e">
        <f aca="false">IF(OR($E55&lt;=Z$29,Z$39&lt;=Z$22),0,IF(AND($E55=Z$29+1,$E55&lt;Z$30+1),Z$32,IF($E55&lt;=Z$30,0.5*Z$9*$B$83*(2*$E55-2*Z$21-1)/(Z$22-Z$21),IF($E55=Z$30+1,Z$45,IF($E55&lt;=Z$36,Z$50*Z$31^($E55-Z$22-1),IF($E55=Z$36+1,Z$48,IF($E55&lt;=Z$40,Z$51*Z$38^($E55-Z$35-1),IF($E55=Z$40+1,Z$49,0))))))))</f>
        <v>#N/A</v>
      </c>
      <c r="AA55" s="54" t="e">
        <f aca="false">SUM(F55:Z55)</f>
        <v>#N/A</v>
      </c>
    </row>
    <row r="56" customFormat="false" ht="11.25" hidden="false" customHeight="false" outlineLevel="0" collapsed="false">
      <c r="A56" s="12"/>
      <c r="B56" s="12"/>
      <c r="D56" s="60" t="n">
        <f aca="false">+G3</f>
        <v>2000</v>
      </c>
      <c r="E56" s="5" t="n">
        <f aca="false">+E55+1</f>
        <v>2</v>
      </c>
      <c r="F56" s="54" t="e">
        <f aca="false">(IF(OR($E56&lt;=F$29,F$39&lt;=F$22),0,IF(AND($E56=F$29+1,$E56&lt;F$30+1),F$32,IF($E56&lt;=F$30,0.5*F$9*$B$83*(2*$E56-2*F$21-1)/(F$22-F$21),IF($E56=F$30+1,F$45,IF($E56&lt;=F$36,F$50*F$31^($E56-F$22-1),IF($E56=F$36+1,F$48,IF($E56&lt;=F$40,F$51*F$38^($E56-F$35-1),IF($E56=F$40+1,F$49,0)))))))))</f>
        <v>#VALUE!</v>
      </c>
      <c r="G56" s="54" t="e">
        <f aca="false">IF(OR($E56&lt;=G$29,G$39&lt;=G$22),0,IF(AND($E56=G$29+1,$E56&lt;G$30+1),G$32,IF($E56&lt;=G$30,0.5*G$9*$B$83*(2*$E56-2*G$21-1)/(G$22-G$21),IF($E56=G$30+1,G$45,IF($E56&lt;=G$36,G$50*G$31^($E56-G$22-1),IF($E56=G$36+1,G$48,IF($E56&lt;=G$40,G$51*G$38^($E56-G$35-1),IF($E56=G$40+1,G$49,0))))))))</f>
        <v>#VALUE!</v>
      </c>
      <c r="H56" s="54" t="e">
        <f aca="false">IF(OR($E56&lt;=H$29,H$39&lt;=H$22),0,IF(AND($E56=H$29+1,$E56&lt;H$30+1),H$32,IF($E56&lt;=H$30,0.5*H$9*$B$83*(2*$E56-2*H$21-1)/(H$22-H$21),IF($E56=H$30+1,H$45,IF($E56&lt;=H$36,H$50*H$31^($E56-H$22-1),IF($E56=H$36+1,H$48,IF($E56&lt;=H$40,H$51*H$38^($E56-H$35-1),IF($E56=H$40+1,H$49,0))))))))</f>
        <v>#N/A</v>
      </c>
      <c r="I56" s="54" t="e">
        <f aca="false">IF(OR($E56&lt;=I$29,I$39&lt;=I$22),0,IF(AND($E56=I$29+1,$E56&lt;I$30+1),I$32,IF($E56&lt;=I$30,0.5*I$9*$B$83*(2*$E56-2*I$21-1)/(I$22-I$21),IF($E56=I$30+1,I$45,IF($E56&lt;=I$36,I$50*I$31^($E56-I$22-1),IF($E56=I$36+1,I$48,IF($E56&lt;=I$40,I$51*I$38^($E56-I$35-1),IF($E56=I$40+1,I$49,0))))))))</f>
        <v>#N/A</v>
      </c>
      <c r="J56" s="54" t="e">
        <f aca="false">IF(OR($E56&lt;=J$29,J$39&lt;=J$22),0,IF(AND($E56=J$29+1,$E56&lt;J$30+1),J$32,IF($E56&lt;=J$30,0.5*J$9*$B$83*(2*$E56-2*J$21-1)/(J$22-J$21),IF($E56=J$30+1,J$45,IF($E56&lt;=J$36,J$50*J$31^($E56-J$22-1),IF($E56=J$36+1,J$48,IF($E56&lt;=J$40,J$51*J$38^($E56-J$35-1),IF($E56=J$40+1,J$49,0))))))))</f>
        <v>#N/A</v>
      </c>
      <c r="K56" s="54" t="e">
        <f aca="false">IF(OR($E56&lt;=K$29,K$39&lt;=K$22),0,IF(AND($E56=K$29+1,$E56&lt;K$30+1),K$32,IF($E56&lt;=K$30,0.5*K$9*$B$83*(2*$E56-2*K$21-1)/(K$22-K$21),IF($E56=K$30+1,K$45,IF($E56&lt;=K$36,K$50*K$31^($E56-K$22-1),IF($E56=K$36+1,K$48,IF($E56&lt;=K$40,K$51*K$38^($E56-K$35-1),IF($E56=K$40+1,K$49,0))))))))</f>
        <v>#N/A</v>
      </c>
      <c r="L56" s="54" t="e">
        <f aca="false">IF(OR($E56&lt;=L$29,L$39&lt;=L$22),0,IF(AND($E56=L$29+1,$E56&lt;L$30+1),L$32,IF($E56&lt;=L$30,0.5*L$9*$B$83*(2*$E56-2*L$21-1)/(L$22-L$21),IF($E56=L$30+1,L$45,IF($E56&lt;=L$36,L$50*L$31^($E56-L$22-1),IF($E56=L$36+1,L$48,IF($E56&lt;=L$40,L$51*L$38^($E56-L$35-1),IF($E56=L$40+1,L$49,0))))))))</f>
        <v>#N/A</v>
      </c>
      <c r="M56" s="54" t="e">
        <f aca="false">IF(OR($E56&lt;=M$29,M$39&lt;=M$22),0,IF(AND($E56=M$29+1,$E56&lt;M$30+1),M$32,IF($E56&lt;=M$30,0.5*M$9*$B$83*(2*$E56-2*M$21-1)/(M$22-M$21),IF($E56=M$30+1,M$45,IF($E56&lt;=M$36,M$50*M$31^($E56-M$22-1),IF($E56=M$36+1,M$48,IF($E56&lt;=M$40,M$51*M$38^($E56-M$35-1),IF($E56=M$40+1,M$49,0))))))))</f>
        <v>#N/A</v>
      </c>
      <c r="N56" s="54" t="e">
        <f aca="false">IF(OR($E56&lt;=N$29,N$39&lt;=N$22),0,IF(AND($E56=N$29+1,$E56&lt;N$30+1),N$32,IF($E56&lt;=N$30,0.5*N$9*$B$83*(2*$E56-2*N$21-1)/(N$22-N$21),IF($E56=N$30+1,N$45,IF($E56&lt;=N$36,N$50*N$31^($E56-N$22-1),IF($E56=N$36+1,N$48,IF($E56&lt;=N$40,N$51*N$38^($E56-N$35-1),IF($E56=N$40+1,N$49,0))))))))</f>
        <v>#N/A</v>
      </c>
      <c r="O56" s="54" t="e">
        <f aca="false">IF(OR($E56&lt;=O$29,O$39&lt;=O$22),0,IF(AND($E56=O$29+1,$E56&lt;O$30+1),O$32,IF($E56&lt;=O$30,0.5*O$9*$B$83*(2*$E56-2*O$21-1)/(O$22-O$21),IF($E56=O$30+1,O$45,IF($E56&lt;=O$36,O$50*O$31^($E56-O$22-1),IF($E56=O$36+1,O$48,IF($E56&lt;=O$40,O$51*O$38^($E56-O$35-1),IF($E56=O$40+1,O$49,0))))))))</f>
        <v>#N/A</v>
      </c>
      <c r="P56" s="54" t="e">
        <f aca="false">IF(OR($E56&lt;=P$29,P$39&lt;=P$22),0,IF(AND($E56=P$29+1,$E56&lt;P$30+1),P$32,IF($E56&lt;=P$30,0.5*P$9*$B$83*(2*$E56-2*P$21-1)/(P$22-P$21),IF($E56=P$30+1,P$45,IF($E56&lt;=P$36,P$50*P$31^($E56-P$22-1),IF($E56=P$36+1,P$48,IF($E56&lt;=P$40,P$51*P$38^($E56-P$35-1),IF($E56=P$40+1,P$49,0))))))))</f>
        <v>#N/A</v>
      </c>
      <c r="Q56" s="54" t="e">
        <f aca="false">IF(OR($E56&lt;=Q$29,Q$39&lt;=Q$22),0,IF(AND($E56=Q$29+1,$E56&lt;Q$30+1),Q$32,IF($E56&lt;=Q$30,0.5*Q$9*$B$83*(2*$E56-2*Q$21-1)/(Q$22-Q$21),IF($E56=Q$30+1,Q$45,IF($E56&lt;=Q$36,Q$50*Q$31^($E56-Q$22-1),IF($E56=Q$36+1,Q$48,IF($E56&lt;=Q$40,Q$51*Q$38^($E56-Q$35-1),IF($E56=Q$40+1,Q$49,0))))))))</f>
        <v>#N/A</v>
      </c>
      <c r="R56" s="54" t="e">
        <f aca="false">IF(OR($E56&lt;=R$29,R$39&lt;=R$22),0,IF(AND($E56=R$29+1,$E56&lt;R$30+1),R$32,IF($E56&lt;=R$30,0.5*R$9*$B$83*(2*$E56-2*R$21-1)/(R$22-R$21),IF($E56=R$30+1,R$45,IF($E56&lt;=R$36,R$50*R$31^($E56-R$22-1),IF($E56=R$36+1,R$48,IF($E56&lt;=R$40,R$51*R$38^($E56-R$35-1),IF($E56=R$40+1,R$49,0))))))))</f>
        <v>#N/A</v>
      </c>
      <c r="S56" s="54" t="e">
        <f aca="false">IF(OR($E56&lt;=S$29,S$39&lt;=S$22),0,IF(AND($E56=S$29+1,$E56&lt;S$30+1),S$32,IF($E56&lt;=S$30,0.5*S$9*$B$83*(2*$E56-2*S$21-1)/(S$22-S$21),IF($E56=S$30+1,S$45,IF($E56&lt;=S$36,S$50*S$31^($E56-S$22-1),IF($E56=S$36+1,S$48,IF($E56&lt;=S$40,S$51*S$38^($E56-S$35-1),IF($E56=S$40+1,S$49,0))))))))</f>
        <v>#N/A</v>
      </c>
      <c r="T56" s="54" t="e">
        <f aca="false">IF(OR($E56&lt;=T$29,T$39&lt;=T$22),0,IF(AND($E56=T$29+1,$E56&lt;T$30+1),T$32,IF($E56&lt;=T$30,0.5*T$9*$B$83*(2*$E56-2*T$21-1)/(T$22-T$21),IF($E56=T$30+1,T$45,IF($E56&lt;=T$36,T$50*T$31^($E56-T$22-1),IF($E56=T$36+1,T$48,IF($E56&lt;=T$40,T$51*T$38^($E56-T$35-1),IF($E56=T$40+1,T$49,0))))))))</f>
        <v>#N/A</v>
      </c>
      <c r="U56" s="54" t="e">
        <f aca="false">IF(OR($E56&lt;=U$29,U$39&lt;=U$22),0,IF(AND($E56=U$29+1,$E56&lt;U$30+1),U$32,IF($E56&lt;=U$30,0.5*U$9*$B$83*(2*$E56-2*U$21-1)/(U$22-U$21),IF($E56=U$30+1,U$45,IF($E56&lt;=U$36,U$50*U$31^($E56-U$22-1),IF($E56=U$36+1,U$48,IF($E56&lt;=U$40,U$51*U$38^($E56-U$35-1),IF($E56=U$40+1,U$49,0))))))))</f>
        <v>#N/A</v>
      </c>
      <c r="V56" s="54" t="e">
        <f aca="false">IF(OR($E56&lt;=V$29,V$39&lt;=V$22),0,IF(AND($E56=V$29+1,$E56&lt;V$30+1),V$32,IF($E56&lt;=V$30,0.5*V$9*$B$83*(2*$E56-2*V$21-1)/(V$22-V$21),IF($E56=V$30+1,V$45,IF($E56&lt;=V$36,V$50*V$31^($E56-V$22-1),IF($E56=V$36+1,V$48,IF($E56&lt;=V$40,V$51*V$38^($E56-V$35-1),IF($E56=V$40+1,V$49,0))))))))</f>
        <v>#N/A</v>
      </c>
      <c r="W56" s="54" t="e">
        <f aca="false">IF(OR($E56&lt;=W$29,W$39&lt;=W$22),0,IF(AND($E56=W$29+1,$E56&lt;W$30+1),W$32,IF($E56&lt;=W$30,0.5*W$9*$B$83*(2*$E56-2*W$21-1)/(W$22-W$21),IF($E56=W$30+1,W$45,IF($E56&lt;=W$36,W$50*W$31^($E56-W$22-1),IF($E56=W$36+1,W$48,IF($E56&lt;=W$40,W$51*W$38^($E56-W$35-1),IF($E56=W$40+1,W$49,0))))))))</f>
        <v>#N/A</v>
      </c>
      <c r="X56" s="54" t="e">
        <f aca="false">IF(OR($E56&lt;=X$29,X$39&lt;=X$22),0,IF(AND($E56=X$29+1,$E56&lt;X$30+1),X$32,IF($E56&lt;=X$30,0.5*X$9*$B$83*(2*$E56-2*X$21-1)/(X$22-X$21),IF($E56=X$30+1,X$45,IF($E56&lt;=X$36,X$50*X$31^($E56-X$22-1),IF($E56=X$36+1,X$48,IF($E56&lt;=X$40,X$51*X$38^($E56-X$35-1),IF($E56=X$40+1,X$49,0))))))))</f>
        <v>#N/A</v>
      </c>
      <c r="Y56" s="54" t="e">
        <f aca="false">IF(OR($E56&lt;=Y$29,Y$39&lt;=Y$22),0,IF(AND($E56=Y$29+1,$E56&lt;Y$30+1),Y$32,IF($E56&lt;=Y$30,0.5*Y$9*$B$83*(2*$E56-2*Y$21-1)/(Y$22-Y$21),IF($E56=Y$30+1,Y$45,IF($E56&lt;=Y$36,Y$50*Y$31^($E56-Y$22-1),IF($E56=Y$36+1,Y$48,IF($E56&lt;=Y$40,Y$51*Y$38^($E56-Y$35-1),IF($E56=Y$40+1,Y$49,0))))))))</f>
        <v>#N/A</v>
      </c>
      <c r="Z56" s="54" t="e">
        <f aca="false">IF(OR($E56&lt;=Z$29,Z$39&lt;=Z$22),0,IF(AND($E56=Z$29+1,$E56&lt;Z$30+1),Z$32,IF($E56&lt;=Z$30,0.5*Z$9*$B$83*(2*$E56-2*Z$21-1)/(Z$22-Z$21),IF($E56=Z$30+1,Z$45,IF($E56&lt;=Z$36,Z$50*Z$31^($E56-Z$22-1),IF($E56=Z$36+1,Z$48,IF($E56&lt;=Z$40,Z$51*Z$38^($E56-Z$35-1),IF($E56=Z$40+1,Z$49,0))))))))</f>
        <v>#N/A</v>
      </c>
      <c r="AA56" s="54" t="e">
        <f aca="false">SUM(F56:Z56)</f>
        <v>#VALUE!</v>
      </c>
    </row>
    <row r="57" customFormat="false" ht="11.25" hidden="false" customHeight="false" outlineLevel="0" collapsed="false">
      <c r="A57" s="12"/>
      <c r="B57" s="12"/>
      <c r="D57" s="60" t="n">
        <f aca="false">+H3</f>
        <v>2001</v>
      </c>
      <c r="E57" s="5" t="n">
        <f aca="false">+E56+1</f>
        <v>3</v>
      </c>
      <c r="F57" s="54" t="e">
        <f aca="false">(IF(OR($E57&lt;=F$29,F$39&lt;=F$22),0,IF(AND($E57=F$29+1,$E57&lt;F$30+1),F$32,IF($E57&lt;=F$30,0.5*F$9*$B$83*(2*$E57-2*F$21-1)/(F$22-F$21),IF($E57=F$30+1,F$45,IF($E57&lt;=F$36,F$50*F$31^($E57-F$22-1),IF($E57=F$36+1,F$48,IF($E57&lt;=F$40,F$51*F$38^($E57-F$35-1),IF($E57=F$40+1,F$49,0)))))))))</f>
        <v>#VALUE!</v>
      </c>
      <c r="G57" s="54" t="e">
        <f aca="false">IF(OR($E57&lt;=G$29,G$39&lt;=G$22),0,IF(AND($E57=G$29+1,$E57&lt;G$30+1),G$32,IF($E57&lt;=G$30,0.5*G$9*$B$83*(2*$E57-2*G$21-1)/(G$22-G$21),IF($E57=G$30+1,G$45,IF($E57&lt;=G$36,G$50*G$31^($E57-G$22-1),IF($E57=G$36+1,G$48,IF($E57&lt;=G$40,G$51*G$38^($E57-G$35-1),IF($E57=G$40+1,G$49,0))))))))</f>
        <v>#VALUE!</v>
      </c>
      <c r="H57" s="54" t="e">
        <f aca="false">IF(OR($E57&lt;=H$29,H$39&lt;=H$22),0,IF(AND($E57=H$29+1,$E57&lt;H$30+1),H$32,IF($E57&lt;=H$30,0.5*H$9*$B$83*(2*$E57-2*H$21-1)/(H$22-H$21),IF($E57=H$30+1,H$45,IF($E57&lt;=H$36,H$50*H$31^($E57-H$22-1),IF($E57=H$36+1,H$48,IF($E57&lt;=H$40,H$51*H$38^($E57-H$35-1),IF($E57=H$40+1,H$49,0))))))))</f>
        <v>#N/A</v>
      </c>
      <c r="I57" s="54" t="e">
        <f aca="false">IF(OR($E57&lt;=I$29,I$39&lt;=I$22),0,IF(AND($E57=I$29+1,$E57&lt;I$30+1),I$32,IF($E57&lt;=I$30,0.5*I$9*$B$83*(2*$E57-2*I$21-1)/(I$22-I$21),IF($E57=I$30+1,I$45,IF($E57&lt;=I$36,I$50*I$31^($E57-I$22-1),IF($E57=I$36+1,I$48,IF($E57&lt;=I$40,I$51*I$38^($E57-I$35-1),IF($E57=I$40+1,I$49,0))))))))</f>
        <v>#N/A</v>
      </c>
      <c r="J57" s="54" t="e">
        <f aca="false">IF(OR($E57&lt;=J$29,J$39&lt;=J$22),0,IF(AND($E57=J$29+1,$E57&lt;J$30+1),J$32,IF($E57&lt;=J$30,0.5*J$9*$B$83*(2*$E57-2*J$21-1)/(J$22-J$21),IF($E57=J$30+1,J$45,IF($E57&lt;=J$36,J$50*J$31^($E57-J$22-1),IF($E57=J$36+1,J$48,IF($E57&lt;=J$40,J$51*J$38^($E57-J$35-1),IF($E57=J$40+1,J$49,0))))))))</f>
        <v>#N/A</v>
      </c>
      <c r="K57" s="54" t="e">
        <f aca="false">IF(OR($E57&lt;=K$29,K$39&lt;=K$22),0,IF(AND($E57=K$29+1,$E57&lt;K$30+1),K$32,IF($E57&lt;=K$30,0.5*K$9*$B$83*(2*$E57-2*K$21-1)/(K$22-K$21),IF($E57=K$30+1,K$45,IF($E57&lt;=K$36,K$50*K$31^($E57-K$22-1),IF($E57=K$36+1,K$48,IF($E57&lt;=K$40,K$51*K$38^($E57-K$35-1),IF($E57=K$40+1,K$49,0))))))))</f>
        <v>#N/A</v>
      </c>
      <c r="L57" s="54" t="e">
        <f aca="false">IF(OR($E57&lt;=L$29,L$39&lt;=L$22),0,IF(AND($E57=L$29+1,$E57&lt;L$30+1),L$32,IF($E57&lt;=L$30,0.5*L$9*$B$83*(2*$E57-2*L$21-1)/(L$22-L$21),IF($E57=L$30+1,L$45,IF($E57&lt;=L$36,L$50*L$31^($E57-L$22-1),IF($E57=L$36+1,L$48,IF($E57&lt;=L$40,L$51*L$38^($E57-L$35-1),IF($E57=L$40+1,L$49,0))))))))</f>
        <v>#N/A</v>
      </c>
      <c r="M57" s="54" t="e">
        <f aca="false">IF(OR($E57&lt;=M$29,M$39&lt;=M$22),0,IF(AND($E57=M$29+1,$E57&lt;M$30+1),M$32,IF($E57&lt;=M$30,0.5*M$9*$B$83*(2*$E57-2*M$21-1)/(M$22-M$21),IF($E57=M$30+1,M$45,IF($E57&lt;=M$36,M$50*M$31^($E57-M$22-1),IF($E57=M$36+1,M$48,IF($E57&lt;=M$40,M$51*M$38^($E57-M$35-1),IF($E57=M$40+1,M$49,0))))))))</f>
        <v>#N/A</v>
      </c>
      <c r="N57" s="54" t="e">
        <f aca="false">IF(OR($E57&lt;=N$29,N$39&lt;=N$22),0,IF(AND($E57=N$29+1,$E57&lt;N$30+1),N$32,IF($E57&lt;=N$30,0.5*N$9*$B$83*(2*$E57-2*N$21-1)/(N$22-N$21),IF($E57=N$30+1,N$45,IF($E57&lt;=N$36,N$50*N$31^($E57-N$22-1),IF($E57=N$36+1,N$48,IF($E57&lt;=N$40,N$51*N$38^($E57-N$35-1),IF($E57=N$40+1,N$49,0))))))))</f>
        <v>#N/A</v>
      </c>
      <c r="O57" s="54" t="e">
        <f aca="false">IF(OR($E57&lt;=O$29,O$39&lt;=O$22),0,IF(AND($E57=O$29+1,$E57&lt;O$30+1),O$32,IF($E57&lt;=O$30,0.5*O$9*$B$83*(2*$E57-2*O$21-1)/(O$22-O$21),IF($E57=O$30+1,O$45,IF($E57&lt;=O$36,O$50*O$31^($E57-O$22-1),IF($E57=O$36+1,O$48,IF($E57&lt;=O$40,O$51*O$38^($E57-O$35-1),IF($E57=O$40+1,O$49,0))))))))</f>
        <v>#N/A</v>
      </c>
      <c r="P57" s="54" t="e">
        <f aca="false">IF(OR($E57&lt;=P$29,P$39&lt;=P$22),0,IF(AND($E57=P$29+1,$E57&lt;P$30+1),P$32,IF($E57&lt;=P$30,0.5*P$9*$B$83*(2*$E57-2*P$21-1)/(P$22-P$21),IF($E57=P$30+1,P$45,IF($E57&lt;=P$36,P$50*P$31^($E57-P$22-1),IF($E57=P$36+1,P$48,IF($E57&lt;=P$40,P$51*P$38^($E57-P$35-1),IF($E57=P$40+1,P$49,0))))))))</f>
        <v>#N/A</v>
      </c>
      <c r="Q57" s="54" t="e">
        <f aca="false">IF(OR($E57&lt;=Q$29,Q$39&lt;=Q$22),0,IF(AND($E57=Q$29+1,$E57&lt;Q$30+1),Q$32,IF($E57&lt;=Q$30,0.5*Q$9*$B$83*(2*$E57-2*Q$21-1)/(Q$22-Q$21),IF($E57=Q$30+1,Q$45,IF($E57&lt;=Q$36,Q$50*Q$31^($E57-Q$22-1),IF($E57=Q$36+1,Q$48,IF($E57&lt;=Q$40,Q$51*Q$38^($E57-Q$35-1),IF($E57=Q$40+1,Q$49,0))))))))</f>
        <v>#N/A</v>
      </c>
      <c r="R57" s="54" t="e">
        <f aca="false">IF(OR($E57&lt;=R$29,R$39&lt;=R$22),0,IF(AND($E57=R$29+1,$E57&lt;R$30+1),R$32,IF($E57&lt;=R$30,0.5*R$9*$B$83*(2*$E57-2*R$21-1)/(R$22-R$21),IF($E57=R$30+1,R$45,IF($E57&lt;=R$36,R$50*R$31^($E57-R$22-1),IF($E57=R$36+1,R$48,IF($E57&lt;=R$40,R$51*R$38^($E57-R$35-1),IF($E57=R$40+1,R$49,0))))))))</f>
        <v>#N/A</v>
      </c>
      <c r="S57" s="54" t="e">
        <f aca="false">IF(OR($E57&lt;=S$29,S$39&lt;=S$22),0,IF(AND($E57=S$29+1,$E57&lt;S$30+1),S$32,IF($E57&lt;=S$30,0.5*S$9*$B$83*(2*$E57-2*S$21-1)/(S$22-S$21),IF($E57=S$30+1,S$45,IF($E57&lt;=S$36,S$50*S$31^($E57-S$22-1),IF($E57=S$36+1,S$48,IF($E57&lt;=S$40,S$51*S$38^($E57-S$35-1),IF($E57=S$40+1,S$49,0))))))))</f>
        <v>#N/A</v>
      </c>
      <c r="T57" s="54" t="e">
        <f aca="false">IF(OR($E57&lt;=T$29,T$39&lt;=T$22),0,IF(AND($E57=T$29+1,$E57&lt;T$30+1),T$32,IF($E57&lt;=T$30,0.5*T$9*$B$83*(2*$E57-2*T$21-1)/(T$22-T$21),IF($E57=T$30+1,T$45,IF($E57&lt;=T$36,T$50*T$31^($E57-T$22-1),IF($E57=T$36+1,T$48,IF($E57&lt;=T$40,T$51*T$38^($E57-T$35-1),IF($E57=T$40+1,T$49,0))))))))</f>
        <v>#N/A</v>
      </c>
      <c r="U57" s="54" t="e">
        <f aca="false">IF(OR($E57&lt;=U$29,U$39&lt;=U$22),0,IF(AND($E57=U$29+1,$E57&lt;U$30+1),U$32,IF($E57&lt;=U$30,0.5*U$9*$B$83*(2*$E57-2*U$21-1)/(U$22-U$21),IF($E57=U$30+1,U$45,IF($E57&lt;=U$36,U$50*U$31^($E57-U$22-1),IF($E57=U$36+1,U$48,IF($E57&lt;=U$40,U$51*U$38^($E57-U$35-1),IF($E57=U$40+1,U$49,0))))))))</f>
        <v>#N/A</v>
      </c>
      <c r="V57" s="54" t="e">
        <f aca="false">IF(OR($E57&lt;=V$29,V$39&lt;=V$22),0,IF(AND($E57=V$29+1,$E57&lt;V$30+1),V$32,IF($E57&lt;=V$30,0.5*V$9*$B$83*(2*$E57-2*V$21-1)/(V$22-V$21),IF($E57=V$30+1,V$45,IF($E57&lt;=V$36,V$50*V$31^($E57-V$22-1),IF($E57=V$36+1,V$48,IF($E57&lt;=V$40,V$51*V$38^($E57-V$35-1),IF($E57=V$40+1,V$49,0))))))))</f>
        <v>#N/A</v>
      </c>
      <c r="W57" s="54" t="e">
        <f aca="false">IF(OR($E57&lt;=W$29,W$39&lt;=W$22),0,IF(AND($E57=W$29+1,$E57&lt;W$30+1),W$32,IF($E57&lt;=W$30,0.5*W$9*$B$83*(2*$E57-2*W$21-1)/(W$22-W$21),IF($E57=W$30+1,W$45,IF($E57&lt;=W$36,W$50*W$31^($E57-W$22-1),IF($E57=W$36+1,W$48,IF($E57&lt;=W$40,W$51*W$38^($E57-W$35-1),IF($E57=W$40+1,W$49,0))))))))</f>
        <v>#N/A</v>
      </c>
      <c r="X57" s="54" t="e">
        <f aca="false">IF(OR($E57&lt;=X$29,X$39&lt;=X$22),0,IF(AND($E57=X$29+1,$E57&lt;X$30+1),X$32,IF($E57&lt;=X$30,0.5*X$9*$B$83*(2*$E57-2*X$21-1)/(X$22-X$21),IF($E57=X$30+1,X$45,IF($E57&lt;=X$36,X$50*X$31^($E57-X$22-1),IF($E57=X$36+1,X$48,IF($E57&lt;=X$40,X$51*X$38^($E57-X$35-1),IF($E57=X$40+1,X$49,0))))))))</f>
        <v>#N/A</v>
      </c>
      <c r="Y57" s="54" t="e">
        <f aca="false">IF(OR($E57&lt;=Y$29,Y$39&lt;=Y$22),0,IF(AND($E57=Y$29+1,$E57&lt;Y$30+1),Y$32,IF($E57&lt;=Y$30,0.5*Y$9*$B$83*(2*$E57-2*Y$21-1)/(Y$22-Y$21),IF($E57=Y$30+1,Y$45,IF($E57&lt;=Y$36,Y$50*Y$31^($E57-Y$22-1),IF($E57=Y$36+1,Y$48,IF($E57&lt;=Y$40,Y$51*Y$38^($E57-Y$35-1),IF($E57=Y$40+1,Y$49,0))))))))</f>
        <v>#N/A</v>
      </c>
      <c r="Z57" s="54" t="e">
        <f aca="false">IF(OR($E57&lt;=Z$29,Z$39&lt;=Z$22),0,IF(AND($E57=Z$29+1,$E57&lt;Z$30+1),Z$32,IF($E57&lt;=Z$30,0.5*Z$9*$B$83*(2*$E57-2*Z$21-1)/(Z$22-Z$21),IF($E57=Z$30+1,Z$45,IF($E57&lt;=Z$36,Z$50*Z$31^($E57-Z$22-1),IF($E57=Z$36+1,Z$48,IF($E57&lt;=Z$40,Z$51*Z$38^($E57-Z$35-1),IF($E57=Z$40+1,Z$49,0))))))))</f>
        <v>#N/A</v>
      </c>
      <c r="AA57" s="54" t="e">
        <f aca="false">SUM(F57:Z57)</f>
        <v>#VALUE!</v>
      </c>
    </row>
    <row r="58" customFormat="false" ht="11.25" hidden="false" customHeight="false" outlineLevel="0" collapsed="false">
      <c r="A58" s="12"/>
      <c r="B58" s="12"/>
      <c r="D58" s="60" t="n">
        <f aca="false">+I3</f>
        <v>2002</v>
      </c>
      <c r="E58" s="5" t="n">
        <f aca="false">+E57+1</f>
        <v>4</v>
      </c>
      <c r="F58" s="54" t="e">
        <f aca="false">(IF(OR($E58&lt;=F$29,F$39&lt;=F$22),0,IF(AND($E58=F$29+1,$E58&lt;F$30+1),F$32,IF($E58&lt;=F$30,0.5*F$9*$B$83*(2*$E58-2*F$21-1)/(F$22-F$21),IF($E58=F$30+1,F$45,IF($E58&lt;=F$36,F$50*F$31^($E58-F$22-1),IF($E58=F$36+1,F$48,IF($E58&lt;=F$40,F$51*F$38^($E58-F$35-1),IF($E58=F$40+1,F$49,0)))))))))</f>
        <v>#VALUE!</v>
      </c>
      <c r="G58" s="54" t="e">
        <f aca="false">IF(OR($E58&lt;=G$29,G$39&lt;=G$22),0,IF(AND($E58=G$29+1,$E58&lt;G$30+1),G$32,IF($E58&lt;=G$30,0.5*G$9*$B$83*(2*$E58-2*G$21-1)/(G$22-G$21),IF($E58=G$30+1,G$45,IF($E58&lt;=G$36,G$50*G$31^($E58-G$22-1),IF($E58=G$36+1,G$48,IF($E58&lt;=G$40,G$51*G$38^($E58-G$35-1),IF($E58=G$40+1,G$49,0))))))))</f>
        <v>#VALUE!</v>
      </c>
      <c r="H58" s="54" t="e">
        <f aca="false">IF(OR($E58&lt;=H$29,H$39&lt;=H$22),0,IF(AND($E58=H$29+1,$E58&lt;H$30+1),H$32,IF($E58&lt;=H$30,0.5*H$9*$B$83*(2*$E58-2*H$21-1)/(H$22-H$21),IF($E58=H$30+1,H$45,IF($E58&lt;=H$36,H$50*H$31^($E58-H$22-1),IF($E58=H$36+1,H$48,IF($E58&lt;=H$40,H$51*H$38^($E58-H$35-1),IF($E58=H$40+1,H$49,0))))))))</f>
        <v>#N/A</v>
      </c>
      <c r="I58" s="54" t="e">
        <f aca="false">IF(OR($E58&lt;=I$29,I$39&lt;=I$22),0,IF(AND($E58=I$29+1,$E58&lt;I$30+1),I$32,IF($E58&lt;=I$30,0.5*I$9*$B$83*(2*$E58-2*I$21-1)/(I$22-I$21),IF($E58=I$30+1,I$45,IF($E58&lt;=I$36,I$50*I$31^($E58-I$22-1),IF($E58=I$36+1,I$48,IF($E58&lt;=I$40,I$51*I$38^($E58-I$35-1),IF($E58=I$40+1,I$49,0))))))))</f>
        <v>#N/A</v>
      </c>
      <c r="J58" s="54" t="e">
        <f aca="false">IF(OR($E58&lt;=J$29,J$39&lt;=J$22),0,IF(AND($E58=J$29+1,$E58&lt;J$30+1),J$32,IF($E58&lt;=J$30,0.5*J$9*$B$83*(2*$E58-2*J$21-1)/(J$22-J$21),IF($E58=J$30+1,J$45,IF($E58&lt;=J$36,J$50*J$31^($E58-J$22-1),IF($E58=J$36+1,J$48,IF($E58&lt;=J$40,J$51*J$38^($E58-J$35-1),IF($E58=J$40+1,J$49,0))))))))</f>
        <v>#N/A</v>
      </c>
      <c r="K58" s="54" t="e">
        <f aca="false">IF(OR($E58&lt;=K$29,K$39&lt;=K$22),0,IF(AND($E58=K$29+1,$E58&lt;K$30+1),K$32,IF($E58&lt;=K$30,0.5*K$9*$B$83*(2*$E58-2*K$21-1)/(K$22-K$21),IF($E58=K$30+1,K$45,IF($E58&lt;=K$36,K$50*K$31^($E58-K$22-1),IF($E58=K$36+1,K$48,IF($E58&lt;=K$40,K$51*K$38^($E58-K$35-1),IF($E58=K$40+1,K$49,0))))))))</f>
        <v>#N/A</v>
      </c>
      <c r="L58" s="54" t="e">
        <f aca="false">IF(OR($E58&lt;=L$29,L$39&lt;=L$22),0,IF(AND($E58=L$29+1,$E58&lt;L$30+1),L$32,IF($E58&lt;=L$30,0.5*L$9*$B$83*(2*$E58-2*L$21-1)/(L$22-L$21),IF($E58=L$30+1,L$45,IF($E58&lt;=L$36,L$50*L$31^($E58-L$22-1),IF($E58=L$36+1,L$48,IF($E58&lt;=L$40,L$51*L$38^($E58-L$35-1),IF($E58=L$40+1,L$49,0))))))))</f>
        <v>#N/A</v>
      </c>
      <c r="M58" s="54" t="e">
        <f aca="false">IF(OR($E58&lt;=M$29,M$39&lt;=M$22),0,IF(AND($E58=M$29+1,$E58&lt;M$30+1),M$32,IF($E58&lt;=M$30,0.5*M$9*$B$83*(2*$E58-2*M$21-1)/(M$22-M$21),IF($E58=M$30+1,M$45,IF($E58&lt;=M$36,M$50*M$31^($E58-M$22-1),IF($E58=M$36+1,M$48,IF($E58&lt;=M$40,M$51*M$38^($E58-M$35-1),IF($E58=M$40+1,M$49,0))))))))</f>
        <v>#N/A</v>
      </c>
      <c r="N58" s="54" t="e">
        <f aca="false">IF(OR($E58&lt;=N$29,N$39&lt;=N$22),0,IF(AND($E58=N$29+1,$E58&lt;N$30+1),N$32,IF($E58&lt;=N$30,0.5*N$9*$B$83*(2*$E58-2*N$21-1)/(N$22-N$21),IF($E58=N$30+1,N$45,IF($E58&lt;=N$36,N$50*N$31^($E58-N$22-1),IF($E58=N$36+1,N$48,IF($E58&lt;=N$40,N$51*N$38^($E58-N$35-1),IF($E58=N$40+1,N$49,0))))))))</f>
        <v>#N/A</v>
      </c>
      <c r="O58" s="54" t="e">
        <f aca="false">IF(OR($E58&lt;=O$29,O$39&lt;=O$22),0,IF(AND($E58=O$29+1,$E58&lt;O$30+1),O$32,IF($E58&lt;=O$30,0.5*O$9*$B$83*(2*$E58-2*O$21-1)/(O$22-O$21),IF($E58=O$30+1,O$45,IF($E58&lt;=O$36,O$50*O$31^($E58-O$22-1),IF($E58=O$36+1,O$48,IF($E58&lt;=O$40,O$51*O$38^($E58-O$35-1),IF($E58=O$40+1,O$49,0))))))))</f>
        <v>#N/A</v>
      </c>
      <c r="P58" s="54" t="e">
        <f aca="false">IF(OR($E58&lt;=P$29,P$39&lt;=P$22),0,IF(AND($E58=P$29+1,$E58&lt;P$30+1),P$32,IF($E58&lt;=P$30,0.5*P$9*$B$83*(2*$E58-2*P$21-1)/(P$22-P$21),IF($E58=P$30+1,P$45,IF($E58&lt;=P$36,P$50*P$31^($E58-P$22-1),IF($E58=P$36+1,P$48,IF($E58&lt;=P$40,P$51*P$38^($E58-P$35-1),IF($E58=P$40+1,P$49,0))))))))</f>
        <v>#N/A</v>
      </c>
      <c r="Q58" s="54" t="e">
        <f aca="false">IF(OR($E58&lt;=Q$29,Q$39&lt;=Q$22),0,IF(AND($E58=Q$29+1,$E58&lt;Q$30+1),Q$32,IF($E58&lt;=Q$30,0.5*Q$9*$B$83*(2*$E58-2*Q$21-1)/(Q$22-Q$21),IF($E58=Q$30+1,Q$45,IF($E58&lt;=Q$36,Q$50*Q$31^($E58-Q$22-1),IF($E58=Q$36+1,Q$48,IF($E58&lt;=Q$40,Q$51*Q$38^($E58-Q$35-1),IF($E58=Q$40+1,Q$49,0))))))))</f>
        <v>#N/A</v>
      </c>
      <c r="R58" s="54" t="e">
        <f aca="false">IF(OR($E58&lt;=R$29,R$39&lt;=R$22),0,IF(AND($E58=R$29+1,$E58&lt;R$30+1),R$32,IF($E58&lt;=R$30,0.5*R$9*$B$83*(2*$E58-2*R$21-1)/(R$22-R$21),IF($E58=R$30+1,R$45,IF($E58&lt;=R$36,R$50*R$31^($E58-R$22-1),IF($E58=R$36+1,R$48,IF($E58&lt;=R$40,R$51*R$38^($E58-R$35-1),IF($E58=R$40+1,R$49,0))))))))</f>
        <v>#N/A</v>
      </c>
      <c r="S58" s="54" t="e">
        <f aca="false">IF(OR($E58&lt;=S$29,S$39&lt;=S$22),0,IF(AND($E58=S$29+1,$E58&lt;S$30+1),S$32,IF($E58&lt;=S$30,0.5*S$9*$B$83*(2*$E58-2*S$21-1)/(S$22-S$21),IF($E58=S$30+1,S$45,IF($E58&lt;=S$36,S$50*S$31^($E58-S$22-1),IF($E58=S$36+1,S$48,IF($E58&lt;=S$40,S$51*S$38^($E58-S$35-1),IF($E58=S$40+1,S$49,0))))))))</f>
        <v>#N/A</v>
      </c>
      <c r="T58" s="54" t="e">
        <f aca="false">IF(OR($E58&lt;=T$29,T$39&lt;=T$22),0,IF(AND($E58=T$29+1,$E58&lt;T$30+1),T$32,IF($E58&lt;=T$30,0.5*T$9*$B$83*(2*$E58-2*T$21-1)/(T$22-T$21),IF($E58=T$30+1,T$45,IF($E58&lt;=T$36,T$50*T$31^($E58-T$22-1),IF($E58=T$36+1,T$48,IF($E58&lt;=T$40,T$51*T$38^($E58-T$35-1),IF($E58=T$40+1,T$49,0))))))))</f>
        <v>#N/A</v>
      </c>
      <c r="U58" s="54" t="e">
        <f aca="false">IF(OR($E58&lt;=U$29,U$39&lt;=U$22),0,IF(AND($E58=U$29+1,$E58&lt;U$30+1),U$32,IF($E58&lt;=U$30,0.5*U$9*$B$83*(2*$E58-2*U$21-1)/(U$22-U$21),IF($E58=U$30+1,U$45,IF($E58&lt;=U$36,U$50*U$31^($E58-U$22-1),IF($E58=U$36+1,U$48,IF($E58&lt;=U$40,U$51*U$38^($E58-U$35-1),IF($E58=U$40+1,U$49,0))))))))</f>
        <v>#N/A</v>
      </c>
      <c r="V58" s="54" t="e">
        <f aca="false">IF(OR($E58&lt;=V$29,V$39&lt;=V$22),0,IF(AND($E58=V$29+1,$E58&lt;V$30+1),V$32,IF($E58&lt;=V$30,0.5*V$9*$B$83*(2*$E58-2*V$21-1)/(V$22-V$21),IF($E58=V$30+1,V$45,IF($E58&lt;=V$36,V$50*V$31^($E58-V$22-1),IF($E58=V$36+1,V$48,IF($E58&lt;=V$40,V$51*V$38^($E58-V$35-1),IF($E58=V$40+1,V$49,0))))))))</f>
        <v>#N/A</v>
      </c>
      <c r="W58" s="54" t="e">
        <f aca="false">IF(OR($E58&lt;=W$29,W$39&lt;=W$22),0,IF(AND($E58=W$29+1,$E58&lt;W$30+1),W$32,IF($E58&lt;=W$30,0.5*W$9*$B$83*(2*$E58-2*W$21-1)/(W$22-W$21),IF($E58=W$30+1,W$45,IF($E58&lt;=W$36,W$50*W$31^($E58-W$22-1),IF($E58=W$36+1,W$48,IF($E58&lt;=W$40,W$51*W$38^($E58-W$35-1),IF($E58=W$40+1,W$49,0))))))))</f>
        <v>#N/A</v>
      </c>
      <c r="X58" s="54" t="e">
        <f aca="false">IF(OR($E58&lt;=X$29,X$39&lt;=X$22),0,IF(AND($E58=X$29+1,$E58&lt;X$30+1),X$32,IF($E58&lt;=X$30,0.5*X$9*$B$83*(2*$E58-2*X$21-1)/(X$22-X$21),IF($E58=X$30+1,X$45,IF($E58&lt;=X$36,X$50*X$31^($E58-X$22-1),IF($E58=X$36+1,X$48,IF($E58&lt;=X$40,X$51*X$38^($E58-X$35-1),IF($E58=X$40+1,X$49,0))))))))</f>
        <v>#N/A</v>
      </c>
      <c r="Y58" s="54" t="e">
        <f aca="false">IF(OR($E58&lt;=Y$29,Y$39&lt;=Y$22),0,IF(AND($E58=Y$29+1,$E58&lt;Y$30+1),Y$32,IF($E58&lt;=Y$30,0.5*Y$9*$B$83*(2*$E58-2*Y$21-1)/(Y$22-Y$21),IF($E58=Y$30+1,Y$45,IF($E58&lt;=Y$36,Y$50*Y$31^($E58-Y$22-1),IF($E58=Y$36+1,Y$48,IF($E58&lt;=Y$40,Y$51*Y$38^($E58-Y$35-1),IF($E58=Y$40+1,Y$49,0))))))))</f>
        <v>#N/A</v>
      </c>
      <c r="Z58" s="54" t="e">
        <f aca="false">IF(OR($E58&lt;=Z$29,Z$39&lt;=Z$22),0,IF(AND($E58=Z$29+1,$E58&lt;Z$30+1),Z$32,IF($E58&lt;=Z$30,0.5*Z$9*$B$83*(2*$E58-2*Z$21-1)/(Z$22-Z$21),IF($E58=Z$30+1,Z$45,IF($E58&lt;=Z$36,Z$50*Z$31^($E58-Z$22-1),IF($E58=Z$36+1,Z$48,IF($E58&lt;=Z$40,Z$51*Z$38^($E58-Z$35-1),IF($E58=Z$40+1,Z$49,0))))))))</f>
        <v>#N/A</v>
      </c>
      <c r="AA58" s="54" t="e">
        <f aca="false">SUM(F58:Z58)</f>
        <v>#VALUE!</v>
      </c>
    </row>
    <row r="59" customFormat="false" ht="11.25" hidden="false" customHeight="false" outlineLevel="0" collapsed="false">
      <c r="A59" s="12"/>
      <c r="B59" s="12"/>
      <c r="D59" s="60" t="n">
        <f aca="false">+J3</f>
        <v>2003</v>
      </c>
      <c r="E59" s="5" t="n">
        <f aca="false">+E58+1</f>
        <v>5</v>
      </c>
      <c r="F59" s="54" t="e">
        <f aca="false">(IF(OR($E59&lt;=F$29,F$39&lt;=F$22),0,IF(AND($E59=F$29+1,$E59&lt;F$30+1),F$32,IF($E59&lt;=F$30,0.5*F$9*$B$83*(2*$E59-2*F$21-1)/(F$22-F$21),IF($E59=F$30+1,F$45,IF($E59&lt;=F$36,F$50*F$31^($E59-F$22-1),IF($E59=F$36+1,F$48,IF($E59&lt;=F$40,F$51*F$38^($E59-F$35-1),IF($E59=F$40+1,F$49,0)))))))))</f>
        <v>#VALUE!</v>
      </c>
      <c r="G59" s="54" t="e">
        <f aca="false">IF(OR($E59&lt;=G$29,G$39&lt;=G$22),0,IF(AND($E59=G$29+1,$E59&lt;G$30+1),G$32,IF($E59&lt;=G$30,0.5*G$9*$B$83*(2*$E59-2*G$21-1)/(G$22-G$21),IF($E59=G$30+1,G$45,IF($E59&lt;=G$36,G$50*G$31^($E59-G$22-1),IF($E59=G$36+1,G$48,IF($E59&lt;=G$40,G$51*G$38^($E59-G$35-1),IF($E59=G$40+1,G$49,0))))))))</f>
        <v>#VALUE!</v>
      </c>
      <c r="H59" s="54" t="e">
        <f aca="false">IF(OR($E59&lt;=H$29,H$39&lt;=H$22),0,IF(AND($E59=H$29+1,$E59&lt;H$30+1),H$32,IF($E59&lt;=H$30,0.5*H$9*$B$83*(2*$E59-2*H$21-1)/(H$22-H$21),IF($E59=H$30+1,H$45,IF($E59&lt;=H$36,H$50*H$31^($E59-H$22-1),IF($E59=H$36+1,H$48,IF($E59&lt;=H$40,H$51*H$38^($E59-H$35-1),IF($E59=H$40+1,H$49,0))))))))</f>
        <v>#N/A</v>
      </c>
      <c r="I59" s="54" t="e">
        <f aca="false">IF(OR($E59&lt;=I$29,I$39&lt;=I$22),0,IF(AND($E59=I$29+1,$E59&lt;I$30+1),I$32,IF($E59&lt;=I$30,0.5*I$9*$B$83*(2*$E59-2*I$21-1)/(I$22-I$21),IF($E59=I$30+1,I$45,IF($E59&lt;=I$36,I$50*I$31^($E59-I$22-1),IF($E59=I$36+1,I$48,IF($E59&lt;=I$40,I$51*I$38^($E59-I$35-1),IF($E59=I$40+1,I$49,0))))))))</f>
        <v>#N/A</v>
      </c>
      <c r="J59" s="54" t="e">
        <f aca="false">IF(OR($E59&lt;=J$29,J$39&lt;=J$22),0,IF(AND($E59=J$29+1,$E59&lt;J$30+1),J$32,IF($E59&lt;=J$30,0.5*J$9*$B$83*(2*$E59-2*J$21-1)/(J$22-J$21),IF($E59=J$30+1,J$45,IF($E59&lt;=J$36,J$50*J$31^($E59-J$22-1),IF($E59=J$36+1,J$48,IF($E59&lt;=J$40,J$51*J$38^($E59-J$35-1),IF($E59=J$40+1,J$49,0))))))))</f>
        <v>#N/A</v>
      </c>
      <c r="K59" s="54" t="e">
        <f aca="false">IF(OR($E59&lt;=K$29,K$39&lt;=K$22),0,IF(AND($E59=K$29+1,$E59&lt;K$30+1),K$32,IF($E59&lt;=K$30,0.5*K$9*$B$83*(2*$E59-2*K$21-1)/(K$22-K$21),IF($E59=K$30+1,K$45,IF($E59&lt;=K$36,K$50*K$31^($E59-K$22-1),IF($E59=K$36+1,K$48,IF($E59&lt;=K$40,K$51*K$38^($E59-K$35-1),IF($E59=K$40+1,K$49,0))))))))</f>
        <v>#N/A</v>
      </c>
      <c r="L59" s="54" t="e">
        <f aca="false">IF(OR($E59&lt;=L$29,L$39&lt;=L$22),0,IF(AND($E59=L$29+1,$E59&lt;L$30+1),L$32,IF($E59&lt;=L$30,0.5*L$9*$B$83*(2*$E59-2*L$21-1)/(L$22-L$21),IF($E59=L$30+1,L$45,IF($E59&lt;=L$36,L$50*L$31^($E59-L$22-1),IF($E59=L$36+1,L$48,IF($E59&lt;=L$40,L$51*L$38^($E59-L$35-1),IF($E59=L$40+1,L$49,0))))))))</f>
        <v>#N/A</v>
      </c>
      <c r="M59" s="54" t="e">
        <f aca="false">IF(OR($E59&lt;=M$29,M$39&lt;=M$22),0,IF(AND($E59=M$29+1,$E59&lt;M$30+1),M$32,IF($E59&lt;=M$30,0.5*M$9*$B$83*(2*$E59-2*M$21-1)/(M$22-M$21),IF($E59=M$30+1,M$45,IF($E59&lt;=M$36,M$50*M$31^($E59-M$22-1),IF($E59=M$36+1,M$48,IF($E59&lt;=M$40,M$51*M$38^($E59-M$35-1),IF($E59=M$40+1,M$49,0))))))))</f>
        <v>#N/A</v>
      </c>
      <c r="N59" s="54" t="e">
        <f aca="false">IF(OR($E59&lt;=N$29,N$39&lt;=N$22),0,IF(AND($E59=N$29+1,$E59&lt;N$30+1),N$32,IF($E59&lt;=N$30,0.5*N$9*$B$83*(2*$E59-2*N$21-1)/(N$22-N$21),IF($E59=N$30+1,N$45,IF($E59&lt;=N$36,N$50*N$31^($E59-N$22-1),IF($E59=N$36+1,N$48,IF($E59&lt;=N$40,N$51*N$38^($E59-N$35-1),IF($E59=N$40+1,N$49,0))))))))</f>
        <v>#N/A</v>
      </c>
      <c r="O59" s="54" t="e">
        <f aca="false">IF(OR($E59&lt;=O$29,O$39&lt;=O$22),0,IF(AND($E59=O$29+1,$E59&lt;O$30+1),O$32,IF($E59&lt;=O$30,0.5*O$9*$B$83*(2*$E59-2*O$21-1)/(O$22-O$21),IF($E59=O$30+1,O$45,IF($E59&lt;=O$36,O$50*O$31^($E59-O$22-1),IF($E59=O$36+1,O$48,IF($E59&lt;=O$40,O$51*O$38^($E59-O$35-1),IF($E59=O$40+1,O$49,0))))))))</f>
        <v>#N/A</v>
      </c>
      <c r="P59" s="54" t="e">
        <f aca="false">IF(OR($E59&lt;=P$29,P$39&lt;=P$22),0,IF(AND($E59=P$29+1,$E59&lt;P$30+1),P$32,IF($E59&lt;=P$30,0.5*P$9*$B$83*(2*$E59-2*P$21-1)/(P$22-P$21),IF($E59=P$30+1,P$45,IF($E59&lt;=P$36,P$50*P$31^($E59-P$22-1),IF($E59=P$36+1,P$48,IF($E59&lt;=P$40,P$51*P$38^($E59-P$35-1),IF($E59=P$40+1,P$49,0))))))))</f>
        <v>#N/A</v>
      </c>
      <c r="Q59" s="54" t="e">
        <f aca="false">IF(OR($E59&lt;=Q$29,Q$39&lt;=Q$22),0,IF(AND($E59=Q$29+1,$E59&lt;Q$30+1),Q$32,IF($E59&lt;=Q$30,0.5*Q$9*$B$83*(2*$E59-2*Q$21-1)/(Q$22-Q$21),IF($E59=Q$30+1,Q$45,IF($E59&lt;=Q$36,Q$50*Q$31^($E59-Q$22-1),IF($E59=Q$36+1,Q$48,IF($E59&lt;=Q$40,Q$51*Q$38^($E59-Q$35-1),IF($E59=Q$40+1,Q$49,0))))))))</f>
        <v>#N/A</v>
      </c>
      <c r="R59" s="54" t="e">
        <f aca="false">IF(OR($E59&lt;=R$29,R$39&lt;=R$22),0,IF(AND($E59=R$29+1,$E59&lt;R$30+1),R$32,IF($E59&lt;=R$30,0.5*R$9*$B$83*(2*$E59-2*R$21-1)/(R$22-R$21),IF($E59=R$30+1,R$45,IF($E59&lt;=R$36,R$50*R$31^($E59-R$22-1),IF($E59=R$36+1,R$48,IF($E59&lt;=R$40,R$51*R$38^($E59-R$35-1),IF($E59=R$40+1,R$49,0))))))))</f>
        <v>#N/A</v>
      </c>
      <c r="S59" s="54" t="e">
        <f aca="false">IF(OR($E59&lt;=S$29,S$39&lt;=S$22),0,IF(AND($E59=S$29+1,$E59&lt;S$30+1),S$32,IF($E59&lt;=S$30,0.5*S$9*$B$83*(2*$E59-2*S$21-1)/(S$22-S$21),IF($E59=S$30+1,S$45,IF($E59&lt;=S$36,S$50*S$31^($E59-S$22-1),IF($E59=S$36+1,S$48,IF($E59&lt;=S$40,S$51*S$38^($E59-S$35-1),IF($E59=S$40+1,S$49,0))))))))</f>
        <v>#N/A</v>
      </c>
      <c r="T59" s="54" t="e">
        <f aca="false">IF(OR($E59&lt;=T$29,T$39&lt;=T$22),0,IF(AND($E59=T$29+1,$E59&lt;T$30+1),T$32,IF($E59&lt;=T$30,0.5*T$9*$B$83*(2*$E59-2*T$21-1)/(T$22-T$21),IF($E59=T$30+1,T$45,IF($E59&lt;=T$36,T$50*T$31^($E59-T$22-1),IF($E59=T$36+1,T$48,IF($E59&lt;=T$40,T$51*T$38^($E59-T$35-1),IF($E59=T$40+1,T$49,0))))))))</f>
        <v>#N/A</v>
      </c>
      <c r="U59" s="54" t="e">
        <f aca="false">IF(OR($E59&lt;=U$29,U$39&lt;=U$22),0,IF(AND($E59=U$29+1,$E59&lt;U$30+1),U$32,IF($E59&lt;=U$30,0.5*U$9*$B$83*(2*$E59-2*U$21-1)/(U$22-U$21),IF($E59=U$30+1,U$45,IF($E59&lt;=U$36,U$50*U$31^($E59-U$22-1),IF($E59=U$36+1,U$48,IF($E59&lt;=U$40,U$51*U$38^($E59-U$35-1),IF($E59=U$40+1,U$49,0))))))))</f>
        <v>#N/A</v>
      </c>
      <c r="V59" s="54" t="e">
        <f aca="false">IF(OR($E59&lt;=V$29,V$39&lt;=V$22),0,IF(AND($E59=V$29+1,$E59&lt;V$30+1),V$32,IF($E59&lt;=V$30,0.5*V$9*$B$83*(2*$E59-2*V$21-1)/(V$22-V$21),IF($E59=V$30+1,V$45,IF($E59&lt;=V$36,V$50*V$31^($E59-V$22-1),IF($E59=V$36+1,V$48,IF($E59&lt;=V$40,V$51*V$38^($E59-V$35-1),IF($E59=V$40+1,V$49,0))))))))</f>
        <v>#N/A</v>
      </c>
      <c r="W59" s="54" t="e">
        <f aca="false">IF(OR($E59&lt;=W$29,W$39&lt;=W$22),0,IF(AND($E59=W$29+1,$E59&lt;W$30+1),W$32,IF($E59&lt;=W$30,0.5*W$9*$B$83*(2*$E59-2*W$21-1)/(W$22-W$21),IF($E59=W$30+1,W$45,IF($E59&lt;=W$36,W$50*W$31^($E59-W$22-1),IF($E59=W$36+1,W$48,IF($E59&lt;=W$40,W$51*W$38^($E59-W$35-1),IF($E59=W$40+1,W$49,0))))))))</f>
        <v>#N/A</v>
      </c>
      <c r="X59" s="54" t="e">
        <f aca="false">IF(OR($E59&lt;=X$29,X$39&lt;=X$22),0,IF(AND($E59=X$29+1,$E59&lt;X$30+1),X$32,IF($E59&lt;=X$30,0.5*X$9*$B$83*(2*$E59-2*X$21-1)/(X$22-X$21),IF($E59=X$30+1,X$45,IF($E59&lt;=X$36,X$50*X$31^($E59-X$22-1),IF($E59=X$36+1,X$48,IF($E59&lt;=X$40,X$51*X$38^($E59-X$35-1),IF($E59=X$40+1,X$49,0))))))))</f>
        <v>#N/A</v>
      </c>
      <c r="Y59" s="54" t="e">
        <f aca="false">IF(OR($E59&lt;=Y$29,Y$39&lt;=Y$22),0,IF(AND($E59=Y$29+1,$E59&lt;Y$30+1),Y$32,IF($E59&lt;=Y$30,0.5*Y$9*$B$83*(2*$E59-2*Y$21-1)/(Y$22-Y$21),IF($E59=Y$30+1,Y$45,IF($E59&lt;=Y$36,Y$50*Y$31^($E59-Y$22-1),IF($E59=Y$36+1,Y$48,IF($E59&lt;=Y$40,Y$51*Y$38^($E59-Y$35-1),IF($E59=Y$40+1,Y$49,0))))))))</f>
        <v>#N/A</v>
      </c>
      <c r="Z59" s="54" t="e">
        <f aca="false">IF(OR($E59&lt;=Z$29,Z$39&lt;=Z$22),0,IF(AND($E59=Z$29+1,$E59&lt;Z$30+1),Z$32,IF($E59&lt;=Z$30,0.5*Z$9*$B$83*(2*$E59-2*Z$21-1)/(Z$22-Z$21),IF($E59=Z$30+1,Z$45,IF($E59&lt;=Z$36,Z$50*Z$31^($E59-Z$22-1),IF($E59=Z$36+1,Z$48,IF($E59&lt;=Z$40,Z$51*Z$38^($E59-Z$35-1),IF($E59=Z$40+1,Z$49,0))))))))</f>
        <v>#N/A</v>
      </c>
      <c r="AA59" s="54" t="e">
        <f aca="false">SUM(F59:Z59)</f>
        <v>#VALUE!</v>
      </c>
    </row>
    <row r="60" customFormat="false" ht="11.25" hidden="false" customHeight="false" outlineLevel="0" collapsed="false">
      <c r="A60" s="12"/>
      <c r="B60" s="12"/>
      <c r="D60" s="60" t="n">
        <f aca="false">+K3</f>
        <v>2004</v>
      </c>
      <c r="E60" s="5" t="n">
        <f aca="false">+E59+1</f>
        <v>6</v>
      </c>
      <c r="F60" s="54" t="e">
        <f aca="false">(IF(OR($E60&lt;=F$29,F$39&lt;=F$22),0,IF(AND($E60=F$29+1,$E60&lt;F$30+1),F$32,IF($E60&lt;=F$30,0.5*F$9*$B$83*(2*$E60-2*F$21-1)/(F$22-F$21),IF($E60=F$30+1,F$45,IF($E60&lt;=F$36,F$50*F$31^($E60-F$22-1),IF($E60=F$36+1,F$48,IF($E60&lt;=F$40,F$51*F$38^($E60-F$35-1),IF($E60=F$40+1,F$49,0)))))))))</f>
        <v>#VALUE!</v>
      </c>
      <c r="G60" s="54" t="e">
        <f aca="false">IF(OR($E60&lt;=G$29,G$39&lt;=G$22),0,IF(AND($E60=G$29+1,$E60&lt;G$30+1),G$32,IF($E60&lt;=G$30,0.5*G$9*$B$83*(2*$E60-2*G$21-1)/(G$22-G$21),IF($E60=G$30+1,G$45,IF($E60&lt;=G$36,G$50*G$31^($E60-G$22-1),IF($E60=G$36+1,G$48,IF($E60&lt;=G$40,G$51*G$38^($E60-G$35-1),IF($E60=G$40+1,G$49,0))))))))</f>
        <v>#VALUE!</v>
      </c>
      <c r="H60" s="54" t="e">
        <f aca="false">IF(OR($E60&lt;=H$29,H$39&lt;=H$22),0,IF(AND($E60=H$29+1,$E60&lt;H$30+1),H$32,IF($E60&lt;=H$30,0.5*H$9*$B$83*(2*$E60-2*H$21-1)/(H$22-H$21),IF($E60=H$30+1,H$45,IF($E60&lt;=H$36,H$50*H$31^($E60-H$22-1),IF($E60=H$36+1,H$48,IF($E60&lt;=H$40,H$51*H$38^($E60-H$35-1),IF($E60=H$40+1,H$49,0))))))))</f>
        <v>#N/A</v>
      </c>
      <c r="I60" s="54" t="e">
        <f aca="false">IF(OR($E60&lt;=I$29,I$39&lt;=I$22),0,IF(AND($E60=I$29+1,$E60&lt;I$30+1),I$32,IF($E60&lt;=I$30,0.5*I$9*$B$83*(2*$E60-2*I$21-1)/(I$22-I$21),IF($E60=I$30+1,I$45,IF($E60&lt;=I$36,I$50*I$31^($E60-I$22-1),IF($E60=I$36+1,I$48,IF($E60&lt;=I$40,I$51*I$38^($E60-I$35-1),IF($E60=I$40+1,I$49,0))))))))</f>
        <v>#N/A</v>
      </c>
      <c r="J60" s="54" t="e">
        <f aca="false">IF(OR($E60&lt;=J$29,J$39&lt;=J$22),0,IF(AND($E60=J$29+1,$E60&lt;J$30+1),J$32,IF($E60&lt;=J$30,0.5*J$9*$B$83*(2*$E60-2*J$21-1)/(J$22-J$21),IF($E60=J$30+1,J$45,IF($E60&lt;=J$36,J$50*J$31^($E60-J$22-1),IF($E60=J$36+1,J$48,IF($E60&lt;=J$40,J$51*J$38^($E60-J$35-1),IF($E60=J$40+1,J$49,0))))))))</f>
        <v>#N/A</v>
      </c>
      <c r="K60" s="54" t="e">
        <f aca="false">IF(OR($E60&lt;=K$29,K$39&lt;=K$22),0,IF(AND($E60=K$29+1,$E60&lt;K$30+1),K$32,IF($E60&lt;=K$30,0.5*K$9*$B$83*(2*$E60-2*K$21-1)/(K$22-K$21),IF($E60=K$30+1,K$45,IF($E60&lt;=K$36,K$50*K$31^($E60-K$22-1),IF($E60=K$36+1,K$48,IF($E60&lt;=K$40,K$51*K$38^($E60-K$35-1),IF($E60=K$40+1,K$49,0))))))))</f>
        <v>#N/A</v>
      </c>
      <c r="L60" s="54" t="e">
        <f aca="false">IF(OR($E60&lt;=L$29,L$39&lt;=L$22),0,IF(AND($E60=L$29+1,$E60&lt;L$30+1),L$32,IF($E60&lt;=L$30,0.5*L$9*$B$83*(2*$E60-2*L$21-1)/(L$22-L$21),IF($E60=L$30+1,L$45,IF($E60&lt;=L$36,L$50*L$31^($E60-L$22-1),IF($E60=L$36+1,L$48,IF($E60&lt;=L$40,L$51*L$38^($E60-L$35-1),IF($E60=L$40+1,L$49,0))))))))</f>
        <v>#N/A</v>
      </c>
      <c r="M60" s="54" t="e">
        <f aca="false">IF(OR($E60&lt;=M$29,M$39&lt;=M$22),0,IF(AND($E60=M$29+1,$E60&lt;M$30+1),M$32,IF($E60&lt;=M$30,0.5*M$9*$B$83*(2*$E60-2*M$21-1)/(M$22-M$21),IF($E60=M$30+1,M$45,IF($E60&lt;=M$36,M$50*M$31^($E60-M$22-1),IF($E60=M$36+1,M$48,IF($E60&lt;=M$40,M$51*M$38^($E60-M$35-1),IF($E60=M$40+1,M$49,0))))))))</f>
        <v>#N/A</v>
      </c>
      <c r="N60" s="54" t="e">
        <f aca="false">IF(OR($E60&lt;=N$29,N$39&lt;=N$22),0,IF(AND($E60=N$29+1,$E60&lt;N$30+1),N$32,IF($E60&lt;=N$30,0.5*N$9*$B$83*(2*$E60-2*N$21-1)/(N$22-N$21),IF($E60=N$30+1,N$45,IF($E60&lt;=N$36,N$50*N$31^($E60-N$22-1),IF($E60=N$36+1,N$48,IF($E60&lt;=N$40,N$51*N$38^($E60-N$35-1),IF($E60=N$40+1,N$49,0))))))))</f>
        <v>#N/A</v>
      </c>
      <c r="O60" s="54" t="e">
        <f aca="false">IF(OR($E60&lt;=O$29,O$39&lt;=O$22),0,IF(AND($E60=O$29+1,$E60&lt;O$30+1),O$32,IF($E60&lt;=O$30,0.5*O$9*$B$83*(2*$E60-2*O$21-1)/(O$22-O$21),IF($E60=O$30+1,O$45,IF($E60&lt;=O$36,O$50*O$31^($E60-O$22-1),IF($E60=O$36+1,O$48,IF($E60&lt;=O$40,O$51*O$38^($E60-O$35-1),IF($E60=O$40+1,O$49,0))))))))</f>
        <v>#N/A</v>
      </c>
      <c r="P60" s="54" t="e">
        <f aca="false">IF(OR($E60&lt;=P$29,P$39&lt;=P$22),0,IF(AND($E60=P$29+1,$E60&lt;P$30+1),P$32,IF($E60&lt;=P$30,0.5*P$9*$B$83*(2*$E60-2*P$21-1)/(P$22-P$21),IF($E60=P$30+1,P$45,IF($E60&lt;=P$36,P$50*P$31^($E60-P$22-1),IF($E60=P$36+1,P$48,IF($E60&lt;=P$40,P$51*P$38^($E60-P$35-1),IF($E60=P$40+1,P$49,0))))))))</f>
        <v>#N/A</v>
      </c>
      <c r="Q60" s="54" t="e">
        <f aca="false">IF(OR($E60&lt;=Q$29,Q$39&lt;=Q$22),0,IF(AND($E60=Q$29+1,$E60&lt;Q$30+1),Q$32,IF($E60&lt;=Q$30,0.5*Q$9*$B$83*(2*$E60-2*Q$21-1)/(Q$22-Q$21),IF($E60=Q$30+1,Q$45,IF($E60&lt;=Q$36,Q$50*Q$31^($E60-Q$22-1),IF($E60=Q$36+1,Q$48,IF($E60&lt;=Q$40,Q$51*Q$38^($E60-Q$35-1),IF($E60=Q$40+1,Q$49,0))))))))</f>
        <v>#N/A</v>
      </c>
      <c r="R60" s="54" t="e">
        <f aca="false">IF(OR($E60&lt;=R$29,R$39&lt;=R$22),0,IF(AND($E60=R$29+1,$E60&lt;R$30+1),R$32,IF($E60&lt;=R$30,0.5*R$9*$B$83*(2*$E60-2*R$21-1)/(R$22-R$21),IF($E60=R$30+1,R$45,IF($E60&lt;=R$36,R$50*R$31^($E60-R$22-1),IF($E60=R$36+1,R$48,IF($E60&lt;=R$40,R$51*R$38^($E60-R$35-1),IF($E60=R$40+1,R$49,0))))))))</f>
        <v>#N/A</v>
      </c>
      <c r="S60" s="54" t="e">
        <f aca="false">IF(OR($E60&lt;=S$29,S$39&lt;=S$22),0,IF(AND($E60=S$29+1,$E60&lt;S$30+1),S$32,IF($E60&lt;=S$30,0.5*S$9*$B$83*(2*$E60-2*S$21-1)/(S$22-S$21),IF($E60=S$30+1,S$45,IF($E60&lt;=S$36,S$50*S$31^($E60-S$22-1),IF($E60=S$36+1,S$48,IF($E60&lt;=S$40,S$51*S$38^($E60-S$35-1),IF($E60=S$40+1,S$49,0))))))))</f>
        <v>#N/A</v>
      </c>
      <c r="T60" s="54" t="e">
        <f aca="false">IF(OR($E60&lt;=T$29,T$39&lt;=T$22),0,IF(AND($E60=T$29+1,$E60&lt;T$30+1),T$32,IF($E60&lt;=T$30,0.5*T$9*$B$83*(2*$E60-2*T$21-1)/(T$22-T$21),IF($E60=T$30+1,T$45,IF($E60&lt;=T$36,T$50*T$31^($E60-T$22-1),IF($E60=T$36+1,T$48,IF($E60&lt;=T$40,T$51*T$38^($E60-T$35-1),IF($E60=T$40+1,T$49,0))))))))</f>
        <v>#N/A</v>
      </c>
      <c r="U60" s="54" t="e">
        <f aca="false">IF(OR($E60&lt;=U$29,U$39&lt;=U$22),0,IF(AND($E60=U$29+1,$E60&lt;U$30+1),U$32,IF($E60&lt;=U$30,0.5*U$9*$B$83*(2*$E60-2*U$21-1)/(U$22-U$21),IF($E60=U$30+1,U$45,IF($E60&lt;=U$36,U$50*U$31^($E60-U$22-1),IF($E60=U$36+1,U$48,IF($E60&lt;=U$40,U$51*U$38^($E60-U$35-1),IF($E60=U$40+1,U$49,0))))))))</f>
        <v>#N/A</v>
      </c>
      <c r="V60" s="54" t="e">
        <f aca="false">IF(OR($E60&lt;=V$29,V$39&lt;=V$22),0,IF(AND($E60=V$29+1,$E60&lt;V$30+1),V$32,IF($E60&lt;=V$30,0.5*V$9*$B$83*(2*$E60-2*V$21-1)/(V$22-V$21),IF($E60=V$30+1,V$45,IF($E60&lt;=V$36,V$50*V$31^($E60-V$22-1),IF($E60=V$36+1,V$48,IF($E60&lt;=V$40,V$51*V$38^($E60-V$35-1),IF($E60=V$40+1,V$49,0))))))))</f>
        <v>#N/A</v>
      </c>
      <c r="W60" s="54" t="e">
        <f aca="false">IF(OR($E60&lt;=W$29,W$39&lt;=W$22),0,IF(AND($E60=W$29+1,$E60&lt;W$30+1),W$32,IF($E60&lt;=W$30,0.5*W$9*$B$83*(2*$E60-2*W$21-1)/(W$22-W$21),IF($E60=W$30+1,W$45,IF($E60&lt;=W$36,W$50*W$31^($E60-W$22-1),IF($E60=W$36+1,W$48,IF($E60&lt;=W$40,W$51*W$38^($E60-W$35-1),IF($E60=W$40+1,W$49,0))))))))</f>
        <v>#N/A</v>
      </c>
      <c r="X60" s="54" t="e">
        <f aca="false">IF(OR($E60&lt;=X$29,X$39&lt;=X$22),0,IF(AND($E60=X$29+1,$E60&lt;X$30+1),X$32,IF($E60&lt;=X$30,0.5*X$9*$B$83*(2*$E60-2*X$21-1)/(X$22-X$21),IF($E60=X$30+1,X$45,IF($E60&lt;=X$36,X$50*X$31^($E60-X$22-1),IF($E60=X$36+1,X$48,IF($E60&lt;=X$40,X$51*X$38^($E60-X$35-1),IF($E60=X$40+1,X$49,0))))))))</f>
        <v>#N/A</v>
      </c>
      <c r="Y60" s="54" t="e">
        <f aca="false">IF(OR($E60&lt;=Y$29,Y$39&lt;=Y$22),0,IF(AND($E60=Y$29+1,$E60&lt;Y$30+1),Y$32,IF($E60&lt;=Y$30,0.5*Y$9*$B$83*(2*$E60-2*Y$21-1)/(Y$22-Y$21),IF($E60=Y$30+1,Y$45,IF($E60&lt;=Y$36,Y$50*Y$31^($E60-Y$22-1),IF($E60=Y$36+1,Y$48,IF($E60&lt;=Y$40,Y$51*Y$38^($E60-Y$35-1),IF($E60=Y$40+1,Y$49,0))))))))</f>
        <v>#N/A</v>
      </c>
      <c r="Z60" s="54" t="e">
        <f aca="false">IF(OR($E60&lt;=Z$29,Z$39&lt;=Z$22),0,IF(AND($E60=Z$29+1,$E60&lt;Z$30+1),Z$32,IF($E60&lt;=Z$30,0.5*Z$9*$B$83*(2*$E60-2*Z$21-1)/(Z$22-Z$21),IF($E60=Z$30+1,Z$45,IF($E60&lt;=Z$36,Z$50*Z$31^($E60-Z$22-1),IF($E60=Z$36+1,Z$48,IF($E60&lt;=Z$40,Z$51*Z$38^($E60-Z$35-1),IF($E60=Z$40+1,Z$49,0))))))))</f>
        <v>#N/A</v>
      </c>
      <c r="AA60" s="54" t="e">
        <f aca="false">SUM(F60:Z60)</f>
        <v>#VALUE!</v>
      </c>
    </row>
    <row r="61" customFormat="false" ht="11.25" hidden="false" customHeight="false" outlineLevel="0" collapsed="false">
      <c r="A61" s="12"/>
      <c r="B61" s="12"/>
      <c r="D61" s="60" t="n">
        <f aca="false">+L3</f>
        <v>2005</v>
      </c>
      <c r="E61" s="5" t="n">
        <f aca="false">+E60+1</f>
        <v>7</v>
      </c>
      <c r="F61" s="54" t="e">
        <f aca="false">(IF(OR($E61&lt;=F$29,F$39&lt;=F$22),0,IF(AND($E61=F$29+1,$E61&lt;F$30+1),F$32,IF($E61&lt;=F$30,0.5*F$9*$B$83*(2*$E61-2*F$21-1)/(F$22-F$21),IF($E61=F$30+1,F$45,IF($E61&lt;=F$36,F$50*F$31^($E61-F$22-1),IF($E61=F$36+1,F$48,IF($E61&lt;=F$40,F$51*F$38^($E61-F$35-1),IF($E61=F$40+1,F$49,0)))))))))</f>
        <v>#VALUE!</v>
      </c>
      <c r="G61" s="54" t="e">
        <f aca="false">IF(OR($E61&lt;=G$29,G$39&lt;=G$22),0,IF(AND($E61=G$29+1,$E61&lt;G$30+1),G$32,IF($E61&lt;=G$30,0.5*G$9*$B$83*(2*$E61-2*G$21-1)/(G$22-G$21),IF($E61=G$30+1,G$45,IF($E61&lt;=G$36,G$50*G$31^($E61-G$22-1),IF($E61=G$36+1,G$48,IF($E61&lt;=G$40,G$51*G$38^($E61-G$35-1),IF($E61=G$40+1,G$49,0))))))))</f>
        <v>#VALUE!</v>
      </c>
      <c r="H61" s="54" t="e">
        <f aca="false">IF(OR($E61&lt;=H$29,H$39&lt;=H$22),0,IF(AND($E61=H$29+1,$E61&lt;H$30+1),H$32,IF($E61&lt;=H$30,0.5*H$9*$B$83*(2*$E61-2*H$21-1)/(H$22-H$21),IF($E61=H$30+1,H$45,IF($E61&lt;=H$36,H$50*H$31^($E61-H$22-1),IF($E61=H$36+1,H$48,IF($E61&lt;=H$40,H$51*H$38^($E61-H$35-1),IF($E61=H$40+1,H$49,0))))))))</f>
        <v>#N/A</v>
      </c>
      <c r="I61" s="54" t="e">
        <f aca="false">IF(OR($E61&lt;=I$29,I$39&lt;=I$22),0,IF(AND($E61=I$29+1,$E61&lt;I$30+1),I$32,IF($E61&lt;=I$30,0.5*I$9*$B$83*(2*$E61-2*I$21-1)/(I$22-I$21),IF($E61=I$30+1,I$45,IF($E61&lt;=I$36,I$50*I$31^($E61-I$22-1),IF($E61=I$36+1,I$48,IF($E61&lt;=I$40,I$51*I$38^($E61-I$35-1),IF($E61=I$40+1,I$49,0))))))))</f>
        <v>#N/A</v>
      </c>
      <c r="J61" s="54" t="e">
        <f aca="false">IF(OR($E61&lt;=J$29,J$39&lt;=J$22),0,IF(AND($E61=J$29+1,$E61&lt;J$30+1),J$32,IF($E61&lt;=J$30,0.5*J$9*$B$83*(2*$E61-2*J$21-1)/(J$22-J$21),IF($E61=J$30+1,J$45,IF($E61&lt;=J$36,J$50*J$31^($E61-J$22-1),IF($E61=J$36+1,J$48,IF($E61&lt;=J$40,J$51*J$38^($E61-J$35-1),IF($E61=J$40+1,J$49,0))))))))</f>
        <v>#N/A</v>
      </c>
      <c r="K61" s="54" t="e">
        <f aca="false">IF(OR($E61&lt;=K$29,K$39&lt;=K$22),0,IF(AND($E61=K$29+1,$E61&lt;K$30+1),K$32,IF($E61&lt;=K$30,0.5*K$9*$B$83*(2*$E61-2*K$21-1)/(K$22-K$21),IF($E61=K$30+1,K$45,IF($E61&lt;=K$36,K$50*K$31^($E61-K$22-1),IF($E61=K$36+1,K$48,IF($E61&lt;=K$40,K$51*K$38^($E61-K$35-1),IF($E61=K$40+1,K$49,0))))))))</f>
        <v>#N/A</v>
      </c>
      <c r="L61" s="54" t="e">
        <f aca="false">IF(OR($E61&lt;=L$29,L$39&lt;=L$22),0,IF(AND($E61=L$29+1,$E61&lt;L$30+1),L$32,IF($E61&lt;=L$30,0.5*L$9*$B$83*(2*$E61-2*L$21-1)/(L$22-L$21),IF($E61=L$30+1,L$45,IF($E61&lt;=L$36,L$50*L$31^($E61-L$22-1),IF($E61=L$36+1,L$48,IF($E61&lt;=L$40,L$51*L$38^($E61-L$35-1),IF($E61=L$40+1,L$49,0))))))))</f>
        <v>#N/A</v>
      </c>
      <c r="M61" s="54" t="e">
        <f aca="false">IF(OR($E61&lt;=M$29,M$39&lt;=M$22),0,IF(AND($E61=M$29+1,$E61&lt;M$30+1),M$32,IF($E61&lt;=M$30,0.5*M$9*$B$83*(2*$E61-2*M$21-1)/(M$22-M$21),IF($E61=M$30+1,M$45,IF($E61&lt;=M$36,M$50*M$31^($E61-M$22-1),IF($E61=M$36+1,M$48,IF($E61&lt;=M$40,M$51*M$38^($E61-M$35-1),IF($E61=M$40+1,M$49,0))))))))</f>
        <v>#N/A</v>
      </c>
      <c r="N61" s="54" t="e">
        <f aca="false">IF(OR($E61&lt;=N$29,N$39&lt;=N$22),0,IF(AND($E61=N$29+1,$E61&lt;N$30+1),N$32,IF($E61&lt;=N$30,0.5*N$9*$B$83*(2*$E61-2*N$21-1)/(N$22-N$21),IF($E61=N$30+1,N$45,IF($E61&lt;=N$36,N$50*N$31^($E61-N$22-1),IF($E61=N$36+1,N$48,IF($E61&lt;=N$40,N$51*N$38^($E61-N$35-1),IF($E61=N$40+1,N$49,0))))))))</f>
        <v>#N/A</v>
      </c>
      <c r="O61" s="54" t="e">
        <f aca="false">IF(OR($E61&lt;=O$29,O$39&lt;=O$22),0,IF(AND($E61=O$29+1,$E61&lt;O$30+1),O$32,IF($E61&lt;=O$30,0.5*O$9*$B$83*(2*$E61-2*O$21-1)/(O$22-O$21),IF($E61=O$30+1,O$45,IF($E61&lt;=O$36,O$50*O$31^($E61-O$22-1),IF($E61=O$36+1,O$48,IF($E61&lt;=O$40,O$51*O$38^($E61-O$35-1),IF($E61=O$40+1,O$49,0))))))))</f>
        <v>#N/A</v>
      </c>
      <c r="P61" s="54" t="e">
        <f aca="false">IF(OR($E61&lt;=P$29,P$39&lt;=P$22),0,IF(AND($E61=P$29+1,$E61&lt;P$30+1),P$32,IF($E61&lt;=P$30,0.5*P$9*$B$83*(2*$E61-2*P$21-1)/(P$22-P$21),IF($E61=P$30+1,P$45,IF($E61&lt;=P$36,P$50*P$31^($E61-P$22-1),IF($E61=P$36+1,P$48,IF($E61&lt;=P$40,P$51*P$38^($E61-P$35-1),IF($E61=P$40+1,P$49,0))))))))</f>
        <v>#N/A</v>
      </c>
      <c r="Q61" s="54" t="e">
        <f aca="false">IF(OR($E61&lt;=Q$29,Q$39&lt;=Q$22),0,IF(AND($E61=Q$29+1,$E61&lt;Q$30+1),Q$32,IF($E61&lt;=Q$30,0.5*Q$9*$B$83*(2*$E61-2*Q$21-1)/(Q$22-Q$21),IF($E61=Q$30+1,Q$45,IF($E61&lt;=Q$36,Q$50*Q$31^($E61-Q$22-1),IF($E61=Q$36+1,Q$48,IF($E61&lt;=Q$40,Q$51*Q$38^($E61-Q$35-1),IF($E61=Q$40+1,Q$49,0))))))))</f>
        <v>#N/A</v>
      </c>
      <c r="R61" s="54" t="e">
        <f aca="false">IF(OR($E61&lt;=R$29,R$39&lt;=R$22),0,IF(AND($E61=R$29+1,$E61&lt;R$30+1),R$32,IF($E61&lt;=R$30,0.5*R$9*$B$83*(2*$E61-2*R$21-1)/(R$22-R$21),IF($E61=R$30+1,R$45,IF($E61&lt;=R$36,R$50*R$31^($E61-R$22-1),IF($E61=R$36+1,R$48,IF($E61&lt;=R$40,R$51*R$38^($E61-R$35-1),IF($E61=R$40+1,R$49,0))))))))</f>
        <v>#N/A</v>
      </c>
      <c r="S61" s="54" t="e">
        <f aca="false">IF(OR($E61&lt;=S$29,S$39&lt;=S$22),0,IF(AND($E61=S$29+1,$E61&lt;S$30+1),S$32,IF($E61&lt;=S$30,0.5*S$9*$B$83*(2*$E61-2*S$21-1)/(S$22-S$21),IF($E61=S$30+1,S$45,IF($E61&lt;=S$36,S$50*S$31^($E61-S$22-1),IF($E61=S$36+1,S$48,IF($E61&lt;=S$40,S$51*S$38^($E61-S$35-1),IF($E61=S$40+1,S$49,0))))))))</f>
        <v>#N/A</v>
      </c>
      <c r="T61" s="54" t="e">
        <f aca="false">IF(OR($E61&lt;=T$29,T$39&lt;=T$22),0,IF(AND($E61=T$29+1,$E61&lt;T$30+1),T$32,IF($E61&lt;=T$30,0.5*T$9*$B$83*(2*$E61-2*T$21-1)/(T$22-T$21),IF($E61=T$30+1,T$45,IF($E61&lt;=T$36,T$50*T$31^($E61-T$22-1),IF($E61=T$36+1,T$48,IF($E61&lt;=T$40,T$51*T$38^($E61-T$35-1),IF($E61=T$40+1,T$49,0))))))))</f>
        <v>#N/A</v>
      </c>
      <c r="U61" s="54" t="e">
        <f aca="false">IF(OR($E61&lt;=U$29,U$39&lt;=U$22),0,IF(AND($E61=U$29+1,$E61&lt;U$30+1),U$32,IF($E61&lt;=U$30,0.5*U$9*$B$83*(2*$E61-2*U$21-1)/(U$22-U$21),IF($E61=U$30+1,U$45,IF($E61&lt;=U$36,U$50*U$31^($E61-U$22-1),IF($E61=U$36+1,U$48,IF($E61&lt;=U$40,U$51*U$38^($E61-U$35-1),IF($E61=U$40+1,U$49,0))))))))</f>
        <v>#N/A</v>
      </c>
      <c r="V61" s="54" t="e">
        <f aca="false">IF(OR($E61&lt;=V$29,V$39&lt;=V$22),0,IF(AND($E61=V$29+1,$E61&lt;V$30+1),V$32,IF($E61&lt;=V$30,0.5*V$9*$B$83*(2*$E61-2*V$21-1)/(V$22-V$21),IF($E61=V$30+1,V$45,IF($E61&lt;=V$36,V$50*V$31^($E61-V$22-1),IF($E61=V$36+1,V$48,IF($E61&lt;=V$40,V$51*V$38^($E61-V$35-1),IF($E61=V$40+1,V$49,0))))))))</f>
        <v>#N/A</v>
      </c>
      <c r="W61" s="54" t="e">
        <f aca="false">IF(OR($E61&lt;=W$29,W$39&lt;=W$22),0,IF(AND($E61=W$29+1,$E61&lt;W$30+1),W$32,IF($E61&lt;=W$30,0.5*W$9*$B$83*(2*$E61-2*W$21-1)/(W$22-W$21),IF($E61=W$30+1,W$45,IF($E61&lt;=W$36,W$50*W$31^($E61-W$22-1),IF($E61=W$36+1,W$48,IF($E61&lt;=W$40,W$51*W$38^($E61-W$35-1),IF($E61=W$40+1,W$49,0))))))))</f>
        <v>#N/A</v>
      </c>
      <c r="X61" s="54" t="e">
        <f aca="false">IF(OR($E61&lt;=X$29,X$39&lt;=X$22),0,IF(AND($E61=X$29+1,$E61&lt;X$30+1),X$32,IF($E61&lt;=X$30,0.5*X$9*$B$83*(2*$E61-2*X$21-1)/(X$22-X$21),IF($E61=X$30+1,X$45,IF($E61&lt;=X$36,X$50*X$31^($E61-X$22-1),IF($E61=X$36+1,X$48,IF($E61&lt;=X$40,X$51*X$38^($E61-X$35-1),IF($E61=X$40+1,X$49,0))))))))</f>
        <v>#N/A</v>
      </c>
      <c r="Y61" s="54" t="e">
        <f aca="false">IF(OR($E61&lt;=Y$29,Y$39&lt;=Y$22),0,IF(AND($E61=Y$29+1,$E61&lt;Y$30+1),Y$32,IF($E61&lt;=Y$30,0.5*Y$9*$B$83*(2*$E61-2*Y$21-1)/(Y$22-Y$21),IF($E61=Y$30+1,Y$45,IF($E61&lt;=Y$36,Y$50*Y$31^($E61-Y$22-1),IF($E61=Y$36+1,Y$48,IF($E61&lt;=Y$40,Y$51*Y$38^($E61-Y$35-1),IF($E61=Y$40+1,Y$49,0))))))))</f>
        <v>#N/A</v>
      </c>
      <c r="Z61" s="54" t="e">
        <f aca="false">IF(OR($E61&lt;=Z$29,Z$39&lt;=Z$22),0,IF(AND($E61=Z$29+1,$E61&lt;Z$30+1),Z$32,IF($E61&lt;=Z$30,0.5*Z$9*$B$83*(2*$E61-2*Z$21-1)/(Z$22-Z$21),IF($E61=Z$30+1,Z$45,IF($E61&lt;=Z$36,Z$50*Z$31^($E61-Z$22-1),IF($E61=Z$36+1,Z$48,IF($E61&lt;=Z$40,Z$51*Z$38^($E61-Z$35-1),IF($E61=Z$40+1,Z$49,0))))))))</f>
        <v>#N/A</v>
      </c>
      <c r="AA61" s="54" t="e">
        <f aca="false">SUM(F61:Z61)</f>
        <v>#VALUE!</v>
      </c>
    </row>
    <row r="62" customFormat="false" ht="11.25" hidden="false" customHeight="false" outlineLevel="0" collapsed="false">
      <c r="A62" s="12"/>
      <c r="B62" s="12"/>
      <c r="D62" s="60" t="n">
        <f aca="false">+M3</f>
        <v>2006</v>
      </c>
      <c r="E62" s="5" t="n">
        <f aca="false">+E61+1</f>
        <v>8</v>
      </c>
      <c r="F62" s="54" t="e">
        <f aca="false">(IF(OR($E62&lt;=F$29,F$39&lt;=F$22),0,IF(AND($E62=F$29+1,$E62&lt;F$30+1),F$32,IF($E62&lt;=F$30,0.5*F$9*$B$83*(2*$E62-2*F$21-1)/(F$22-F$21),IF($E62=F$30+1,F$45,IF($E62&lt;=F$36,F$50*F$31^($E62-F$22-1),IF($E62=F$36+1,F$48,IF($E62&lt;=F$40,F$51*F$38^($E62-F$35-1),IF($E62=F$40+1,F$49,0)))))))))</f>
        <v>#VALUE!</v>
      </c>
      <c r="G62" s="54" t="e">
        <f aca="false">IF(OR($E62&lt;=G$29,G$39&lt;=G$22),0,IF(AND($E62=G$29+1,$E62&lt;G$30+1),G$32,IF($E62&lt;=G$30,0.5*G$9*$B$83*(2*$E62-2*G$21-1)/(G$22-G$21),IF($E62=G$30+1,G$45,IF($E62&lt;=G$36,G$50*G$31^($E62-G$22-1),IF($E62=G$36+1,G$48,IF($E62&lt;=G$40,G$51*G$38^($E62-G$35-1),IF($E62=G$40+1,G$49,0))))))))</f>
        <v>#VALUE!</v>
      </c>
      <c r="H62" s="54" t="e">
        <f aca="false">IF(OR($E62&lt;=H$29,H$39&lt;=H$22),0,IF(AND($E62=H$29+1,$E62&lt;H$30+1),H$32,IF($E62&lt;=H$30,0.5*H$9*$B$83*(2*$E62-2*H$21-1)/(H$22-H$21),IF($E62=H$30+1,H$45,IF($E62&lt;=H$36,H$50*H$31^($E62-H$22-1),IF($E62=H$36+1,H$48,IF($E62&lt;=H$40,H$51*H$38^($E62-H$35-1),IF($E62=H$40+1,H$49,0))))))))</f>
        <v>#N/A</v>
      </c>
      <c r="I62" s="54" t="e">
        <f aca="false">IF(OR($E62&lt;=I$29,I$39&lt;=I$22),0,IF(AND($E62=I$29+1,$E62&lt;I$30+1),I$32,IF($E62&lt;=I$30,0.5*I$9*$B$83*(2*$E62-2*I$21-1)/(I$22-I$21),IF($E62=I$30+1,I$45,IF($E62&lt;=I$36,I$50*I$31^($E62-I$22-1),IF($E62=I$36+1,I$48,IF($E62&lt;=I$40,I$51*I$38^($E62-I$35-1),IF($E62=I$40+1,I$49,0))))))))</f>
        <v>#N/A</v>
      </c>
      <c r="J62" s="54" t="e">
        <f aca="false">IF(OR($E62&lt;=J$29,J$39&lt;=J$22),0,IF(AND($E62=J$29+1,$E62&lt;J$30+1),J$32,IF($E62&lt;=J$30,0.5*J$9*$B$83*(2*$E62-2*J$21-1)/(J$22-J$21),IF($E62=J$30+1,J$45,IF($E62&lt;=J$36,J$50*J$31^($E62-J$22-1),IF($E62=J$36+1,J$48,IF($E62&lt;=J$40,J$51*J$38^($E62-J$35-1),IF($E62=J$40+1,J$49,0))))))))</f>
        <v>#N/A</v>
      </c>
      <c r="K62" s="54" t="e">
        <f aca="false">IF(OR($E62&lt;=K$29,K$39&lt;=K$22),0,IF(AND($E62=K$29+1,$E62&lt;K$30+1),K$32,IF($E62&lt;=K$30,0.5*K$9*$B$83*(2*$E62-2*K$21-1)/(K$22-K$21),IF($E62=K$30+1,K$45,IF($E62&lt;=K$36,K$50*K$31^($E62-K$22-1),IF($E62=K$36+1,K$48,IF($E62&lt;=K$40,K$51*K$38^($E62-K$35-1),IF($E62=K$40+1,K$49,0))))))))</f>
        <v>#N/A</v>
      </c>
      <c r="L62" s="54" t="e">
        <f aca="false">IF(OR($E62&lt;=L$29,L$39&lt;=L$22),0,IF(AND($E62=L$29+1,$E62&lt;L$30+1),L$32,IF($E62&lt;=L$30,0.5*L$9*$B$83*(2*$E62-2*L$21-1)/(L$22-L$21),IF($E62=L$30+1,L$45,IF($E62&lt;=L$36,L$50*L$31^($E62-L$22-1),IF($E62=L$36+1,L$48,IF($E62&lt;=L$40,L$51*L$38^($E62-L$35-1),IF($E62=L$40+1,L$49,0))))))))</f>
        <v>#N/A</v>
      </c>
      <c r="M62" s="54" t="e">
        <f aca="false">IF(OR($E62&lt;=M$29,M$39&lt;=M$22),0,IF(AND($E62=M$29+1,$E62&lt;M$30+1),M$32,IF($E62&lt;=M$30,0.5*M$9*$B$83*(2*$E62-2*M$21-1)/(M$22-M$21),IF($E62=M$30+1,M$45,IF($E62&lt;=M$36,M$50*M$31^($E62-M$22-1),IF($E62=M$36+1,M$48,IF($E62&lt;=M$40,M$51*M$38^($E62-M$35-1),IF($E62=M$40+1,M$49,0))))))))</f>
        <v>#N/A</v>
      </c>
      <c r="N62" s="54" t="e">
        <f aca="false">IF(OR($E62&lt;=N$29,N$39&lt;=N$22),0,IF(AND($E62=N$29+1,$E62&lt;N$30+1),N$32,IF($E62&lt;=N$30,0.5*N$9*$B$83*(2*$E62-2*N$21-1)/(N$22-N$21),IF($E62=N$30+1,N$45,IF($E62&lt;=N$36,N$50*N$31^($E62-N$22-1),IF($E62=N$36+1,N$48,IF($E62&lt;=N$40,N$51*N$38^($E62-N$35-1),IF($E62=N$40+1,N$49,0))))))))</f>
        <v>#N/A</v>
      </c>
      <c r="O62" s="54" t="e">
        <f aca="false">IF(OR($E62&lt;=O$29,O$39&lt;=O$22),0,IF(AND($E62=O$29+1,$E62&lt;O$30+1),O$32,IF($E62&lt;=O$30,0.5*O$9*$B$83*(2*$E62-2*O$21-1)/(O$22-O$21),IF($E62=O$30+1,O$45,IF($E62&lt;=O$36,O$50*O$31^($E62-O$22-1),IF($E62=O$36+1,O$48,IF($E62&lt;=O$40,O$51*O$38^($E62-O$35-1),IF($E62=O$40+1,O$49,0))))))))</f>
        <v>#N/A</v>
      </c>
      <c r="P62" s="54" t="e">
        <f aca="false">IF(OR($E62&lt;=P$29,P$39&lt;=P$22),0,IF(AND($E62=P$29+1,$E62&lt;P$30+1),P$32,IF($E62&lt;=P$30,0.5*P$9*$B$83*(2*$E62-2*P$21-1)/(P$22-P$21),IF($E62=P$30+1,P$45,IF($E62&lt;=P$36,P$50*P$31^($E62-P$22-1),IF($E62=P$36+1,P$48,IF($E62&lt;=P$40,P$51*P$38^($E62-P$35-1),IF($E62=P$40+1,P$49,0))))))))</f>
        <v>#N/A</v>
      </c>
      <c r="Q62" s="54" t="e">
        <f aca="false">IF(OR($E62&lt;=Q$29,Q$39&lt;=Q$22),0,IF(AND($E62=Q$29+1,$E62&lt;Q$30+1),Q$32,IF($E62&lt;=Q$30,0.5*Q$9*$B$83*(2*$E62-2*Q$21-1)/(Q$22-Q$21),IF($E62=Q$30+1,Q$45,IF($E62&lt;=Q$36,Q$50*Q$31^($E62-Q$22-1),IF($E62=Q$36+1,Q$48,IF($E62&lt;=Q$40,Q$51*Q$38^($E62-Q$35-1),IF($E62=Q$40+1,Q$49,0))))))))</f>
        <v>#N/A</v>
      </c>
      <c r="R62" s="54" t="e">
        <f aca="false">IF(OR($E62&lt;=R$29,R$39&lt;=R$22),0,IF(AND($E62=R$29+1,$E62&lt;R$30+1),R$32,IF($E62&lt;=R$30,0.5*R$9*$B$83*(2*$E62-2*R$21-1)/(R$22-R$21),IF($E62=R$30+1,R$45,IF($E62&lt;=R$36,R$50*R$31^($E62-R$22-1),IF($E62=R$36+1,R$48,IF($E62&lt;=R$40,R$51*R$38^($E62-R$35-1),IF($E62=R$40+1,R$49,0))))))))</f>
        <v>#N/A</v>
      </c>
      <c r="S62" s="54" t="e">
        <f aca="false">IF(OR($E62&lt;=S$29,S$39&lt;=S$22),0,IF(AND($E62=S$29+1,$E62&lt;S$30+1),S$32,IF($E62&lt;=S$30,0.5*S$9*$B$83*(2*$E62-2*S$21-1)/(S$22-S$21),IF($E62=S$30+1,S$45,IF($E62&lt;=S$36,S$50*S$31^($E62-S$22-1),IF($E62=S$36+1,S$48,IF($E62&lt;=S$40,S$51*S$38^($E62-S$35-1),IF($E62=S$40+1,S$49,0))))))))</f>
        <v>#N/A</v>
      </c>
      <c r="T62" s="54" t="e">
        <f aca="false">IF(OR($E62&lt;=T$29,T$39&lt;=T$22),0,IF(AND($E62=T$29+1,$E62&lt;T$30+1),T$32,IF($E62&lt;=T$30,0.5*T$9*$B$83*(2*$E62-2*T$21-1)/(T$22-T$21),IF($E62=T$30+1,T$45,IF($E62&lt;=T$36,T$50*T$31^($E62-T$22-1),IF($E62=T$36+1,T$48,IF($E62&lt;=T$40,T$51*T$38^($E62-T$35-1),IF($E62=T$40+1,T$49,0))))))))</f>
        <v>#N/A</v>
      </c>
      <c r="U62" s="54" t="e">
        <f aca="false">IF(OR($E62&lt;=U$29,U$39&lt;=U$22),0,IF(AND($E62=U$29+1,$E62&lt;U$30+1),U$32,IF($E62&lt;=U$30,0.5*U$9*$B$83*(2*$E62-2*U$21-1)/(U$22-U$21),IF($E62=U$30+1,U$45,IF($E62&lt;=U$36,U$50*U$31^($E62-U$22-1),IF($E62=U$36+1,U$48,IF($E62&lt;=U$40,U$51*U$38^($E62-U$35-1),IF($E62=U$40+1,U$49,0))))))))</f>
        <v>#N/A</v>
      </c>
      <c r="V62" s="54" t="e">
        <f aca="false">IF(OR($E62&lt;=V$29,V$39&lt;=V$22),0,IF(AND($E62=V$29+1,$E62&lt;V$30+1),V$32,IF($E62&lt;=V$30,0.5*V$9*$B$83*(2*$E62-2*V$21-1)/(V$22-V$21),IF($E62=V$30+1,V$45,IF($E62&lt;=V$36,V$50*V$31^($E62-V$22-1),IF($E62=V$36+1,V$48,IF($E62&lt;=V$40,V$51*V$38^($E62-V$35-1),IF($E62=V$40+1,V$49,0))))))))</f>
        <v>#N/A</v>
      </c>
      <c r="W62" s="54" t="e">
        <f aca="false">IF(OR($E62&lt;=W$29,W$39&lt;=W$22),0,IF(AND($E62=W$29+1,$E62&lt;W$30+1),W$32,IF($E62&lt;=W$30,0.5*W$9*$B$83*(2*$E62-2*W$21-1)/(W$22-W$21),IF($E62=W$30+1,W$45,IF($E62&lt;=W$36,W$50*W$31^($E62-W$22-1),IF($E62=W$36+1,W$48,IF($E62&lt;=W$40,W$51*W$38^($E62-W$35-1),IF($E62=W$40+1,W$49,0))))))))</f>
        <v>#N/A</v>
      </c>
      <c r="X62" s="54" t="e">
        <f aca="false">IF(OR($E62&lt;=X$29,X$39&lt;=X$22),0,IF(AND($E62=X$29+1,$E62&lt;X$30+1),X$32,IF($E62&lt;=X$30,0.5*X$9*$B$83*(2*$E62-2*X$21-1)/(X$22-X$21),IF($E62=X$30+1,X$45,IF($E62&lt;=X$36,X$50*X$31^($E62-X$22-1),IF($E62=X$36+1,X$48,IF($E62&lt;=X$40,X$51*X$38^($E62-X$35-1),IF($E62=X$40+1,X$49,0))))))))</f>
        <v>#N/A</v>
      </c>
      <c r="Y62" s="54" t="e">
        <f aca="false">IF(OR($E62&lt;=Y$29,Y$39&lt;=Y$22),0,IF(AND($E62=Y$29+1,$E62&lt;Y$30+1),Y$32,IF($E62&lt;=Y$30,0.5*Y$9*$B$83*(2*$E62-2*Y$21-1)/(Y$22-Y$21),IF($E62=Y$30+1,Y$45,IF($E62&lt;=Y$36,Y$50*Y$31^($E62-Y$22-1),IF($E62=Y$36+1,Y$48,IF($E62&lt;=Y$40,Y$51*Y$38^($E62-Y$35-1),IF($E62=Y$40+1,Y$49,0))))))))</f>
        <v>#N/A</v>
      </c>
      <c r="Z62" s="54" t="e">
        <f aca="false">IF(OR($E62&lt;=Z$29,Z$39&lt;=Z$22),0,IF(AND($E62=Z$29+1,$E62&lt;Z$30+1),Z$32,IF($E62&lt;=Z$30,0.5*Z$9*$B$83*(2*$E62-2*Z$21-1)/(Z$22-Z$21),IF($E62=Z$30+1,Z$45,IF($E62&lt;=Z$36,Z$50*Z$31^($E62-Z$22-1),IF($E62=Z$36+1,Z$48,IF($E62&lt;=Z$40,Z$51*Z$38^($E62-Z$35-1),IF($E62=Z$40+1,Z$49,0))))))))</f>
        <v>#N/A</v>
      </c>
      <c r="AA62" s="54" t="e">
        <f aca="false">SUM(F62:Z62)</f>
        <v>#VALUE!</v>
      </c>
    </row>
    <row r="63" customFormat="false" ht="11.25" hidden="false" customHeight="false" outlineLevel="0" collapsed="false">
      <c r="A63" s="12"/>
      <c r="B63" s="12"/>
      <c r="D63" s="60" t="n">
        <f aca="false">+N3</f>
        <v>2007</v>
      </c>
      <c r="E63" s="5" t="n">
        <f aca="false">+E62+1</f>
        <v>9</v>
      </c>
      <c r="F63" s="54" t="e">
        <f aca="false">(IF(OR($E63&lt;=F$29,F$39&lt;=F$22),0,IF(AND($E63=F$29+1,$E63&lt;F$30+1),F$32,IF($E63&lt;=F$30,0.5*F$9*$B$83*(2*$E63-2*F$21-1)/(F$22-F$21),IF($E63=F$30+1,F$45,IF($E63&lt;=F$36,F$50*F$31^($E63-F$22-1),IF($E63=F$36+1,F$48,IF($E63&lt;=F$40,F$51*F$38^($E63-F$35-1),IF($E63=F$40+1,F$49,0)))))))))</f>
        <v>#VALUE!</v>
      </c>
      <c r="G63" s="54" t="e">
        <f aca="false">IF(OR($E63&lt;=G$29,G$39&lt;=G$22),0,IF(AND($E63=G$29+1,$E63&lt;G$30+1),G$32,IF($E63&lt;=G$30,0.5*G$9*$B$83*(2*$E63-2*G$21-1)/(G$22-G$21),IF($E63=G$30+1,G$45,IF($E63&lt;=G$36,G$50*G$31^($E63-G$22-1),IF($E63=G$36+1,G$48,IF($E63&lt;=G$40,G$51*G$38^($E63-G$35-1),IF($E63=G$40+1,G$49,0))))))))</f>
        <v>#VALUE!</v>
      </c>
      <c r="H63" s="54" t="e">
        <f aca="false">IF(OR($E63&lt;=H$29,H$39&lt;=H$22),0,IF(AND($E63=H$29+1,$E63&lt;H$30+1),H$32,IF($E63&lt;=H$30,0.5*H$9*$B$83*(2*$E63-2*H$21-1)/(H$22-H$21),IF($E63=H$30+1,H$45,IF($E63&lt;=H$36,H$50*H$31^($E63-H$22-1),IF($E63=H$36+1,H$48,IF($E63&lt;=H$40,H$51*H$38^($E63-H$35-1),IF($E63=H$40+1,H$49,0))))))))</f>
        <v>#N/A</v>
      </c>
      <c r="I63" s="54" t="e">
        <f aca="false">IF(OR($E63&lt;=I$29,I$39&lt;=I$22),0,IF(AND($E63=I$29+1,$E63&lt;I$30+1),I$32,IF($E63&lt;=I$30,0.5*I$9*$B$83*(2*$E63-2*I$21-1)/(I$22-I$21),IF($E63=I$30+1,I$45,IF($E63&lt;=I$36,I$50*I$31^($E63-I$22-1),IF($E63=I$36+1,I$48,IF($E63&lt;=I$40,I$51*I$38^($E63-I$35-1),IF($E63=I$40+1,I$49,0))))))))</f>
        <v>#N/A</v>
      </c>
      <c r="J63" s="54" t="e">
        <f aca="false">IF(OR($E63&lt;=J$29,J$39&lt;=J$22),0,IF(AND($E63=J$29+1,$E63&lt;J$30+1),J$32,IF($E63&lt;=J$30,0.5*J$9*$B$83*(2*$E63-2*J$21-1)/(J$22-J$21),IF($E63=J$30+1,J$45,IF($E63&lt;=J$36,J$50*J$31^($E63-J$22-1),IF($E63=J$36+1,J$48,IF($E63&lt;=J$40,J$51*J$38^($E63-J$35-1),IF($E63=J$40+1,J$49,0))))))))</f>
        <v>#N/A</v>
      </c>
      <c r="K63" s="54" t="e">
        <f aca="false">IF(OR($E63&lt;=K$29,K$39&lt;=K$22),0,IF(AND($E63=K$29+1,$E63&lt;K$30+1),K$32,IF($E63&lt;=K$30,0.5*K$9*$B$83*(2*$E63-2*K$21-1)/(K$22-K$21),IF($E63=K$30+1,K$45,IF($E63&lt;=K$36,K$50*K$31^($E63-K$22-1),IF($E63=K$36+1,K$48,IF($E63&lt;=K$40,K$51*K$38^($E63-K$35-1),IF($E63=K$40+1,K$49,0))))))))</f>
        <v>#N/A</v>
      </c>
      <c r="L63" s="54" t="e">
        <f aca="false">IF(OR($E63&lt;=L$29,L$39&lt;=L$22),0,IF(AND($E63=L$29+1,$E63&lt;L$30+1),L$32,IF($E63&lt;=L$30,0.5*L$9*$B$83*(2*$E63-2*L$21-1)/(L$22-L$21),IF($E63=L$30+1,L$45,IF($E63&lt;=L$36,L$50*L$31^($E63-L$22-1),IF($E63=L$36+1,L$48,IF($E63&lt;=L$40,L$51*L$38^($E63-L$35-1),IF($E63=L$40+1,L$49,0))))))))</f>
        <v>#N/A</v>
      </c>
      <c r="M63" s="54" t="e">
        <f aca="false">IF(OR($E63&lt;=M$29,M$39&lt;=M$22),0,IF(AND($E63=M$29+1,$E63&lt;M$30+1),M$32,IF($E63&lt;=M$30,0.5*M$9*$B$83*(2*$E63-2*M$21-1)/(M$22-M$21),IF($E63=M$30+1,M$45,IF($E63&lt;=M$36,M$50*M$31^($E63-M$22-1),IF($E63=M$36+1,M$48,IF($E63&lt;=M$40,M$51*M$38^($E63-M$35-1),IF($E63=M$40+1,M$49,0))))))))</f>
        <v>#N/A</v>
      </c>
      <c r="N63" s="54" t="e">
        <f aca="false">IF(OR($E63&lt;=N$29,N$39&lt;=N$22),0,IF(AND($E63=N$29+1,$E63&lt;N$30+1),N$32,IF($E63&lt;=N$30,0.5*N$9*$B$83*(2*$E63-2*N$21-1)/(N$22-N$21),IF($E63=N$30+1,N$45,IF($E63&lt;=N$36,N$50*N$31^($E63-N$22-1),IF($E63=N$36+1,N$48,IF($E63&lt;=N$40,N$51*N$38^($E63-N$35-1),IF($E63=N$40+1,N$49,0))))))))</f>
        <v>#N/A</v>
      </c>
      <c r="O63" s="54" t="e">
        <f aca="false">IF(OR($E63&lt;=O$29,O$39&lt;=O$22),0,IF(AND($E63=O$29+1,$E63&lt;O$30+1),O$32,IF($E63&lt;=O$30,0.5*O$9*$B$83*(2*$E63-2*O$21-1)/(O$22-O$21),IF($E63=O$30+1,O$45,IF($E63&lt;=O$36,O$50*O$31^($E63-O$22-1),IF($E63=O$36+1,O$48,IF($E63&lt;=O$40,O$51*O$38^($E63-O$35-1),IF($E63=O$40+1,O$49,0))))))))</f>
        <v>#N/A</v>
      </c>
      <c r="P63" s="54" t="e">
        <f aca="false">IF(OR($E63&lt;=P$29,P$39&lt;=P$22),0,IF(AND($E63=P$29+1,$E63&lt;P$30+1),P$32,IF($E63&lt;=P$30,0.5*P$9*$B$83*(2*$E63-2*P$21-1)/(P$22-P$21),IF($E63=P$30+1,P$45,IF($E63&lt;=P$36,P$50*P$31^($E63-P$22-1),IF($E63=P$36+1,P$48,IF($E63&lt;=P$40,P$51*P$38^($E63-P$35-1),IF($E63=P$40+1,P$49,0))))))))</f>
        <v>#N/A</v>
      </c>
      <c r="Q63" s="54" t="e">
        <f aca="false">IF(OR($E63&lt;=Q$29,Q$39&lt;=Q$22),0,IF(AND($E63=Q$29+1,$E63&lt;Q$30+1),Q$32,IF($E63&lt;=Q$30,0.5*Q$9*$B$83*(2*$E63-2*Q$21-1)/(Q$22-Q$21),IF($E63=Q$30+1,Q$45,IF($E63&lt;=Q$36,Q$50*Q$31^($E63-Q$22-1),IF($E63=Q$36+1,Q$48,IF($E63&lt;=Q$40,Q$51*Q$38^($E63-Q$35-1),IF($E63=Q$40+1,Q$49,0))))))))</f>
        <v>#N/A</v>
      </c>
      <c r="R63" s="54" t="e">
        <f aca="false">IF(OR($E63&lt;=R$29,R$39&lt;=R$22),0,IF(AND($E63=R$29+1,$E63&lt;R$30+1),R$32,IF($E63&lt;=R$30,0.5*R$9*$B$83*(2*$E63-2*R$21-1)/(R$22-R$21),IF($E63=R$30+1,R$45,IF($E63&lt;=R$36,R$50*R$31^($E63-R$22-1),IF($E63=R$36+1,R$48,IF($E63&lt;=R$40,R$51*R$38^($E63-R$35-1),IF($E63=R$40+1,R$49,0))))))))</f>
        <v>#N/A</v>
      </c>
      <c r="S63" s="54" t="e">
        <f aca="false">IF(OR($E63&lt;=S$29,S$39&lt;=S$22),0,IF(AND($E63=S$29+1,$E63&lt;S$30+1),S$32,IF($E63&lt;=S$30,0.5*S$9*$B$83*(2*$E63-2*S$21-1)/(S$22-S$21),IF($E63=S$30+1,S$45,IF($E63&lt;=S$36,S$50*S$31^($E63-S$22-1),IF($E63=S$36+1,S$48,IF($E63&lt;=S$40,S$51*S$38^($E63-S$35-1),IF($E63=S$40+1,S$49,0))))))))</f>
        <v>#N/A</v>
      </c>
      <c r="T63" s="54" t="e">
        <f aca="false">IF(OR($E63&lt;=T$29,T$39&lt;=T$22),0,IF(AND($E63=T$29+1,$E63&lt;T$30+1),T$32,IF($E63&lt;=T$30,0.5*T$9*$B$83*(2*$E63-2*T$21-1)/(T$22-T$21),IF($E63=T$30+1,T$45,IF($E63&lt;=T$36,T$50*T$31^($E63-T$22-1),IF($E63=T$36+1,T$48,IF($E63&lt;=T$40,T$51*T$38^($E63-T$35-1),IF($E63=T$40+1,T$49,0))))))))</f>
        <v>#N/A</v>
      </c>
      <c r="U63" s="54" t="e">
        <f aca="false">IF(OR($E63&lt;=U$29,U$39&lt;=U$22),0,IF(AND($E63=U$29+1,$E63&lt;U$30+1),U$32,IF($E63&lt;=U$30,0.5*U$9*$B$83*(2*$E63-2*U$21-1)/(U$22-U$21),IF($E63=U$30+1,U$45,IF($E63&lt;=U$36,U$50*U$31^($E63-U$22-1),IF($E63=U$36+1,U$48,IF($E63&lt;=U$40,U$51*U$38^($E63-U$35-1),IF($E63=U$40+1,U$49,0))))))))</f>
        <v>#N/A</v>
      </c>
      <c r="V63" s="54" t="e">
        <f aca="false">IF(OR($E63&lt;=V$29,V$39&lt;=V$22),0,IF(AND($E63=V$29+1,$E63&lt;V$30+1),V$32,IF($E63&lt;=V$30,0.5*V$9*$B$83*(2*$E63-2*V$21-1)/(V$22-V$21),IF($E63=V$30+1,V$45,IF($E63&lt;=V$36,V$50*V$31^($E63-V$22-1),IF($E63=V$36+1,V$48,IF($E63&lt;=V$40,V$51*V$38^($E63-V$35-1),IF($E63=V$40+1,V$49,0))))))))</f>
        <v>#N/A</v>
      </c>
      <c r="W63" s="54" t="e">
        <f aca="false">IF(OR($E63&lt;=W$29,W$39&lt;=W$22),0,IF(AND($E63=W$29+1,$E63&lt;W$30+1),W$32,IF($E63&lt;=W$30,0.5*W$9*$B$83*(2*$E63-2*W$21-1)/(W$22-W$21),IF($E63=W$30+1,W$45,IF($E63&lt;=W$36,W$50*W$31^($E63-W$22-1),IF($E63=W$36+1,W$48,IF($E63&lt;=W$40,W$51*W$38^($E63-W$35-1),IF($E63=W$40+1,W$49,0))))))))</f>
        <v>#N/A</v>
      </c>
      <c r="X63" s="54" t="e">
        <f aca="false">IF(OR($E63&lt;=X$29,X$39&lt;=X$22),0,IF(AND($E63=X$29+1,$E63&lt;X$30+1),X$32,IF($E63&lt;=X$30,0.5*X$9*$B$83*(2*$E63-2*X$21-1)/(X$22-X$21),IF($E63=X$30+1,X$45,IF($E63&lt;=X$36,X$50*X$31^($E63-X$22-1),IF($E63=X$36+1,X$48,IF($E63&lt;=X$40,X$51*X$38^($E63-X$35-1),IF($E63=X$40+1,X$49,0))))))))</f>
        <v>#N/A</v>
      </c>
      <c r="Y63" s="54" t="e">
        <f aca="false">IF(OR($E63&lt;=Y$29,Y$39&lt;=Y$22),0,IF(AND($E63=Y$29+1,$E63&lt;Y$30+1),Y$32,IF($E63&lt;=Y$30,0.5*Y$9*$B$83*(2*$E63-2*Y$21-1)/(Y$22-Y$21),IF($E63=Y$30+1,Y$45,IF($E63&lt;=Y$36,Y$50*Y$31^($E63-Y$22-1),IF($E63=Y$36+1,Y$48,IF($E63&lt;=Y$40,Y$51*Y$38^($E63-Y$35-1),IF($E63=Y$40+1,Y$49,0))))))))</f>
        <v>#N/A</v>
      </c>
      <c r="Z63" s="54" t="e">
        <f aca="false">IF(OR($E63&lt;=Z$29,Z$39&lt;=Z$22),0,IF(AND($E63=Z$29+1,$E63&lt;Z$30+1),Z$32,IF($E63&lt;=Z$30,0.5*Z$9*$B$83*(2*$E63-2*Z$21-1)/(Z$22-Z$21),IF($E63=Z$30+1,Z$45,IF($E63&lt;=Z$36,Z$50*Z$31^($E63-Z$22-1),IF($E63=Z$36+1,Z$48,IF($E63&lt;=Z$40,Z$51*Z$38^($E63-Z$35-1),IF($E63=Z$40+1,Z$49,0))))))))</f>
        <v>#N/A</v>
      </c>
      <c r="AA63" s="54" t="e">
        <f aca="false">SUM(F63:Z63)</f>
        <v>#VALUE!</v>
      </c>
    </row>
    <row r="64" customFormat="false" ht="11.25" hidden="false" customHeight="false" outlineLevel="0" collapsed="false">
      <c r="A64" s="12"/>
      <c r="B64" s="12"/>
      <c r="D64" s="60" t="n">
        <f aca="false">+O3</f>
        <v>2008</v>
      </c>
      <c r="E64" s="5" t="n">
        <f aca="false">+E63+1</f>
        <v>10</v>
      </c>
      <c r="F64" s="54" t="e">
        <f aca="false">(IF(OR($E64&lt;=F$29,F$39&lt;=F$22),0,IF(AND($E64=F$29+1,$E64&lt;F$30+1),F$32,IF($E64&lt;=F$30,0.5*F$9*$B$83*(2*$E64-2*F$21-1)/(F$22-F$21),IF($E64=F$30+1,F$45,IF($E64&lt;=F$36,F$50*F$31^($E64-F$22-1),IF($E64=F$36+1,F$48,IF($E64&lt;=F$40,F$51*F$38^($E64-F$35-1),IF($E64=F$40+1,F$49,0)))))))))</f>
        <v>#VALUE!</v>
      </c>
      <c r="G64" s="54" t="e">
        <f aca="false">IF(OR($E64&lt;=G$29,G$39&lt;=G$22),0,IF(AND($E64=G$29+1,$E64&lt;G$30+1),G$32,IF($E64&lt;=G$30,0.5*G$9*$B$83*(2*$E64-2*G$21-1)/(G$22-G$21),IF($E64=G$30+1,G$45,IF($E64&lt;=G$36,G$50*G$31^($E64-G$22-1),IF($E64=G$36+1,G$48,IF($E64&lt;=G$40,G$51*G$38^($E64-G$35-1),IF($E64=G$40+1,G$49,0))))))))</f>
        <v>#VALUE!</v>
      </c>
      <c r="H64" s="54" t="e">
        <f aca="false">IF(OR($E64&lt;=H$29,H$39&lt;=H$22),0,IF(AND($E64=H$29+1,$E64&lt;H$30+1),H$32,IF($E64&lt;=H$30,0.5*H$9*$B$83*(2*$E64-2*H$21-1)/(H$22-H$21),IF($E64=H$30+1,H$45,IF($E64&lt;=H$36,H$50*H$31^($E64-H$22-1),IF($E64=H$36+1,H$48,IF($E64&lt;=H$40,H$51*H$38^($E64-H$35-1),IF($E64=H$40+1,H$49,0))))))))</f>
        <v>#N/A</v>
      </c>
      <c r="I64" s="54" t="e">
        <f aca="false">IF(OR($E64&lt;=I$29,I$39&lt;=I$22),0,IF(AND($E64=I$29+1,$E64&lt;I$30+1),I$32,IF($E64&lt;=I$30,0.5*I$9*$B$83*(2*$E64-2*I$21-1)/(I$22-I$21),IF($E64=I$30+1,I$45,IF($E64&lt;=I$36,I$50*I$31^($E64-I$22-1),IF($E64=I$36+1,I$48,IF($E64&lt;=I$40,I$51*I$38^($E64-I$35-1),IF($E64=I$40+1,I$49,0))))))))</f>
        <v>#N/A</v>
      </c>
      <c r="J64" s="54" t="e">
        <f aca="false">IF(OR($E64&lt;=J$29,J$39&lt;=J$22),0,IF(AND($E64=J$29+1,$E64&lt;J$30+1),J$32,IF($E64&lt;=J$30,0.5*J$9*$B$83*(2*$E64-2*J$21-1)/(J$22-J$21),IF($E64=J$30+1,J$45,IF($E64&lt;=J$36,J$50*J$31^($E64-J$22-1),IF($E64=J$36+1,J$48,IF($E64&lt;=J$40,J$51*J$38^($E64-J$35-1),IF($E64=J$40+1,J$49,0))))))))</f>
        <v>#N/A</v>
      </c>
      <c r="K64" s="54" t="e">
        <f aca="false">IF(OR($E64&lt;=K$29,K$39&lt;=K$22),0,IF(AND($E64=K$29+1,$E64&lt;K$30+1),K$32,IF($E64&lt;=K$30,0.5*K$9*$B$83*(2*$E64-2*K$21-1)/(K$22-K$21),IF($E64=K$30+1,K$45,IF($E64&lt;=K$36,K$50*K$31^($E64-K$22-1),IF($E64=K$36+1,K$48,IF($E64&lt;=K$40,K$51*K$38^($E64-K$35-1),IF($E64=K$40+1,K$49,0))))))))</f>
        <v>#N/A</v>
      </c>
      <c r="L64" s="54" t="e">
        <f aca="false">IF(OR($E64&lt;=L$29,L$39&lt;=L$22),0,IF(AND($E64=L$29+1,$E64&lt;L$30+1),L$32,IF($E64&lt;=L$30,0.5*L$9*$B$83*(2*$E64-2*L$21-1)/(L$22-L$21),IF($E64=L$30+1,L$45,IF($E64&lt;=L$36,L$50*L$31^($E64-L$22-1),IF($E64=L$36+1,L$48,IF($E64&lt;=L$40,L$51*L$38^($E64-L$35-1),IF($E64=L$40+1,L$49,0))))))))</f>
        <v>#N/A</v>
      </c>
      <c r="M64" s="54" t="e">
        <f aca="false">IF(OR($E64&lt;=M$29,M$39&lt;=M$22),0,IF(AND($E64=M$29+1,$E64&lt;M$30+1),M$32,IF($E64&lt;=M$30,0.5*M$9*$B$83*(2*$E64-2*M$21-1)/(M$22-M$21),IF($E64=M$30+1,M$45,IF($E64&lt;=M$36,M$50*M$31^($E64-M$22-1),IF($E64=M$36+1,M$48,IF($E64&lt;=M$40,M$51*M$38^($E64-M$35-1),IF($E64=M$40+1,M$49,0))))))))</f>
        <v>#N/A</v>
      </c>
      <c r="N64" s="54" t="e">
        <f aca="false">IF(OR($E64&lt;=N$29,N$39&lt;=N$22),0,IF(AND($E64=N$29+1,$E64&lt;N$30+1),N$32,IF($E64&lt;=N$30,0.5*N$9*$B$83*(2*$E64-2*N$21-1)/(N$22-N$21),IF($E64=N$30+1,N$45,IF($E64&lt;=N$36,N$50*N$31^($E64-N$22-1),IF($E64=N$36+1,N$48,IF($E64&lt;=N$40,N$51*N$38^($E64-N$35-1),IF($E64=N$40+1,N$49,0))))))))</f>
        <v>#N/A</v>
      </c>
      <c r="O64" s="54" t="e">
        <f aca="false">IF(OR($E64&lt;=O$29,O$39&lt;=O$22),0,IF(AND($E64=O$29+1,$E64&lt;O$30+1),O$32,IF($E64&lt;=O$30,0.5*O$9*$B$83*(2*$E64-2*O$21-1)/(O$22-O$21),IF($E64=O$30+1,O$45,IF($E64&lt;=O$36,O$50*O$31^($E64-O$22-1),IF($E64=O$36+1,O$48,IF($E64&lt;=O$40,O$51*O$38^($E64-O$35-1),IF($E64=O$40+1,O$49,0))))))))</f>
        <v>#N/A</v>
      </c>
      <c r="P64" s="54" t="e">
        <f aca="false">IF(OR($E64&lt;=P$29,P$39&lt;=P$22),0,IF(AND($E64=P$29+1,$E64&lt;P$30+1),P$32,IF($E64&lt;=P$30,0.5*P$9*$B$83*(2*$E64-2*P$21-1)/(P$22-P$21),IF($E64=P$30+1,P$45,IF($E64&lt;=P$36,P$50*P$31^($E64-P$22-1),IF($E64=P$36+1,P$48,IF($E64&lt;=P$40,P$51*P$38^($E64-P$35-1),IF($E64=P$40+1,P$49,0))))))))</f>
        <v>#N/A</v>
      </c>
      <c r="Q64" s="54" t="e">
        <f aca="false">IF(OR($E64&lt;=Q$29,Q$39&lt;=Q$22),0,IF(AND($E64=Q$29+1,$E64&lt;Q$30+1),Q$32,IF($E64&lt;=Q$30,0.5*Q$9*$B$83*(2*$E64-2*Q$21-1)/(Q$22-Q$21),IF($E64=Q$30+1,Q$45,IF($E64&lt;=Q$36,Q$50*Q$31^($E64-Q$22-1),IF($E64=Q$36+1,Q$48,IF($E64&lt;=Q$40,Q$51*Q$38^($E64-Q$35-1),IF($E64=Q$40+1,Q$49,0))))))))</f>
        <v>#N/A</v>
      </c>
      <c r="R64" s="54" t="e">
        <f aca="false">IF(OR($E64&lt;=R$29,R$39&lt;=R$22),0,IF(AND($E64=R$29+1,$E64&lt;R$30+1),R$32,IF($E64&lt;=R$30,0.5*R$9*$B$83*(2*$E64-2*R$21-1)/(R$22-R$21),IF($E64=R$30+1,R$45,IF($E64&lt;=R$36,R$50*R$31^($E64-R$22-1),IF($E64=R$36+1,R$48,IF($E64&lt;=R$40,R$51*R$38^($E64-R$35-1),IF($E64=R$40+1,R$49,0))))))))</f>
        <v>#N/A</v>
      </c>
      <c r="S64" s="54" t="e">
        <f aca="false">IF(OR($E64&lt;=S$29,S$39&lt;=S$22),0,IF(AND($E64=S$29+1,$E64&lt;S$30+1),S$32,IF($E64&lt;=S$30,0.5*S$9*$B$83*(2*$E64-2*S$21-1)/(S$22-S$21),IF($E64=S$30+1,S$45,IF($E64&lt;=S$36,S$50*S$31^($E64-S$22-1),IF($E64=S$36+1,S$48,IF($E64&lt;=S$40,S$51*S$38^($E64-S$35-1),IF($E64=S$40+1,S$49,0))))))))</f>
        <v>#N/A</v>
      </c>
      <c r="T64" s="54" t="e">
        <f aca="false">IF(OR($E64&lt;=T$29,T$39&lt;=T$22),0,IF(AND($E64=T$29+1,$E64&lt;T$30+1),T$32,IF($E64&lt;=T$30,0.5*T$9*$B$83*(2*$E64-2*T$21-1)/(T$22-T$21),IF($E64=T$30+1,T$45,IF($E64&lt;=T$36,T$50*T$31^($E64-T$22-1),IF($E64=T$36+1,T$48,IF($E64&lt;=T$40,T$51*T$38^($E64-T$35-1),IF($E64=T$40+1,T$49,0))))))))</f>
        <v>#N/A</v>
      </c>
      <c r="U64" s="54" t="e">
        <f aca="false">IF(OR($E64&lt;=U$29,U$39&lt;=U$22),0,IF(AND($E64=U$29+1,$E64&lt;U$30+1),U$32,IF($E64&lt;=U$30,0.5*U$9*$B$83*(2*$E64-2*U$21-1)/(U$22-U$21),IF($E64=U$30+1,U$45,IF($E64&lt;=U$36,U$50*U$31^($E64-U$22-1),IF($E64=U$36+1,U$48,IF($E64&lt;=U$40,U$51*U$38^($E64-U$35-1),IF($E64=U$40+1,U$49,0))))))))</f>
        <v>#N/A</v>
      </c>
      <c r="V64" s="54" t="e">
        <f aca="false">IF(OR($E64&lt;=V$29,V$39&lt;=V$22),0,IF(AND($E64=V$29+1,$E64&lt;V$30+1),V$32,IF($E64&lt;=V$30,0.5*V$9*$B$83*(2*$E64-2*V$21-1)/(V$22-V$21),IF($E64=V$30+1,V$45,IF($E64&lt;=V$36,V$50*V$31^($E64-V$22-1),IF($E64=V$36+1,V$48,IF($E64&lt;=V$40,V$51*V$38^($E64-V$35-1),IF($E64=V$40+1,V$49,0))))))))</f>
        <v>#N/A</v>
      </c>
      <c r="W64" s="54" t="e">
        <f aca="false">IF(OR($E64&lt;=W$29,W$39&lt;=W$22),0,IF(AND($E64=W$29+1,$E64&lt;W$30+1),W$32,IF($E64&lt;=W$30,0.5*W$9*$B$83*(2*$E64-2*W$21-1)/(W$22-W$21),IF($E64=W$30+1,W$45,IF($E64&lt;=W$36,W$50*W$31^($E64-W$22-1),IF($E64=W$36+1,W$48,IF($E64&lt;=W$40,W$51*W$38^($E64-W$35-1),IF($E64=W$40+1,W$49,0))))))))</f>
        <v>#N/A</v>
      </c>
      <c r="X64" s="54" t="e">
        <f aca="false">IF(OR($E64&lt;=X$29,X$39&lt;=X$22),0,IF(AND($E64=X$29+1,$E64&lt;X$30+1),X$32,IF($E64&lt;=X$30,0.5*X$9*$B$83*(2*$E64-2*X$21-1)/(X$22-X$21),IF($E64=X$30+1,X$45,IF($E64&lt;=X$36,X$50*X$31^($E64-X$22-1),IF($E64=X$36+1,X$48,IF($E64&lt;=X$40,X$51*X$38^($E64-X$35-1),IF($E64=X$40+1,X$49,0))))))))</f>
        <v>#N/A</v>
      </c>
      <c r="Y64" s="54" t="e">
        <f aca="false">IF(OR($E64&lt;=Y$29,Y$39&lt;=Y$22),0,IF(AND($E64=Y$29+1,$E64&lt;Y$30+1),Y$32,IF($E64&lt;=Y$30,0.5*Y$9*$B$83*(2*$E64-2*Y$21-1)/(Y$22-Y$21),IF($E64=Y$30+1,Y$45,IF($E64&lt;=Y$36,Y$50*Y$31^($E64-Y$22-1),IF($E64=Y$36+1,Y$48,IF($E64&lt;=Y$40,Y$51*Y$38^($E64-Y$35-1),IF($E64=Y$40+1,Y$49,0))))))))</f>
        <v>#N/A</v>
      </c>
      <c r="Z64" s="54" t="e">
        <f aca="false">IF(OR($E64&lt;=Z$29,Z$39&lt;=Z$22),0,IF(AND($E64=Z$29+1,$E64&lt;Z$30+1),Z$32,IF($E64&lt;=Z$30,0.5*Z$9*$B$83*(2*$E64-2*Z$21-1)/(Z$22-Z$21),IF($E64=Z$30+1,Z$45,IF($E64&lt;=Z$36,Z$50*Z$31^($E64-Z$22-1),IF($E64=Z$36+1,Z$48,IF($E64&lt;=Z$40,Z$51*Z$38^($E64-Z$35-1),IF($E64=Z$40+1,Z$49,0))))))))</f>
        <v>#N/A</v>
      </c>
      <c r="AA64" s="54" t="e">
        <f aca="false">SUM(F64:Z64)</f>
        <v>#VALUE!</v>
      </c>
    </row>
    <row r="65" customFormat="false" ht="11.25" hidden="false" customHeight="false" outlineLevel="0" collapsed="false">
      <c r="A65" s="12"/>
      <c r="B65" s="12"/>
      <c r="D65" s="60" t="n">
        <f aca="false">+P3</f>
        <v>2009</v>
      </c>
      <c r="E65" s="5" t="n">
        <f aca="false">+E64+1</f>
        <v>11</v>
      </c>
      <c r="F65" s="54" t="e">
        <f aca="false">(IF(OR($E65&lt;=F$29,F$39&lt;=F$22),0,IF(AND($E65=F$29+1,$E65&lt;F$30+1),F$32,IF($E65&lt;=F$30,0.5*F$9*$B$83*(2*$E65-2*F$21-1)/(F$22-F$21),IF($E65=F$30+1,F$45,IF($E65&lt;=F$36,F$50*F$31^($E65-F$22-1),IF($E65=F$36+1,F$48,IF($E65&lt;=F$40,F$51*F$38^($E65-F$35-1),IF($E65=F$40+1,F$49,0)))))))))</f>
        <v>#VALUE!</v>
      </c>
      <c r="G65" s="54" t="e">
        <f aca="false">IF(OR($E65&lt;=G$29,G$39&lt;=G$22),0,IF(AND($E65=G$29+1,$E65&lt;G$30+1),G$32,IF($E65&lt;=G$30,0.5*G$9*$B$83*(2*$E65-2*G$21-1)/(G$22-G$21),IF($E65=G$30+1,G$45,IF($E65&lt;=G$36,G$50*G$31^($E65-G$22-1),IF($E65=G$36+1,G$48,IF($E65&lt;=G$40,G$51*G$38^($E65-G$35-1),IF($E65=G$40+1,G$49,0))))))))</f>
        <v>#VALUE!</v>
      </c>
      <c r="H65" s="54" t="e">
        <f aca="false">IF(OR($E65&lt;=H$29,H$39&lt;=H$22),0,IF(AND($E65=H$29+1,$E65&lt;H$30+1),H$32,IF($E65&lt;=H$30,0.5*H$9*$B$83*(2*$E65-2*H$21-1)/(H$22-H$21),IF($E65=H$30+1,H$45,IF($E65&lt;=H$36,H$50*H$31^($E65-H$22-1),IF($E65=H$36+1,H$48,IF($E65&lt;=H$40,H$51*H$38^($E65-H$35-1),IF($E65=H$40+1,H$49,0))))))))</f>
        <v>#N/A</v>
      </c>
      <c r="I65" s="54" t="e">
        <f aca="false">IF(OR($E65&lt;=I$29,I$39&lt;=I$22),0,IF(AND($E65=I$29+1,$E65&lt;I$30+1),I$32,IF($E65&lt;=I$30,0.5*I$9*$B$83*(2*$E65-2*I$21-1)/(I$22-I$21),IF($E65=I$30+1,I$45,IF($E65&lt;=I$36,I$50*I$31^($E65-I$22-1),IF($E65=I$36+1,I$48,IF($E65&lt;=I$40,I$51*I$38^($E65-I$35-1),IF($E65=I$40+1,I$49,0))))))))</f>
        <v>#N/A</v>
      </c>
      <c r="J65" s="54" t="e">
        <f aca="false">IF(OR($E65&lt;=J$29,J$39&lt;=J$22),0,IF(AND($E65=J$29+1,$E65&lt;J$30+1),J$32,IF($E65&lt;=J$30,0.5*J$9*$B$83*(2*$E65-2*J$21-1)/(J$22-J$21),IF($E65=J$30+1,J$45,IF($E65&lt;=J$36,J$50*J$31^($E65-J$22-1),IF($E65=J$36+1,J$48,IF($E65&lt;=J$40,J$51*J$38^($E65-J$35-1),IF($E65=J$40+1,J$49,0))))))))</f>
        <v>#N/A</v>
      </c>
      <c r="K65" s="54" t="e">
        <f aca="false">IF(OR($E65&lt;=K$29,K$39&lt;=K$22),0,IF(AND($E65=K$29+1,$E65&lt;K$30+1),K$32,IF($E65&lt;=K$30,0.5*K$9*$B$83*(2*$E65-2*K$21-1)/(K$22-K$21),IF($E65=K$30+1,K$45,IF($E65&lt;=K$36,K$50*K$31^($E65-K$22-1),IF($E65=K$36+1,K$48,IF($E65&lt;=K$40,K$51*K$38^($E65-K$35-1),IF($E65=K$40+1,K$49,0))))))))</f>
        <v>#N/A</v>
      </c>
      <c r="L65" s="54" t="e">
        <f aca="false">IF(OR($E65&lt;=L$29,L$39&lt;=L$22),0,IF(AND($E65=L$29+1,$E65&lt;L$30+1),L$32,IF($E65&lt;=L$30,0.5*L$9*$B$83*(2*$E65-2*L$21-1)/(L$22-L$21),IF($E65=L$30+1,L$45,IF($E65&lt;=L$36,L$50*L$31^($E65-L$22-1),IF($E65=L$36+1,L$48,IF($E65&lt;=L$40,L$51*L$38^($E65-L$35-1),IF($E65=L$40+1,L$49,0))))))))</f>
        <v>#N/A</v>
      </c>
      <c r="M65" s="54" t="e">
        <f aca="false">IF(OR($E65&lt;=M$29,M$39&lt;=M$22),0,IF(AND($E65=M$29+1,$E65&lt;M$30+1),M$32,IF($E65&lt;=M$30,0.5*M$9*$B$83*(2*$E65-2*M$21-1)/(M$22-M$21),IF($E65=M$30+1,M$45,IF($E65&lt;=M$36,M$50*M$31^($E65-M$22-1),IF($E65=M$36+1,M$48,IF($E65&lt;=M$40,M$51*M$38^($E65-M$35-1),IF($E65=M$40+1,M$49,0))))))))</f>
        <v>#N/A</v>
      </c>
      <c r="N65" s="54" t="e">
        <f aca="false">IF(OR($E65&lt;=N$29,N$39&lt;=N$22),0,IF(AND($E65=N$29+1,$E65&lt;N$30+1),N$32,IF($E65&lt;=N$30,0.5*N$9*$B$83*(2*$E65-2*N$21-1)/(N$22-N$21),IF($E65=N$30+1,N$45,IF($E65&lt;=N$36,N$50*N$31^($E65-N$22-1),IF($E65=N$36+1,N$48,IF($E65&lt;=N$40,N$51*N$38^($E65-N$35-1),IF($E65=N$40+1,N$49,0))))))))</f>
        <v>#N/A</v>
      </c>
      <c r="O65" s="54" t="e">
        <f aca="false">IF(OR($E65&lt;=O$29,O$39&lt;=O$22),0,IF(AND($E65=O$29+1,$E65&lt;O$30+1),O$32,IF($E65&lt;=O$30,0.5*O$9*$B$83*(2*$E65-2*O$21-1)/(O$22-O$21),IF($E65=O$30+1,O$45,IF($E65&lt;=O$36,O$50*O$31^($E65-O$22-1),IF($E65=O$36+1,O$48,IF($E65&lt;=O$40,O$51*O$38^($E65-O$35-1),IF($E65=O$40+1,O$49,0))))))))</f>
        <v>#N/A</v>
      </c>
      <c r="P65" s="54" t="e">
        <f aca="false">IF(OR($E65&lt;=P$29,P$39&lt;=P$22),0,IF(AND($E65=P$29+1,$E65&lt;P$30+1),P$32,IF($E65&lt;=P$30,0.5*P$9*$B$83*(2*$E65-2*P$21-1)/(P$22-P$21),IF($E65=P$30+1,P$45,IF($E65&lt;=P$36,P$50*P$31^($E65-P$22-1),IF($E65=P$36+1,P$48,IF($E65&lt;=P$40,P$51*P$38^($E65-P$35-1),IF($E65=P$40+1,P$49,0))))))))</f>
        <v>#N/A</v>
      </c>
      <c r="Q65" s="54" t="e">
        <f aca="false">IF(OR($E65&lt;=Q$29,Q$39&lt;=Q$22),0,IF(AND($E65=Q$29+1,$E65&lt;Q$30+1),Q$32,IF($E65&lt;=Q$30,0.5*Q$9*$B$83*(2*$E65-2*Q$21-1)/(Q$22-Q$21),IF($E65=Q$30+1,Q$45,IF($E65&lt;=Q$36,Q$50*Q$31^($E65-Q$22-1),IF($E65=Q$36+1,Q$48,IF($E65&lt;=Q$40,Q$51*Q$38^($E65-Q$35-1),IF($E65=Q$40+1,Q$49,0))))))))</f>
        <v>#N/A</v>
      </c>
      <c r="R65" s="54" t="e">
        <f aca="false">IF(OR($E65&lt;=R$29,R$39&lt;=R$22),0,IF(AND($E65=R$29+1,$E65&lt;R$30+1),R$32,IF($E65&lt;=R$30,0.5*R$9*$B$83*(2*$E65-2*R$21-1)/(R$22-R$21),IF($E65=R$30+1,R$45,IF($E65&lt;=R$36,R$50*R$31^($E65-R$22-1),IF($E65=R$36+1,R$48,IF($E65&lt;=R$40,R$51*R$38^($E65-R$35-1),IF($E65=R$40+1,R$49,0))))))))</f>
        <v>#N/A</v>
      </c>
      <c r="S65" s="54" t="e">
        <f aca="false">IF(OR($E65&lt;=S$29,S$39&lt;=S$22),0,IF(AND($E65=S$29+1,$E65&lt;S$30+1),S$32,IF($E65&lt;=S$30,0.5*S$9*$B$83*(2*$E65-2*S$21-1)/(S$22-S$21),IF($E65=S$30+1,S$45,IF($E65&lt;=S$36,S$50*S$31^($E65-S$22-1),IF($E65=S$36+1,S$48,IF($E65&lt;=S$40,S$51*S$38^($E65-S$35-1),IF($E65=S$40+1,S$49,0))))))))</f>
        <v>#N/A</v>
      </c>
      <c r="T65" s="54" t="e">
        <f aca="false">IF(OR($E65&lt;=T$29,T$39&lt;=T$22),0,IF(AND($E65=T$29+1,$E65&lt;T$30+1),T$32,IF($E65&lt;=T$30,0.5*T$9*$B$83*(2*$E65-2*T$21-1)/(T$22-T$21),IF($E65=T$30+1,T$45,IF($E65&lt;=T$36,T$50*T$31^($E65-T$22-1),IF($E65=T$36+1,T$48,IF($E65&lt;=T$40,T$51*T$38^($E65-T$35-1),IF($E65=T$40+1,T$49,0))))))))</f>
        <v>#N/A</v>
      </c>
      <c r="U65" s="54" t="e">
        <f aca="false">IF(OR($E65&lt;=U$29,U$39&lt;=U$22),0,IF(AND($E65=U$29+1,$E65&lt;U$30+1),U$32,IF($E65&lt;=U$30,0.5*U$9*$B$83*(2*$E65-2*U$21-1)/(U$22-U$21),IF($E65=U$30+1,U$45,IF($E65&lt;=U$36,U$50*U$31^($E65-U$22-1),IF($E65=U$36+1,U$48,IF($E65&lt;=U$40,U$51*U$38^($E65-U$35-1),IF($E65=U$40+1,U$49,0))))))))</f>
        <v>#N/A</v>
      </c>
      <c r="V65" s="54" t="e">
        <f aca="false">IF(OR($E65&lt;=V$29,V$39&lt;=V$22),0,IF(AND($E65=V$29+1,$E65&lt;V$30+1),V$32,IF($E65&lt;=V$30,0.5*V$9*$B$83*(2*$E65-2*V$21-1)/(V$22-V$21),IF($E65=V$30+1,V$45,IF($E65&lt;=V$36,V$50*V$31^($E65-V$22-1),IF($E65=V$36+1,V$48,IF($E65&lt;=V$40,V$51*V$38^($E65-V$35-1),IF($E65=V$40+1,V$49,0))))))))</f>
        <v>#N/A</v>
      </c>
      <c r="W65" s="54" t="e">
        <f aca="false">IF(OR($E65&lt;=W$29,W$39&lt;=W$22),0,IF(AND($E65=W$29+1,$E65&lt;W$30+1),W$32,IF($E65&lt;=W$30,0.5*W$9*$B$83*(2*$E65-2*W$21-1)/(W$22-W$21),IF($E65=W$30+1,W$45,IF($E65&lt;=W$36,W$50*W$31^($E65-W$22-1),IF($E65=W$36+1,W$48,IF($E65&lt;=W$40,W$51*W$38^($E65-W$35-1),IF($E65=W$40+1,W$49,0))))))))</f>
        <v>#N/A</v>
      </c>
      <c r="X65" s="54" t="e">
        <f aca="false">IF(OR($E65&lt;=X$29,X$39&lt;=X$22),0,IF(AND($E65=X$29+1,$E65&lt;X$30+1),X$32,IF($E65&lt;=X$30,0.5*X$9*$B$83*(2*$E65-2*X$21-1)/(X$22-X$21),IF($E65=X$30+1,X$45,IF($E65&lt;=X$36,X$50*X$31^($E65-X$22-1),IF($E65=X$36+1,X$48,IF($E65&lt;=X$40,X$51*X$38^($E65-X$35-1),IF($E65=X$40+1,X$49,0))))))))</f>
        <v>#N/A</v>
      </c>
      <c r="Y65" s="54" t="e">
        <f aca="false">IF(OR($E65&lt;=Y$29,Y$39&lt;=Y$22),0,IF(AND($E65=Y$29+1,$E65&lt;Y$30+1),Y$32,IF($E65&lt;=Y$30,0.5*Y$9*$B$83*(2*$E65-2*Y$21-1)/(Y$22-Y$21),IF($E65=Y$30+1,Y$45,IF($E65&lt;=Y$36,Y$50*Y$31^($E65-Y$22-1),IF($E65=Y$36+1,Y$48,IF($E65&lt;=Y$40,Y$51*Y$38^($E65-Y$35-1),IF($E65=Y$40+1,Y$49,0))))))))</f>
        <v>#N/A</v>
      </c>
      <c r="Z65" s="54" t="e">
        <f aca="false">IF(OR($E65&lt;=Z$29,Z$39&lt;=Z$22),0,IF(AND($E65=Z$29+1,$E65&lt;Z$30+1),Z$32,IF($E65&lt;=Z$30,0.5*Z$9*$B$83*(2*$E65-2*Z$21-1)/(Z$22-Z$21),IF($E65=Z$30+1,Z$45,IF($E65&lt;=Z$36,Z$50*Z$31^($E65-Z$22-1),IF($E65=Z$36+1,Z$48,IF($E65&lt;=Z$40,Z$51*Z$38^($E65-Z$35-1),IF($E65=Z$40+1,Z$49,0))))))))</f>
        <v>#N/A</v>
      </c>
      <c r="AA65" s="54" t="e">
        <f aca="false">SUM(F65:Z65)</f>
        <v>#VALUE!</v>
      </c>
    </row>
    <row r="66" customFormat="false" ht="11.25" hidden="false" customHeight="false" outlineLevel="0" collapsed="false">
      <c r="A66" s="12"/>
      <c r="B66" s="12"/>
      <c r="D66" s="60" t="n">
        <f aca="false">+Q3</f>
        <v>2010</v>
      </c>
      <c r="E66" s="5" t="n">
        <f aca="false">+E65+1</f>
        <v>12</v>
      </c>
      <c r="F66" s="54" t="e">
        <f aca="false">(IF(OR($E66&lt;=F$29,F$39&lt;=F$22),0,IF(AND($E66=F$29+1,$E66&lt;F$30+1),F$32,IF($E66&lt;=F$30,0.5*F$9*$B$83*(2*$E66-2*F$21-1)/(F$22-F$21),IF($E66=F$30+1,F$45,IF($E66&lt;=F$36,F$50*F$31^($E66-F$22-1),IF($E66=F$36+1,F$48,IF($E66&lt;=F$40,F$51*F$38^($E66-F$35-1),IF($E66=F$40+1,F$49,0)))))))))</f>
        <v>#VALUE!</v>
      </c>
      <c r="G66" s="54" t="e">
        <f aca="false">IF(OR($E66&lt;=G$29,G$39&lt;=G$22),0,IF(AND($E66=G$29+1,$E66&lt;G$30+1),G$32,IF($E66&lt;=G$30,0.5*G$9*$B$83*(2*$E66-2*G$21-1)/(G$22-G$21),IF($E66=G$30+1,G$45,IF($E66&lt;=G$36,G$50*G$31^($E66-G$22-1),IF($E66=G$36+1,G$48,IF($E66&lt;=G$40,G$51*G$38^($E66-G$35-1),IF($E66=G$40+1,G$49,0))))))))</f>
        <v>#VALUE!</v>
      </c>
      <c r="H66" s="54" t="e">
        <f aca="false">IF(OR($E66&lt;=H$29,H$39&lt;=H$22),0,IF(AND($E66=H$29+1,$E66&lt;H$30+1),H$32,IF($E66&lt;=H$30,0.5*H$9*$B$83*(2*$E66-2*H$21-1)/(H$22-H$21),IF($E66=H$30+1,H$45,IF($E66&lt;=H$36,H$50*H$31^($E66-H$22-1),IF($E66=H$36+1,H$48,IF($E66&lt;=H$40,H$51*H$38^($E66-H$35-1),IF($E66=H$40+1,H$49,0))))))))</f>
        <v>#N/A</v>
      </c>
      <c r="I66" s="54" t="e">
        <f aca="false">IF(OR($E66&lt;=I$29,I$39&lt;=I$22),0,IF(AND($E66=I$29+1,$E66&lt;I$30+1),I$32,IF($E66&lt;=I$30,0.5*I$9*$B$83*(2*$E66-2*I$21-1)/(I$22-I$21),IF($E66=I$30+1,I$45,IF($E66&lt;=I$36,I$50*I$31^($E66-I$22-1),IF($E66=I$36+1,I$48,IF($E66&lt;=I$40,I$51*I$38^($E66-I$35-1),IF($E66=I$40+1,I$49,0))))))))</f>
        <v>#N/A</v>
      </c>
      <c r="J66" s="54" t="e">
        <f aca="false">IF(OR($E66&lt;=J$29,J$39&lt;=J$22),0,IF(AND($E66=J$29+1,$E66&lt;J$30+1),J$32,IF($E66&lt;=J$30,0.5*J$9*$B$83*(2*$E66-2*J$21-1)/(J$22-J$21),IF($E66=J$30+1,J$45,IF($E66&lt;=J$36,J$50*J$31^($E66-J$22-1),IF($E66=J$36+1,J$48,IF($E66&lt;=J$40,J$51*J$38^($E66-J$35-1),IF($E66=J$40+1,J$49,0))))))))</f>
        <v>#N/A</v>
      </c>
      <c r="K66" s="54" t="e">
        <f aca="false">IF(OR($E66&lt;=K$29,K$39&lt;=K$22),0,IF(AND($E66=K$29+1,$E66&lt;K$30+1),K$32,IF($E66&lt;=K$30,0.5*K$9*$B$83*(2*$E66-2*K$21-1)/(K$22-K$21),IF($E66=K$30+1,K$45,IF($E66&lt;=K$36,K$50*K$31^($E66-K$22-1),IF($E66=K$36+1,K$48,IF($E66&lt;=K$40,K$51*K$38^($E66-K$35-1),IF($E66=K$40+1,K$49,0))))))))</f>
        <v>#N/A</v>
      </c>
      <c r="L66" s="54" t="e">
        <f aca="false">IF(OR($E66&lt;=L$29,L$39&lt;=L$22),0,IF(AND($E66=L$29+1,$E66&lt;L$30+1),L$32,IF($E66&lt;=L$30,0.5*L$9*$B$83*(2*$E66-2*L$21-1)/(L$22-L$21),IF($E66=L$30+1,L$45,IF($E66&lt;=L$36,L$50*L$31^($E66-L$22-1),IF($E66=L$36+1,L$48,IF($E66&lt;=L$40,L$51*L$38^($E66-L$35-1),IF($E66=L$40+1,L$49,0))))))))</f>
        <v>#N/A</v>
      </c>
      <c r="M66" s="54" t="e">
        <f aca="false">IF(OR($E66&lt;=M$29,M$39&lt;=M$22),0,IF(AND($E66=M$29+1,$E66&lt;M$30+1),M$32,IF($E66&lt;=M$30,0.5*M$9*$B$83*(2*$E66-2*M$21-1)/(M$22-M$21),IF($E66=M$30+1,M$45,IF($E66&lt;=M$36,M$50*M$31^($E66-M$22-1),IF($E66=M$36+1,M$48,IF($E66&lt;=M$40,M$51*M$38^($E66-M$35-1),IF($E66=M$40+1,M$49,0))))))))</f>
        <v>#N/A</v>
      </c>
      <c r="N66" s="54" t="e">
        <f aca="false">IF(OR($E66&lt;=N$29,N$39&lt;=N$22),0,IF(AND($E66=N$29+1,$E66&lt;N$30+1),N$32,IF($E66&lt;=N$30,0.5*N$9*$B$83*(2*$E66-2*N$21-1)/(N$22-N$21),IF($E66=N$30+1,N$45,IF($E66&lt;=N$36,N$50*N$31^($E66-N$22-1),IF($E66=N$36+1,N$48,IF($E66&lt;=N$40,N$51*N$38^($E66-N$35-1),IF($E66=N$40+1,N$49,0))))))))</f>
        <v>#N/A</v>
      </c>
      <c r="O66" s="54" t="e">
        <f aca="false">IF(OR($E66&lt;=O$29,O$39&lt;=O$22),0,IF(AND($E66=O$29+1,$E66&lt;O$30+1),O$32,IF($E66&lt;=O$30,0.5*O$9*$B$83*(2*$E66-2*O$21-1)/(O$22-O$21),IF($E66=O$30+1,O$45,IF($E66&lt;=O$36,O$50*O$31^($E66-O$22-1),IF($E66=O$36+1,O$48,IF($E66&lt;=O$40,O$51*O$38^($E66-O$35-1),IF($E66=O$40+1,O$49,0))))))))</f>
        <v>#N/A</v>
      </c>
      <c r="P66" s="54" t="e">
        <f aca="false">IF(OR($E66&lt;=P$29,P$39&lt;=P$22),0,IF(AND($E66=P$29+1,$E66&lt;P$30+1),P$32,IF($E66&lt;=P$30,0.5*P$9*$B$83*(2*$E66-2*P$21-1)/(P$22-P$21),IF($E66=P$30+1,P$45,IF($E66&lt;=P$36,P$50*P$31^($E66-P$22-1),IF($E66=P$36+1,P$48,IF($E66&lt;=P$40,P$51*P$38^($E66-P$35-1),IF($E66=P$40+1,P$49,0))))))))</f>
        <v>#N/A</v>
      </c>
      <c r="Q66" s="54" t="e">
        <f aca="false">IF(OR($E66&lt;=Q$29,Q$39&lt;=Q$22),0,IF(AND($E66=Q$29+1,$E66&lt;Q$30+1),Q$32,IF($E66&lt;=Q$30,0.5*Q$9*$B$83*(2*$E66-2*Q$21-1)/(Q$22-Q$21),IF($E66=Q$30+1,Q$45,IF($E66&lt;=Q$36,Q$50*Q$31^($E66-Q$22-1),IF($E66=Q$36+1,Q$48,IF($E66&lt;=Q$40,Q$51*Q$38^($E66-Q$35-1),IF($E66=Q$40+1,Q$49,0))))))))</f>
        <v>#N/A</v>
      </c>
      <c r="R66" s="54" t="e">
        <f aca="false">IF(OR($E66&lt;=R$29,R$39&lt;=R$22),0,IF(AND($E66=R$29+1,$E66&lt;R$30+1),R$32,IF($E66&lt;=R$30,0.5*R$9*$B$83*(2*$E66-2*R$21-1)/(R$22-R$21),IF($E66=R$30+1,R$45,IF($E66&lt;=R$36,R$50*R$31^($E66-R$22-1),IF($E66=R$36+1,R$48,IF($E66&lt;=R$40,R$51*R$38^($E66-R$35-1),IF($E66=R$40+1,R$49,0))))))))</f>
        <v>#N/A</v>
      </c>
      <c r="S66" s="54" t="e">
        <f aca="false">IF(OR($E66&lt;=S$29,S$39&lt;=S$22),0,IF(AND($E66=S$29+1,$E66&lt;S$30+1),S$32,IF($E66&lt;=S$30,0.5*S$9*$B$83*(2*$E66-2*S$21-1)/(S$22-S$21),IF($E66=S$30+1,S$45,IF($E66&lt;=S$36,S$50*S$31^($E66-S$22-1),IF($E66=S$36+1,S$48,IF($E66&lt;=S$40,S$51*S$38^($E66-S$35-1),IF($E66=S$40+1,S$49,0))))))))</f>
        <v>#N/A</v>
      </c>
      <c r="T66" s="54" t="e">
        <f aca="false">IF(OR($E66&lt;=T$29,T$39&lt;=T$22),0,IF(AND($E66=T$29+1,$E66&lt;T$30+1),T$32,IF($E66&lt;=T$30,0.5*T$9*$B$83*(2*$E66-2*T$21-1)/(T$22-T$21),IF($E66=T$30+1,T$45,IF($E66&lt;=T$36,T$50*T$31^($E66-T$22-1),IF($E66=T$36+1,T$48,IF($E66&lt;=T$40,T$51*T$38^($E66-T$35-1),IF($E66=T$40+1,T$49,0))))))))</f>
        <v>#N/A</v>
      </c>
      <c r="U66" s="54" t="e">
        <f aca="false">IF(OR($E66&lt;=U$29,U$39&lt;=U$22),0,IF(AND($E66=U$29+1,$E66&lt;U$30+1),U$32,IF($E66&lt;=U$30,0.5*U$9*$B$83*(2*$E66-2*U$21-1)/(U$22-U$21),IF($E66=U$30+1,U$45,IF($E66&lt;=U$36,U$50*U$31^($E66-U$22-1),IF($E66=U$36+1,U$48,IF($E66&lt;=U$40,U$51*U$38^($E66-U$35-1),IF($E66=U$40+1,U$49,0))))))))</f>
        <v>#N/A</v>
      </c>
      <c r="V66" s="54" t="e">
        <f aca="false">IF(OR($E66&lt;=V$29,V$39&lt;=V$22),0,IF(AND($E66=V$29+1,$E66&lt;V$30+1),V$32,IF($E66&lt;=V$30,0.5*V$9*$B$83*(2*$E66-2*V$21-1)/(V$22-V$21),IF($E66=V$30+1,V$45,IF($E66&lt;=V$36,V$50*V$31^($E66-V$22-1),IF($E66=V$36+1,V$48,IF($E66&lt;=V$40,V$51*V$38^($E66-V$35-1),IF($E66=V$40+1,V$49,0))))))))</f>
        <v>#N/A</v>
      </c>
      <c r="W66" s="54" t="e">
        <f aca="false">IF(OR($E66&lt;=W$29,W$39&lt;=W$22),0,IF(AND($E66=W$29+1,$E66&lt;W$30+1),W$32,IF($E66&lt;=W$30,0.5*W$9*$B$83*(2*$E66-2*W$21-1)/(W$22-W$21),IF($E66=W$30+1,W$45,IF($E66&lt;=W$36,W$50*W$31^($E66-W$22-1),IF($E66=W$36+1,W$48,IF($E66&lt;=W$40,W$51*W$38^($E66-W$35-1),IF($E66=W$40+1,W$49,0))))))))</f>
        <v>#N/A</v>
      </c>
      <c r="X66" s="54" t="e">
        <f aca="false">IF(OR($E66&lt;=X$29,X$39&lt;=X$22),0,IF(AND($E66=X$29+1,$E66&lt;X$30+1),X$32,IF($E66&lt;=X$30,0.5*X$9*$B$83*(2*$E66-2*X$21-1)/(X$22-X$21),IF($E66=X$30+1,X$45,IF($E66&lt;=X$36,X$50*X$31^($E66-X$22-1),IF($E66=X$36+1,X$48,IF($E66&lt;=X$40,X$51*X$38^($E66-X$35-1),IF($E66=X$40+1,X$49,0))))))))</f>
        <v>#N/A</v>
      </c>
      <c r="Y66" s="54" t="e">
        <f aca="false">IF(OR($E66&lt;=Y$29,Y$39&lt;=Y$22),0,IF(AND($E66=Y$29+1,$E66&lt;Y$30+1),Y$32,IF($E66&lt;=Y$30,0.5*Y$9*$B$83*(2*$E66-2*Y$21-1)/(Y$22-Y$21),IF($E66=Y$30+1,Y$45,IF($E66&lt;=Y$36,Y$50*Y$31^($E66-Y$22-1),IF($E66=Y$36+1,Y$48,IF($E66&lt;=Y$40,Y$51*Y$38^($E66-Y$35-1),IF($E66=Y$40+1,Y$49,0))))))))</f>
        <v>#N/A</v>
      </c>
      <c r="Z66" s="54" t="e">
        <f aca="false">IF(OR($E66&lt;=Z$29,Z$39&lt;=Z$22),0,IF(AND($E66=Z$29+1,$E66&lt;Z$30+1),Z$32,IF($E66&lt;=Z$30,0.5*Z$9*$B$83*(2*$E66-2*Z$21-1)/(Z$22-Z$21),IF($E66=Z$30+1,Z$45,IF($E66&lt;=Z$36,Z$50*Z$31^($E66-Z$22-1),IF($E66=Z$36+1,Z$48,IF($E66&lt;=Z$40,Z$51*Z$38^($E66-Z$35-1),IF($E66=Z$40+1,Z$49,0))))))))</f>
        <v>#N/A</v>
      </c>
      <c r="AA66" s="54" t="e">
        <f aca="false">SUM(F66:Z66)</f>
        <v>#VALUE!</v>
      </c>
    </row>
    <row r="67" customFormat="false" ht="11.25" hidden="false" customHeight="false" outlineLevel="0" collapsed="false">
      <c r="A67" s="12"/>
      <c r="B67" s="12"/>
      <c r="D67" s="60" t="n">
        <f aca="false">+R3</f>
        <v>2011</v>
      </c>
      <c r="E67" s="5" t="n">
        <f aca="false">+E66+1</f>
        <v>13</v>
      </c>
      <c r="F67" s="54" t="e">
        <f aca="false">(IF(OR($E67&lt;=F$29,F$39&lt;=F$22),0,IF(AND($E67=F$29+1,$E67&lt;F$30+1),F$32,IF($E67&lt;=F$30,0.5*F$9*$B$83*(2*$E67-2*F$21-1)/(F$22-F$21),IF($E67=F$30+1,F$45,IF($E67&lt;=F$36,F$50*F$31^($E67-F$22-1),IF($E67=F$36+1,F$48,IF($E67&lt;=F$40,F$51*F$38^($E67-F$35-1),IF($E67=F$40+1,F$49,0)))))))))</f>
        <v>#VALUE!</v>
      </c>
      <c r="G67" s="54" t="e">
        <f aca="false">IF(OR($E67&lt;=G$29,G$39&lt;=G$22),0,IF(AND($E67=G$29+1,$E67&lt;G$30+1),G$32,IF($E67&lt;=G$30,0.5*G$9*$B$83*(2*$E67-2*G$21-1)/(G$22-G$21),IF($E67=G$30+1,G$45,IF($E67&lt;=G$36,G$50*G$31^($E67-G$22-1),IF($E67=G$36+1,G$48,IF($E67&lt;=G$40,G$51*G$38^($E67-G$35-1),IF($E67=G$40+1,G$49,0))))))))</f>
        <v>#VALUE!</v>
      </c>
      <c r="H67" s="54" t="e">
        <f aca="false">IF(OR($E67&lt;=H$29,H$39&lt;=H$22),0,IF(AND($E67=H$29+1,$E67&lt;H$30+1),H$32,IF($E67&lt;=H$30,0.5*H$9*$B$83*(2*$E67-2*H$21-1)/(H$22-H$21),IF($E67=H$30+1,H$45,IF($E67&lt;=H$36,H$50*H$31^($E67-H$22-1),IF($E67=H$36+1,H$48,IF($E67&lt;=H$40,H$51*H$38^($E67-H$35-1),IF($E67=H$40+1,H$49,0))))))))</f>
        <v>#N/A</v>
      </c>
      <c r="I67" s="54" t="e">
        <f aca="false">IF(OR($E67&lt;=I$29,I$39&lt;=I$22),0,IF(AND($E67=I$29+1,$E67&lt;I$30+1),I$32,IF($E67&lt;=I$30,0.5*I$9*$B$83*(2*$E67-2*I$21-1)/(I$22-I$21),IF($E67=I$30+1,I$45,IF($E67&lt;=I$36,I$50*I$31^($E67-I$22-1),IF($E67=I$36+1,I$48,IF($E67&lt;=I$40,I$51*I$38^($E67-I$35-1),IF($E67=I$40+1,I$49,0))))))))</f>
        <v>#N/A</v>
      </c>
      <c r="J67" s="54" t="e">
        <f aca="false">IF(OR($E67&lt;=J$29,J$39&lt;=J$22),0,IF(AND($E67=J$29+1,$E67&lt;J$30+1),J$32,IF($E67&lt;=J$30,0.5*J$9*$B$83*(2*$E67-2*J$21-1)/(J$22-J$21),IF($E67=J$30+1,J$45,IF($E67&lt;=J$36,J$50*J$31^($E67-J$22-1),IF($E67=J$36+1,J$48,IF($E67&lt;=J$40,J$51*J$38^($E67-J$35-1),IF($E67=J$40+1,J$49,0))))))))</f>
        <v>#N/A</v>
      </c>
      <c r="K67" s="54" t="e">
        <f aca="false">IF(OR($E67&lt;=K$29,K$39&lt;=K$22),0,IF(AND($E67=K$29+1,$E67&lt;K$30+1),K$32,IF($E67&lt;=K$30,0.5*K$9*$B$83*(2*$E67-2*K$21-1)/(K$22-K$21),IF($E67=K$30+1,K$45,IF($E67&lt;=K$36,K$50*K$31^($E67-K$22-1),IF($E67=K$36+1,K$48,IF($E67&lt;=K$40,K$51*K$38^($E67-K$35-1),IF($E67=K$40+1,K$49,0))))))))</f>
        <v>#N/A</v>
      </c>
      <c r="L67" s="54" t="e">
        <f aca="false">IF(OR($E67&lt;=L$29,L$39&lt;=L$22),0,IF(AND($E67=L$29+1,$E67&lt;L$30+1),L$32,IF($E67&lt;=L$30,0.5*L$9*$B$83*(2*$E67-2*L$21-1)/(L$22-L$21),IF($E67=L$30+1,L$45,IF($E67&lt;=L$36,L$50*L$31^($E67-L$22-1),IF($E67=L$36+1,L$48,IF($E67&lt;=L$40,L$51*L$38^($E67-L$35-1),IF($E67=L$40+1,L$49,0))))))))</f>
        <v>#N/A</v>
      </c>
      <c r="M67" s="54" t="e">
        <f aca="false">IF(OR($E67&lt;=M$29,M$39&lt;=M$22),0,IF(AND($E67=M$29+1,$E67&lt;M$30+1),M$32,IF($E67&lt;=M$30,0.5*M$9*$B$83*(2*$E67-2*M$21-1)/(M$22-M$21),IF($E67=M$30+1,M$45,IF($E67&lt;=M$36,M$50*M$31^($E67-M$22-1),IF($E67=M$36+1,M$48,IF($E67&lt;=M$40,M$51*M$38^($E67-M$35-1),IF($E67=M$40+1,M$49,0))))))))</f>
        <v>#N/A</v>
      </c>
      <c r="N67" s="54" t="e">
        <f aca="false">IF(OR($E67&lt;=N$29,N$39&lt;=N$22),0,IF(AND($E67=N$29+1,$E67&lt;N$30+1),N$32,IF($E67&lt;=N$30,0.5*N$9*$B$83*(2*$E67-2*N$21-1)/(N$22-N$21),IF($E67=N$30+1,N$45,IF($E67&lt;=N$36,N$50*N$31^($E67-N$22-1),IF($E67=N$36+1,N$48,IF($E67&lt;=N$40,N$51*N$38^($E67-N$35-1),IF($E67=N$40+1,N$49,0))))))))</f>
        <v>#N/A</v>
      </c>
      <c r="O67" s="54" t="e">
        <f aca="false">IF(OR($E67&lt;=O$29,O$39&lt;=O$22),0,IF(AND($E67=O$29+1,$E67&lt;O$30+1),O$32,IF($E67&lt;=O$30,0.5*O$9*$B$83*(2*$E67-2*O$21-1)/(O$22-O$21),IF($E67=O$30+1,O$45,IF($E67&lt;=O$36,O$50*O$31^($E67-O$22-1),IF($E67=O$36+1,O$48,IF($E67&lt;=O$40,O$51*O$38^($E67-O$35-1),IF($E67=O$40+1,O$49,0))))))))</f>
        <v>#N/A</v>
      </c>
      <c r="P67" s="54" t="e">
        <f aca="false">IF(OR($E67&lt;=P$29,P$39&lt;=P$22),0,IF(AND($E67=P$29+1,$E67&lt;P$30+1),P$32,IF($E67&lt;=P$30,0.5*P$9*$B$83*(2*$E67-2*P$21-1)/(P$22-P$21),IF($E67=P$30+1,P$45,IF($E67&lt;=P$36,P$50*P$31^($E67-P$22-1),IF($E67=P$36+1,P$48,IF($E67&lt;=P$40,P$51*P$38^($E67-P$35-1),IF($E67=P$40+1,P$49,0))))))))</f>
        <v>#N/A</v>
      </c>
      <c r="Q67" s="54" t="e">
        <f aca="false">IF(OR($E67&lt;=Q$29,Q$39&lt;=Q$22),0,IF(AND($E67=Q$29+1,$E67&lt;Q$30+1),Q$32,IF($E67&lt;=Q$30,0.5*Q$9*$B$83*(2*$E67-2*Q$21-1)/(Q$22-Q$21),IF($E67=Q$30+1,Q$45,IF($E67&lt;=Q$36,Q$50*Q$31^($E67-Q$22-1),IF($E67=Q$36+1,Q$48,IF($E67&lt;=Q$40,Q$51*Q$38^($E67-Q$35-1),IF($E67=Q$40+1,Q$49,0))))))))</f>
        <v>#N/A</v>
      </c>
      <c r="R67" s="54" t="e">
        <f aca="false">IF(OR($E67&lt;=R$29,R$39&lt;=R$22),0,IF(AND($E67=R$29+1,$E67&lt;R$30+1),R$32,IF($E67&lt;=R$30,0.5*R$9*$B$83*(2*$E67-2*R$21-1)/(R$22-R$21),IF($E67=R$30+1,R$45,IF($E67&lt;=R$36,R$50*R$31^($E67-R$22-1),IF($E67=R$36+1,R$48,IF($E67&lt;=R$40,R$51*R$38^($E67-R$35-1),IF($E67=R$40+1,R$49,0))))))))</f>
        <v>#N/A</v>
      </c>
      <c r="S67" s="54" t="e">
        <f aca="false">IF(OR($E67&lt;=S$29,S$39&lt;=S$22),0,IF(AND($E67=S$29+1,$E67&lt;S$30+1),S$32,IF($E67&lt;=S$30,0.5*S$9*$B$83*(2*$E67-2*S$21-1)/(S$22-S$21),IF($E67=S$30+1,S$45,IF($E67&lt;=S$36,S$50*S$31^($E67-S$22-1),IF($E67=S$36+1,S$48,IF($E67&lt;=S$40,S$51*S$38^($E67-S$35-1),IF($E67=S$40+1,S$49,0))))))))</f>
        <v>#N/A</v>
      </c>
      <c r="T67" s="54" t="e">
        <f aca="false">IF(OR($E67&lt;=T$29,T$39&lt;=T$22),0,IF(AND($E67=T$29+1,$E67&lt;T$30+1),T$32,IF($E67&lt;=T$30,0.5*T$9*$B$83*(2*$E67-2*T$21-1)/(T$22-T$21),IF($E67=T$30+1,T$45,IF($E67&lt;=T$36,T$50*T$31^($E67-T$22-1),IF($E67=T$36+1,T$48,IF($E67&lt;=T$40,T$51*T$38^($E67-T$35-1),IF($E67=T$40+1,T$49,0))))))))</f>
        <v>#N/A</v>
      </c>
      <c r="U67" s="54" t="e">
        <f aca="false">IF(OR($E67&lt;=U$29,U$39&lt;=U$22),0,IF(AND($E67=U$29+1,$E67&lt;U$30+1),U$32,IF($E67&lt;=U$30,0.5*U$9*$B$83*(2*$E67-2*U$21-1)/(U$22-U$21),IF($E67=U$30+1,U$45,IF($E67&lt;=U$36,U$50*U$31^($E67-U$22-1),IF($E67=U$36+1,U$48,IF($E67&lt;=U$40,U$51*U$38^($E67-U$35-1),IF($E67=U$40+1,U$49,0))))))))</f>
        <v>#N/A</v>
      </c>
      <c r="V67" s="54" t="e">
        <f aca="false">IF(OR($E67&lt;=V$29,V$39&lt;=V$22),0,IF(AND($E67=V$29+1,$E67&lt;V$30+1),V$32,IF($E67&lt;=V$30,0.5*V$9*$B$83*(2*$E67-2*V$21-1)/(V$22-V$21),IF($E67=V$30+1,V$45,IF($E67&lt;=V$36,V$50*V$31^($E67-V$22-1),IF($E67=V$36+1,V$48,IF($E67&lt;=V$40,V$51*V$38^($E67-V$35-1),IF($E67=V$40+1,V$49,0))))))))</f>
        <v>#N/A</v>
      </c>
      <c r="W67" s="54" t="e">
        <f aca="false">IF(OR($E67&lt;=W$29,W$39&lt;=W$22),0,IF(AND($E67=W$29+1,$E67&lt;W$30+1),W$32,IF($E67&lt;=W$30,0.5*W$9*$B$83*(2*$E67-2*W$21-1)/(W$22-W$21),IF($E67=W$30+1,W$45,IF($E67&lt;=W$36,W$50*W$31^($E67-W$22-1),IF($E67=W$36+1,W$48,IF($E67&lt;=W$40,W$51*W$38^($E67-W$35-1),IF($E67=W$40+1,W$49,0))))))))</f>
        <v>#N/A</v>
      </c>
      <c r="X67" s="54" t="e">
        <f aca="false">IF(OR($E67&lt;=X$29,X$39&lt;=X$22),0,IF(AND($E67=X$29+1,$E67&lt;X$30+1),X$32,IF($E67&lt;=X$30,0.5*X$9*$B$83*(2*$E67-2*X$21-1)/(X$22-X$21),IF($E67=X$30+1,X$45,IF($E67&lt;=X$36,X$50*X$31^($E67-X$22-1),IF($E67=X$36+1,X$48,IF($E67&lt;=X$40,X$51*X$38^($E67-X$35-1),IF($E67=X$40+1,X$49,0))))))))</f>
        <v>#N/A</v>
      </c>
      <c r="Y67" s="54" t="e">
        <f aca="false">IF(OR($E67&lt;=Y$29,Y$39&lt;=Y$22),0,IF(AND($E67=Y$29+1,$E67&lt;Y$30+1),Y$32,IF($E67&lt;=Y$30,0.5*Y$9*$B$83*(2*$E67-2*Y$21-1)/(Y$22-Y$21),IF($E67=Y$30+1,Y$45,IF($E67&lt;=Y$36,Y$50*Y$31^($E67-Y$22-1),IF($E67=Y$36+1,Y$48,IF($E67&lt;=Y$40,Y$51*Y$38^($E67-Y$35-1),IF($E67=Y$40+1,Y$49,0))))))))</f>
        <v>#N/A</v>
      </c>
      <c r="Z67" s="54" t="e">
        <f aca="false">IF(OR($E67&lt;=Z$29,Z$39&lt;=Z$22),0,IF(AND($E67=Z$29+1,$E67&lt;Z$30+1),Z$32,IF($E67&lt;=Z$30,0.5*Z$9*$B$83*(2*$E67-2*Z$21-1)/(Z$22-Z$21),IF($E67=Z$30+1,Z$45,IF($E67&lt;=Z$36,Z$50*Z$31^($E67-Z$22-1),IF($E67=Z$36+1,Z$48,IF($E67&lt;=Z$40,Z$51*Z$38^($E67-Z$35-1),IF($E67=Z$40+1,Z$49,0))))))))</f>
        <v>#N/A</v>
      </c>
      <c r="AA67" s="54" t="e">
        <f aca="false">SUM(F67:Z67)</f>
        <v>#VALUE!</v>
      </c>
    </row>
    <row r="68" customFormat="false" ht="11.25" hidden="false" customHeight="false" outlineLevel="0" collapsed="false">
      <c r="A68" s="12"/>
      <c r="B68" s="12"/>
      <c r="D68" s="60" t="n">
        <f aca="false">+S3</f>
        <v>2012</v>
      </c>
      <c r="E68" s="5" t="n">
        <f aca="false">+E67+1</f>
        <v>14</v>
      </c>
      <c r="F68" s="54" t="e">
        <f aca="false">(IF(OR($E68&lt;=F$29,F$39&lt;=F$22),0,IF(AND($E68=F$29+1,$E68&lt;F$30+1),F$32,IF($E68&lt;=F$30,0.5*F$9*$B$83*(2*$E68-2*F$21-1)/(F$22-F$21),IF($E68=F$30+1,F$45,IF($E68&lt;=F$36,F$50*F$31^($E68-F$22-1),IF($E68=F$36+1,F$48,IF($E68&lt;=F$40,F$51*F$38^($E68-F$35-1),IF($E68=F$40+1,F$49,0)))))))))</f>
        <v>#VALUE!</v>
      </c>
      <c r="G68" s="54" t="e">
        <f aca="false">IF(OR($E68&lt;=G$29,G$39&lt;=G$22),0,IF(AND($E68=G$29+1,$E68&lt;G$30+1),G$32,IF($E68&lt;=G$30,0.5*G$9*$B$83*(2*$E68-2*G$21-1)/(G$22-G$21),IF($E68=G$30+1,G$45,IF($E68&lt;=G$36,G$50*G$31^($E68-G$22-1),IF($E68=G$36+1,G$48,IF($E68&lt;=G$40,G$51*G$38^($E68-G$35-1),IF($E68=G$40+1,G$49,0))))))))</f>
        <v>#VALUE!</v>
      </c>
      <c r="H68" s="54" t="e">
        <f aca="false">IF(OR($E68&lt;=H$29,H$39&lt;=H$22),0,IF(AND($E68=H$29+1,$E68&lt;H$30+1),H$32,IF($E68&lt;=H$30,0.5*H$9*$B$83*(2*$E68-2*H$21-1)/(H$22-H$21),IF($E68=H$30+1,H$45,IF($E68&lt;=H$36,H$50*H$31^($E68-H$22-1),IF($E68=H$36+1,H$48,IF($E68&lt;=H$40,H$51*H$38^($E68-H$35-1),IF($E68=H$40+1,H$49,0))))))))</f>
        <v>#N/A</v>
      </c>
      <c r="I68" s="54" t="e">
        <f aca="false">IF(OR($E68&lt;=I$29,I$39&lt;=I$22),0,IF(AND($E68=I$29+1,$E68&lt;I$30+1),I$32,IF($E68&lt;=I$30,0.5*I$9*$B$83*(2*$E68-2*I$21-1)/(I$22-I$21),IF($E68=I$30+1,I$45,IF($E68&lt;=I$36,I$50*I$31^($E68-I$22-1),IF($E68=I$36+1,I$48,IF($E68&lt;=I$40,I$51*I$38^($E68-I$35-1),IF($E68=I$40+1,I$49,0))))))))</f>
        <v>#N/A</v>
      </c>
      <c r="J68" s="54" t="e">
        <f aca="false">IF(OR($E68&lt;=J$29,J$39&lt;=J$22),0,IF(AND($E68=J$29+1,$E68&lt;J$30+1),J$32,IF($E68&lt;=J$30,0.5*J$9*$B$83*(2*$E68-2*J$21-1)/(J$22-J$21),IF($E68=J$30+1,J$45,IF($E68&lt;=J$36,J$50*J$31^($E68-J$22-1),IF($E68=J$36+1,J$48,IF($E68&lt;=J$40,J$51*J$38^($E68-J$35-1),IF($E68=J$40+1,J$49,0))))))))</f>
        <v>#N/A</v>
      </c>
      <c r="K68" s="54" t="e">
        <f aca="false">IF(OR($E68&lt;=K$29,K$39&lt;=K$22),0,IF(AND($E68=K$29+1,$E68&lt;K$30+1),K$32,IF($E68&lt;=K$30,0.5*K$9*$B$83*(2*$E68-2*K$21-1)/(K$22-K$21),IF($E68=K$30+1,K$45,IF($E68&lt;=K$36,K$50*K$31^($E68-K$22-1),IF($E68=K$36+1,K$48,IF($E68&lt;=K$40,K$51*K$38^($E68-K$35-1),IF($E68=K$40+1,K$49,0))))))))</f>
        <v>#N/A</v>
      </c>
      <c r="L68" s="54" t="e">
        <f aca="false">IF(OR($E68&lt;=L$29,L$39&lt;=L$22),0,IF(AND($E68=L$29+1,$E68&lt;L$30+1),L$32,IF($E68&lt;=L$30,0.5*L$9*$B$83*(2*$E68-2*L$21-1)/(L$22-L$21),IF($E68=L$30+1,L$45,IF($E68&lt;=L$36,L$50*L$31^($E68-L$22-1),IF($E68=L$36+1,L$48,IF($E68&lt;=L$40,L$51*L$38^($E68-L$35-1),IF($E68=L$40+1,L$49,0))))))))</f>
        <v>#N/A</v>
      </c>
      <c r="M68" s="54" t="e">
        <f aca="false">IF(OR($E68&lt;=M$29,M$39&lt;=M$22),0,IF(AND($E68=M$29+1,$E68&lt;M$30+1),M$32,IF($E68&lt;=M$30,0.5*M$9*$B$83*(2*$E68-2*M$21-1)/(M$22-M$21),IF($E68=M$30+1,M$45,IF($E68&lt;=M$36,M$50*M$31^($E68-M$22-1),IF($E68=M$36+1,M$48,IF($E68&lt;=M$40,M$51*M$38^($E68-M$35-1),IF($E68=M$40+1,M$49,0))))))))</f>
        <v>#N/A</v>
      </c>
      <c r="N68" s="54" t="e">
        <f aca="false">IF(OR($E68&lt;=N$29,N$39&lt;=N$22),0,IF(AND($E68=N$29+1,$E68&lt;N$30+1),N$32,IF($E68&lt;=N$30,0.5*N$9*$B$83*(2*$E68-2*N$21-1)/(N$22-N$21),IF($E68=N$30+1,N$45,IF($E68&lt;=N$36,N$50*N$31^($E68-N$22-1),IF($E68=N$36+1,N$48,IF($E68&lt;=N$40,N$51*N$38^($E68-N$35-1),IF($E68=N$40+1,N$49,0))))))))</f>
        <v>#N/A</v>
      </c>
      <c r="O68" s="54" t="e">
        <f aca="false">IF(OR($E68&lt;=O$29,O$39&lt;=O$22),0,IF(AND($E68=O$29+1,$E68&lt;O$30+1),O$32,IF($E68&lt;=O$30,0.5*O$9*$B$83*(2*$E68-2*O$21-1)/(O$22-O$21),IF($E68=O$30+1,O$45,IF($E68&lt;=O$36,O$50*O$31^($E68-O$22-1),IF($E68=O$36+1,O$48,IF($E68&lt;=O$40,O$51*O$38^($E68-O$35-1),IF($E68=O$40+1,O$49,0))))))))</f>
        <v>#N/A</v>
      </c>
      <c r="P68" s="54" t="e">
        <f aca="false">IF(OR($E68&lt;=P$29,P$39&lt;=P$22),0,IF(AND($E68=P$29+1,$E68&lt;P$30+1),P$32,IF($E68&lt;=P$30,0.5*P$9*$B$83*(2*$E68-2*P$21-1)/(P$22-P$21),IF($E68=P$30+1,P$45,IF($E68&lt;=P$36,P$50*P$31^($E68-P$22-1),IF($E68=P$36+1,P$48,IF($E68&lt;=P$40,P$51*P$38^($E68-P$35-1),IF($E68=P$40+1,P$49,0))))))))</f>
        <v>#N/A</v>
      </c>
      <c r="Q68" s="54" t="e">
        <f aca="false">IF(OR($E68&lt;=Q$29,Q$39&lt;=Q$22),0,IF(AND($E68=Q$29+1,$E68&lt;Q$30+1),Q$32,IF($E68&lt;=Q$30,0.5*Q$9*$B$83*(2*$E68-2*Q$21-1)/(Q$22-Q$21),IF($E68=Q$30+1,Q$45,IF($E68&lt;=Q$36,Q$50*Q$31^($E68-Q$22-1),IF($E68=Q$36+1,Q$48,IF($E68&lt;=Q$40,Q$51*Q$38^($E68-Q$35-1),IF($E68=Q$40+1,Q$49,0))))))))</f>
        <v>#N/A</v>
      </c>
      <c r="R68" s="54" t="e">
        <f aca="false">IF(OR($E68&lt;=R$29,R$39&lt;=R$22),0,IF(AND($E68=R$29+1,$E68&lt;R$30+1),R$32,IF($E68&lt;=R$30,0.5*R$9*$B$83*(2*$E68-2*R$21-1)/(R$22-R$21),IF($E68=R$30+1,R$45,IF($E68&lt;=R$36,R$50*R$31^($E68-R$22-1),IF($E68=R$36+1,R$48,IF($E68&lt;=R$40,R$51*R$38^($E68-R$35-1),IF($E68=R$40+1,R$49,0))))))))</f>
        <v>#N/A</v>
      </c>
      <c r="S68" s="54" t="e">
        <f aca="false">IF(OR($E68&lt;=S$29,S$39&lt;=S$22),0,IF(AND($E68=S$29+1,$E68&lt;S$30+1),S$32,IF($E68&lt;=S$30,0.5*S$9*$B$83*(2*$E68-2*S$21-1)/(S$22-S$21),IF($E68=S$30+1,S$45,IF($E68&lt;=S$36,S$50*S$31^($E68-S$22-1),IF($E68=S$36+1,S$48,IF($E68&lt;=S$40,S$51*S$38^($E68-S$35-1),IF($E68=S$40+1,S$49,0))))))))</f>
        <v>#N/A</v>
      </c>
      <c r="T68" s="54" t="e">
        <f aca="false">IF(OR($E68&lt;=T$29,T$39&lt;=T$22),0,IF(AND($E68=T$29+1,$E68&lt;T$30+1),T$32,IF($E68&lt;=T$30,0.5*T$9*$B$83*(2*$E68-2*T$21-1)/(T$22-T$21),IF($E68=T$30+1,T$45,IF($E68&lt;=T$36,T$50*T$31^($E68-T$22-1),IF($E68=T$36+1,T$48,IF($E68&lt;=T$40,T$51*T$38^($E68-T$35-1),IF($E68=T$40+1,T$49,0))))))))</f>
        <v>#N/A</v>
      </c>
      <c r="U68" s="54" t="e">
        <f aca="false">IF(OR($E68&lt;=U$29,U$39&lt;=U$22),0,IF(AND($E68=U$29+1,$E68&lt;U$30+1),U$32,IF($E68&lt;=U$30,0.5*U$9*$B$83*(2*$E68-2*U$21-1)/(U$22-U$21),IF($E68=U$30+1,U$45,IF($E68&lt;=U$36,U$50*U$31^($E68-U$22-1),IF($E68=U$36+1,U$48,IF($E68&lt;=U$40,U$51*U$38^($E68-U$35-1),IF($E68=U$40+1,U$49,0))))))))</f>
        <v>#N/A</v>
      </c>
      <c r="V68" s="54" t="e">
        <f aca="false">IF(OR($E68&lt;=V$29,V$39&lt;=V$22),0,IF(AND($E68=V$29+1,$E68&lt;V$30+1),V$32,IF($E68&lt;=V$30,0.5*V$9*$B$83*(2*$E68-2*V$21-1)/(V$22-V$21),IF($E68=V$30+1,V$45,IF($E68&lt;=V$36,V$50*V$31^($E68-V$22-1),IF($E68=V$36+1,V$48,IF($E68&lt;=V$40,V$51*V$38^($E68-V$35-1),IF($E68=V$40+1,V$49,0))))))))</f>
        <v>#N/A</v>
      </c>
      <c r="W68" s="54" t="e">
        <f aca="false">IF(OR($E68&lt;=W$29,W$39&lt;=W$22),0,IF(AND($E68=W$29+1,$E68&lt;W$30+1),W$32,IF($E68&lt;=W$30,0.5*W$9*$B$83*(2*$E68-2*W$21-1)/(W$22-W$21),IF($E68=W$30+1,W$45,IF($E68&lt;=W$36,W$50*W$31^($E68-W$22-1),IF($E68=W$36+1,W$48,IF($E68&lt;=W$40,W$51*W$38^($E68-W$35-1),IF($E68=W$40+1,W$49,0))))))))</f>
        <v>#N/A</v>
      </c>
      <c r="X68" s="54" t="e">
        <f aca="false">IF(OR($E68&lt;=X$29,X$39&lt;=X$22),0,IF(AND($E68=X$29+1,$E68&lt;X$30+1),X$32,IF($E68&lt;=X$30,0.5*X$9*$B$83*(2*$E68-2*X$21-1)/(X$22-X$21),IF($E68=X$30+1,X$45,IF($E68&lt;=X$36,X$50*X$31^($E68-X$22-1),IF($E68=X$36+1,X$48,IF($E68&lt;=X$40,X$51*X$38^($E68-X$35-1),IF($E68=X$40+1,X$49,0))))))))</f>
        <v>#N/A</v>
      </c>
      <c r="Y68" s="54" t="e">
        <f aca="false">IF(OR($E68&lt;=Y$29,Y$39&lt;=Y$22),0,IF(AND($E68=Y$29+1,$E68&lt;Y$30+1),Y$32,IF($E68&lt;=Y$30,0.5*Y$9*$B$83*(2*$E68-2*Y$21-1)/(Y$22-Y$21),IF($E68=Y$30+1,Y$45,IF($E68&lt;=Y$36,Y$50*Y$31^($E68-Y$22-1),IF($E68=Y$36+1,Y$48,IF($E68&lt;=Y$40,Y$51*Y$38^($E68-Y$35-1),IF($E68=Y$40+1,Y$49,0))))))))</f>
        <v>#N/A</v>
      </c>
      <c r="Z68" s="54" t="e">
        <f aca="false">IF(OR($E68&lt;=Z$29,Z$39&lt;=Z$22),0,IF(AND($E68=Z$29+1,$E68&lt;Z$30+1),Z$32,IF($E68&lt;=Z$30,0.5*Z$9*$B$83*(2*$E68-2*Z$21-1)/(Z$22-Z$21),IF($E68=Z$30+1,Z$45,IF($E68&lt;=Z$36,Z$50*Z$31^($E68-Z$22-1),IF($E68=Z$36+1,Z$48,IF($E68&lt;=Z$40,Z$51*Z$38^($E68-Z$35-1),IF($E68=Z$40+1,Z$49,0))))))))</f>
        <v>#N/A</v>
      </c>
      <c r="AA68" s="54" t="e">
        <f aca="false">SUM(F68:Z68)</f>
        <v>#VALUE!</v>
      </c>
    </row>
    <row r="69" customFormat="false" ht="11.25" hidden="false" customHeight="false" outlineLevel="0" collapsed="false">
      <c r="A69" s="12"/>
      <c r="B69" s="12"/>
      <c r="D69" s="60" t="n">
        <f aca="false">+T3</f>
        <v>2013</v>
      </c>
      <c r="E69" s="5" t="n">
        <f aca="false">+E68+1</f>
        <v>15</v>
      </c>
      <c r="F69" s="54" t="e">
        <f aca="false">(IF(OR($E69&lt;=F$29,F$39&lt;=F$22),0,IF(AND($E69=F$29+1,$E69&lt;F$30+1),F$32,IF($E69&lt;=F$30,0.5*F$9*$B$83*(2*$E69-2*F$21-1)/(F$22-F$21),IF($E69=F$30+1,F$45,IF($E69&lt;=F$36,F$50*F$31^($E69-F$22-1),IF($E69=F$36+1,F$48,IF($E69&lt;=F$40,F$51*F$38^($E69-F$35-1),IF($E69=F$40+1,F$49,0)))))))))</f>
        <v>#VALUE!</v>
      </c>
      <c r="G69" s="54" t="e">
        <f aca="false">IF(OR($E69&lt;=G$29,G$39&lt;=G$22),0,IF(AND($E69=G$29+1,$E69&lt;G$30+1),G$32,IF($E69&lt;=G$30,0.5*G$9*$B$83*(2*$E69-2*G$21-1)/(G$22-G$21),IF($E69=G$30+1,G$45,IF($E69&lt;=G$36,G$50*G$31^($E69-G$22-1),IF($E69=G$36+1,G$48,IF($E69&lt;=G$40,G$51*G$38^($E69-G$35-1),IF($E69=G$40+1,G$49,0))))))))</f>
        <v>#VALUE!</v>
      </c>
      <c r="H69" s="54" t="e">
        <f aca="false">IF(OR($E69&lt;=H$29,H$39&lt;=H$22),0,IF(AND($E69=H$29+1,$E69&lt;H$30+1),H$32,IF($E69&lt;=H$30,0.5*H$9*$B$83*(2*$E69-2*H$21-1)/(H$22-H$21),IF($E69=H$30+1,H$45,IF($E69&lt;=H$36,H$50*H$31^($E69-H$22-1),IF($E69=H$36+1,H$48,IF($E69&lt;=H$40,H$51*H$38^($E69-H$35-1),IF($E69=H$40+1,H$49,0))))))))</f>
        <v>#N/A</v>
      </c>
      <c r="I69" s="54" t="e">
        <f aca="false">IF(OR($E69&lt;=I$29,I$39&lt;=I$22),0,IF(AND($E69=I$29+1,$E69&lt;I$30+1),I$32,IF($E69&lt;=I$30,0.5*I$9*$B$83*(2*$E69-2*I$21-1)/(I$22-I$21),IF($E69=I$30+1,I$45,IF($E69&lt;=I$36,I$50*I$31^($E69-I$22-1),IF($E69=I$36+1,I$48,IF($E69&lt;=I$40,I$51*I$38^($E69-I$35-1),IF($E69=I$40+1,I$49,0))))))))</f>
        <v>#N/A</v>
      </c>
      <c r="J69" s="54" t="e">
        <f aca="false">IF(OR($E69&lt;=J$29,J$39&lt;=J$22),0,IF(AND($E69=J$29+1,$E69&lt;J$30+1),J$32,IF($E69&lt;=J$30,0.5*J$9*$B$83*(2*$E69-2*J$21-1)/(J$22-J$21),IF($E69=J$30+1,J$45,IF($E69&lt;=J$36,J$50*J$31^($E69-J$22-1),IF($E69=J$36+1,J$48,IF($E69&lt;=J$40,J$51*J$38^($E69-J$35-1),IF($E69=J$40+1,J$49,0))))))))</f>
        <v>#N/A</v>
      </c>
      <c r="K69" s="54" t="e">
        <f aca="false">IF(OR($E69&lt;=K$29,K$39&lt;=K$22),0,IF(AND($E69=K$29+1,$E69&lt;K$30+1),K$32,IF($E69&lt;=K$30,0.5*K$9*$B$83*(2*$E69-2*K$21-1)/(K$22-K$21),IF($E69=K$30+1,K$45,IF($E69&lt;=K$36,K$50*K$31^($E69-K$22-1),IF($E69=K$36+1,K$48,IF($E69&lt;=K$40,K$51*K$38^($E69-K$35-1),IF($E69=K$40+1,K$49,0))))))))</f>
        <v>#N/A</v>
      </c>
      <c r="L69" s="54" t="e">
        <f aca="false">IF(OR($E69&lt;=L$29,L$39&lt;=L$22),0,IF(AND($E69=L$29+1,$E69&lt;L$30+1),L$32,IF($E69&lt;=L$30,0.5*L$9*$B$83*(2*$E69-2*L$21-1)/(L$22-L$21),IF($E69=L$30+1,L$45,IF($E69&lt;=L$36,L$50*L$31^($E69-L$22-1),IF($E69=L$36+1,L$48,IF($E69&lt;=L$40,L$51*L$38^($E69-L$35-1),IF($E69=L$40+1,L$49,0))))))))</f>
        <v>#N/A</v>
      </c>
      <c r="M69" s="54" t="e">
        <f aca="false">IF(OR($E69&lt;=M$29,M$39&lt;=M$22),0,IF(AND($E69=M$29+1,$E69&lt;M$30+1),M$32,IF($E69&lt;=M$30,0.5*M$9*$B$83*(2*$E69-2*M$21-1)/(M$22-M$21),IF($E69=M$30+1,M$45,IF($E69&lt;=M$36,M$50*M$31^($E69-M$22-1),IF($E69=M$36+1,M$48,IF($E69&lt;=M$40,M$51*M$38^($E69-M$35-1),IF($E69=M$40+1,M$49,0))))))))</f>
        <v>#N/A</v>
      </c>
      <c r="N69" s="54" t="e">
        <f aca="false">IF(OR($E69&lt;=N$29,N$39&lt;=N$22),0,IF(AND($E69=N$29+1,$E69&lt;N$30+1),N$32,IF($E69&lt;=N$30,0.5*N$9*$B$83*(2*$E69-2*N$21-1)/(N$22-N$21),IF($E69=N$30+1,N$45,IF($E69&lt;=N$36,N$50*N$31^($E69-N$22-1),IF($E69=N$36+1,N$48,IF($E69&lt;=N$40,N$51*N$38^($E69-N$35-1),IF($E69=N$40+1,N$49,0))))))))</f>
        <v>#N/A</v>
      </c>
      <c r="O69" s="54" t="e">
        <f aca="false">IF(OR($E69&lt;=O$29,O$39&lt;=O$22),0,IF(AND($E69=O$29+1,$E69&lt;O$30+1),O$32,IF($E69&lt;=O$30,0.5*O$9*$B$83*(2*$E69-2*O$21-1)/(O$22-O$21),IF($E69=O$30+1,O$45,IF($E69&lt;=O$36,O$50*O$31^($E69-O$22-1),IF($E69=O$36+1,O$48,IF($E69&lt;=O$40,O$51*O$38^($E69-O$35-1),IF($E69=O$40+1,O$49,0))))))))</f>
        <v>#N/A</v>
      </c>
      <c r="P69" s="54" t="e">
        <f aca="false">IF(OR($E69&lt;=P$29,P$39&lt;=P$22),0,IF(AND($E69=P$29+1,$E69&lt;P$30+1),P$32,IF($E69&lt;=P$30,0.5*P$9*$B$83*(2*$E69-2*P$21-1)/(P$22-P$21),IF($E69=P$30+1,P$45,IF($E69&lt;=P$36,P$50*P$31^($E69-P$22-1),IF($E69=P$36+1,P$48,IF($E69&lt;=P$40,P$51*P$38^($E69-P$35-1),IF($E69=P$40+1,P$49,0))))))))</f>
        <v>#N/A</v>
      </c>
      <c r="Q69" s="54" t="e">
        <f aca="false">IF(OR($E69&lt;=Q$29,Q$39&lt;=Q$22),0,IF(AND($E69=Q$29+1,$E69&lt;Q$30+1),Q$32,IF($E69&lt;=Q$30,0.5*Q$9*$B$83*(2*$E69-2*Q$21-1)/(Q$22-Q$21),IF($E69=Q$30+1,Q$45,IF($E69&lt;=Q$36,Q$50*Q$31^($E69-Q$22-1),IF($E69=Q$36+1,Q$48,IF($E69&lt;=Q$40,Q$51*Q$38^($E69-Q$35-1),IF($E69=Q$40+1,Q$49,0))))))))</f>
        <v>#N/A</v>
      </c>
      <c r="R69" s="54" t="e">
        <f aca="false">IF(OR($E69&lt;=R$29,R$39&lt;=R$22),0,IF(AND($E69=R$29+1,$E69&lt;R$30+1),R$32,IF($E69&lt;=R$30,0.5*R$9*$B$83*(2*$E69-2*R$21-1)/(R$22-R$21),IF($E69=R$30+1,R$45,IF($E69&lt;=R$36,R$50*R$31^($E69-R$22-1),IF($E69=R$36+1,R$48,IF($E69&lt;=R$40,R$51*R$38^($E69-R$35-1),IF($E69=R$40+1,R$49,0))))))))</f>
        <v>#N/A</v>
      </c>
      <c r="S69" s="54" t="e">
        <f aca="false">IF(OR($E69&lt;=S$29,S$39&lt;=S$22),0,IF(AND($E69=S$29+1,$E69&lt;S$30+1),S$32,IF($E69&lt;=S$30,0.5*S$9*$B$83*(2*$E69-2*S$21-1)/(S$22-S$21),IF($E69=S$30+1,S$45,IF($E69&lt;=S$36,S$50*S$31^($E69-S$22-1),IF($E69=S$36+1,S$48,IF($E69&lt;=S$40,S$51*S$38^($E69-S$35-1),IF($E69=S$40+1,S$49,0))))))))</f>
        <v>#N/A</v>
      </c>
      <c r="T69" s="54" t="e">
        <f aca="false">IF(OR($E69&lt;=T$29,T$39&lt;=T$22),0,IF(AND($E69=T$29+1,$E69&lt;T$30+1),T$32,IF($E69&lt;=T$30,0.5*T$9*$B$83*(2*$E69-2*T$21-1)/(T$22-T$21),IF($E69=T$30+1,T$45,IF($E69&lt;=T$36,T$50*T$31^($E69-T$22-1),IF($E69=T$36+1,T$48,IF($E69&lt;=T$40,T$51*T$38^($E69-T$35-1),IF($E69=T$40+1,T$49,0))))))))</f>
        <v>#N/A</v>
      </c>
      <c r="U69" s="54" t="e">
        <f aca="false">IF(OR($E69&lt;=U$29,U$39&lt;=U$22),0,IF(AND($E69=U$29+1,$E69&lt;U$30+1),U$32,IF($E69&lt;=U$30,0.5*U$9*$B$83*(2*$E69-2*U$21-1)/(U$22-U$21),IF($E69=U$30+1,U$45,IF($E69&lt;=U$36,U$50*U$31^($E69-U$22-1),IF($E69=U$36+1,U$48,IF($E69&lt;=U$40,U$51*U$38^($E69-U$35-1),IF($E69=U$40+1,U$49,0))))))))</f>
        <v>#N/A</v>
      </c>
      <c r="V69" s="54" t="e">
        <f aca="false">IF(OR($E69&lt;=V$29,V$39&lt;=V$22),0,IF(AND($E69=V$29+1,$E69&lt;V$30+1),V$32,IF($E69&lt;=V$30,0.5*V$9*$B$83*(2*$E69-2*V$21-1)/(V$22-V$21),IF($E69=V$30+1,V$45,IF($E69&lt;=V$36,V$50*V$31^($E69-V$22-1),IF($E69=V$36+1,V$48,IF($E69&lt;=V$40,V$51*V$38^($E69-V$35-1),IF($E69=V$40+1,V$49,0))))))))</f>
        <v>#N/A</v>
      </c>
      <c r="W69" s="54" t="e">
        <f aca="false">IF(OR($E69&lt;=W$29,W$39&lt;=W$22),0,IF(AND($E69=W$29+1,$E69&lt;W$30+1),W$32,IF($E69&lt;=W$30,0.5*W$9*$B$83*(2*$E69-2*W$21-1)/(W$22-W$21),IF($E69=W$30+1,W$45,IF($E69&lt;=W$36,W$50*W$31^($E69-W$22-1),IF($E69=W$36+1,W$48,IF($E69&lt;=W$40,W$51*W$38^($E69-W$35-1),IF($E69=W$40+1,W$49,0))))))))</f>
        <v>#N/A</v>
      </c>
      <c r="X69" s="54" t="e">
        <f aca="false">IF(OR($E69&lt;=X$29,X$39&lt;=X$22),0,IF(AND($E69=X$29+1,$E69&lt;X$30+1),X$32,IF($E69&lt;=X$30,0.5*X$9*$B$83*(2*$E69-2*X$21-1)/(X$22-X$21),IF($E69=X$30+1,X$45,IF($E69&lt;=X$36,X$50*X$31^($E69-X$22-1),IF($E69=X$36+1,X$48,IF($E69&lt;=X$40,X$51*X$38^($E69-X$35-1),IF($E69=X$40+1,X$49,0))))))))</f>
        <v>#N/A</v>
      </c>
      <c r="Y69" s="54" t="e">
        <f aca="false">IF(OR($E69&lt;=Y$29,Y$39&lt;=Y$22),0,IF(AND($E69=Y$29+1,$E69&lt;Y$30+1),Y$32,IF($E69&lt;=Y$30,0.5*Y$9*$B$83*(2*$E69-2*Y$21-1)/(Y$22-Y$21),IF($E69=Y$30+1,Y$45,IF($E69&lt;=Y$36,Y$50*Y$31^($E69-Y$22-1),IF($E69=Y$36+1,Y$48,IF($E69&lt;=Y$40,Y$51*Y$38^($E69-Y$35-1),IF($E69=Y$40+1,Y$49,0))))))))</f>
        <v>#N/A</v>
      </c>
      <c r="Z69" s="54" t="e">
        <f aca="false">IF(OR($E69&lt;=Z$29,Z$39&lt;=Z$22),0,IF(AND($E69=Z$29+1,$E69&lt;Z$30+1),Z$32,IF($E69&lt;=Z$30,0.5*Z$9*$B$83*(2*$E69-2*Z$21-1)/(Z$22-Z$21),IF($E69=Z$30+1,Z$45,IF($E69&lt;=Z$36,Z$50*Z$31^($E69-Z$22-1),IF($E69=Z$36+1,Z$48,IF($E69&lt;=Z$40,Z$51*Z$38^($E69-Z$35-1),IF($E69=Z$40+1,Z$49,0))))))))</f>
        <v>#N/A</v>
      </c>
      <c r="AA69" s="54" t="e">
        <f aca="false">SUM(F69:Z69)</f>
        <v>#VALUE!</v>
      </c>
    </row>
    <row r="70" customFormat="false" ht="11.25" hidden="false" customHeight="false" outlineLevel="0" collapsed="false">
      <c r="A70" s="12"/>
      <c r="B70" s="12"/>
      <c r="D70" s="60" t="n">
        <f aca="false">+U3</f>
        <v>2014</v>
      </c>
      <c r="E70" s="5" t="n">
        <f aca="false">+E69+1</f>
        <v>16</v>
      </c>
      <c r="F70" s="54" t="e">
        <f aca="false">(IF(OR($E70&lt;=F$29,F$39&lt;=F$22),0,IF(AND($E70=F$29+1,$E70&lt;F$30+1),F$32,IF($E70&lt;=F$30,0.5*F$9*$B$83*(2*$E70-2*F$21-1)/(F$22-F$21),IF($E70=F$30+1,F$45,IF($E70&lt;=F$36,F$50*F$31^($E70-F$22-1),IF($E70=F$36+1,F$48,IF($E70&lt;=F$40,F$51*F$38^($E70-F$35-1),IF($E70=F$40+1,F$49,0)))))))))</f>
        <v>#VALUE!</v>
      </c>
      <c r="G70" s="54" t="e">
        <f aca="false">IF(OR($E70&lt;=G$29,G$39&lt;=G$22),0,IF(AND($E70=G$29+1,$E70&lt;G$30+1),G$32,IF($E70&lt;=G$30,0.5*G$9*$B$83*(2*$E70-2*G$21-1)/(G$22-G$21),IF($E70=G$30+1,G$45,IF($E70&lt;=G$36,G$50*G$31^($E70-G$22-1),IF($E70=G$36+1,G$48,IF($E70&lt;=G$40,G$51*G$38^($E70-G$35-1),IF($E70=G$40+1,G$49,0))))))))</f>
        <v>#VALUE!</v>
      </c>
      <c r="H70" s="54" t="e">
        <f aca="false">IF(OR($E70&lt;=H$29,H$39&lt;=H$22),0,IF(AND($E70=H$29+1,$E70&lt;H$30+1),H$32,IF($E70&lt;=H$30,0.5*H$9*$B$83*(2*$E70-2*H$21-1)/(H$22-H$21),IF($E70=H$30+1,H$45,IF($E70&lt;=H$36,H$50*H$31^($E70-H$22-1),IF($E70=H$36+1,H$48,IF($E70&lt;=H$40,H$51*H$38^($E70-H$35-1),IF($E70=H$40+1,H$49,0))))))))</f>
        <v>#N/A</v>
      </c>
      <c r="I70" s="54" t="e">
        <f aca="false">IF(OR($E70&lt;=I$29,I$39&lt;=I$22),0,IF(AND($E70=I$29+1,$E70&lt;I$30+1),I$32,IF($E70&lt;=I$30,0.5*I$9*$B$83*(2*$E70-2*I$21-1)/(I$22-I$21),IF($E70=I$30+1,I$45,IF($E70&lt;=I$36,I$50*I$31^($E70-I$22-1),IF($E70=I$36+1,I$48,IF($E70&lt;=I$40,I$51*I$38^($E70-I$35-1),IF($E70=I$40+1,I$49,0))))))))</f>
        <v>#N/A</v>
      </c>
      <c r="J70" s="54" t="e">
        <f aca="false">IF(OR($E70&lt;=J$29,J$39&lt;=J$22),0,IF(AND($E70=J$29+1,$E70&lt;J$30+1),J$32,IF($E70&lt;=J$30,0.5*J$9*$B$83*(2*$E70-2*J$21-1)/(J$22-J$21),IF($E70=J$30+1,J$45,IF($E70&lt;=J$36,J$50*J$31^($E70-J$22-1),IF($E70=J$36+1,J$48,IF($E70&lt;=J$40,J$51*J$38^($E70-J$35-1),IF($E70=J$40+1,J$49,0))))))))</f>
        <v>#N/A</v>
      </c>
      <c r="K70" s="54" t="e">
        <f aca="false">IF(OR($E70&lt;=K$29,K$39&lt;=K$22),0,IF(AND($E70=K$29+1,$E70&lt;K$30+1),K$32,IF($E70&lt;=K$30,0.5*K$9*$B$83*(2*$E70-2*K$21-1)/(K$22-K$21),IF($E70=K$30+1,K$45,IF($E70&lt;=K$36,K$50*K$31^($E70-K$22-1),IF($E70=K$36+1,K$48,IF($E70&lt;=K$40,K$51*K$38^($E70-K$35-1),IF($E70=K$40+1,K$49,0))))))))</f>
        <v>#N/A</v>
      </c>
      <c r="L70" s="54" t="e">
        <f aca="false">IF(OR($E70&lt;=L$29,L$39&lt;=L$22),0,IF(AND($E70=L$29+1,$E70&lt;L$30+1),L$32,IF($E70&lt;=L$30,0.5*L$9*$B$83*(2*$E70-2*L$21-1)/(L$22-L$21),IF($E70=L$30+1,L$45,IF($E70&lt;=L$36,L$50*L$31^($E70-L$22-1),IF($E70=L$36+1,L$48,IF($E70&lt;=L$40,L$51*L$38^($E70-L$35-1),IF($E70=L$40+1,L$49,0))))))))</f>
        <v>#N/A</v>
      </c>
      <c r="M70" s="54" t="e">
        <f aca="false">IF(OR($E70&lt;=M$29,M$39&lt;=M$22),0,IF(AND($E70=M$29+1,$E70&lt;M$30+1),M$32,IF($E70&lt;=M$30,0.5*M$9*$B$83*(2*$E70-2*M$21-1)/(M$22-M$21),IF($E70=M$30+1,M$45,IF($E70&lt;=M$36,M$50*M$31^($E70-M$22-1),IF($E70=M$36+1,M$48,IF($E70&lt;=M$40,M$51*M$38^($E70-M$35-1),IF($E70=M$40+1,M$49,0))))))))</f>
        <v>#N/A</v>
      </c>
      <c r="N70" s="54" t="e">
        <f aca="false">IF(OR($E70&lt;=N$29,N$39&lt;=N$22),0,IF(AND($E70=N$29+1,$E70&lt;N$30+1),N$32,IF($E70&lt;=N$30,0.5*N$9*$B$83*(2*$E70-2*N$21-1)/(N$22-N$21),IF($E70=N$30+1,N$45,IF($E70&lt;=N$36,N$50*N$31^($E70-N$22-1),IF($E70=N$36+1,N$48,IF($E70&lt;=N$40,N$51*N$38^($E70-N$35-1),IF($E70=N$40+1,N$49,0))))))))</f>
        <v>#N/A</v>
      </c>
      <c r="O70" s="54" t="e">
        <f aca="false">IF(OR($E70&lt;=O$29,O$39&lt;=O$22),0,IF(AND($E70=O$29+1,$E70&lt;O$30+1),O$32,IF($E70&lt;=O$30,0.5*O$9*$B$83*(2*$E70-2*O$21-1)/(O$22-O$21),IF($E70=O$30+1,O$45,IF($E70&lt;=O$36,O$50*O$31^($E70-O$22-1),IF($E70=O$36+1,O$48,IF($E70&lt;=O$40,O$51*O$38^($E70-O$35-1),IF($E70=O$40+1,O$49,0))))))))</f>
        <v>#N/A</v>
      </c>
      <c r="P70" s="54" t="e">
        <f aca="false">IF(OR($E70&lt;=P$29,P$39&lt;=P$22),0,IF(AND($E70=P$29+1,$E70&lt;P$30+1),P$32,IF($E70&lt;=P$30,0.5*P$9*$B$83*(2*$E70-2*P$21-1)/(P$22-P$21),IF($E70=P$30+1,P$45,IF($E70&lt;=P$36,P$50*P$31^($E70-P$22-1),IF($E70=P$36+1,P$48,IF($E70&lt;=P$40,P$51*P$38^($E70-P$35-1),IF($E70=P$40+1,P$49,0))))))))</f>
        <v>#N/A</v>
      </c>
      <c r="Q70" s="54" t="e">
        <f aca="false">IF(OR($E70&lt;=Q$29,Q$39&lt;=Q$22),0,IF(AND($E70=Q$29+1,$E70&lt;Q$30+1),Q$32,IF($E70&lt;=Q$30,0.5*Q$9*$B$83*(2*$E70-2*Q$21-1)/(Q$22-Q$21),IF($E70=Q$30+1,Q$45,IF($E70&lt;=Q$36,Q$50*Q$31^($E70-Q$22-1),IF($E70=Q$36+1,Q$48,IF($E70&lt;=Q$40,Q$51*Q$38^($E70-Q$35-1),IF($E70=Q$40+1,Q$49,0))))))))</f>
        <v>#N/A</v>
      </c>
      <c r="R70" s="54" t="e">
        <f aca="false">IF(OR($E70&lt;=R$29,R$39&lt;=R$22),0,IF(AND($E70=R$29+1,$E70&lt;R$30+1),R$32,IF($E70&lt;=R$30,0.5*R$9*$B$83*(2*$E70-2*R$21-1)/(R$22-R$21),IF($E70=R$30+1,R$45,IF($E70&lt;=R$36,R$50*R$31^($E70-R$22-1),IF($E70=R$36+1,R$48,IF($E70&lt;=R$40,R$51*R$38^($E70-R$35-1),IF($E70=R$40+1,R$49,0))))))))</f>
        <v>#N/A</v>
      </c>
      <c r="S70" s="54" t="e">
        <f aca="false">IF(OR($E70&lt;=S$29,S$39&lt;=S$22),0,IF(AND($E70=S$29+1,$E70&lt;S$30+1),S$32,IF($E70&lt;=S$30,0.5*S$9*$B$83*(2*$E70-2*S$21-1)/(S$22-S$21),IF($E70=S$30+1,S$45,IF($E70&lt;=S$36,S$50*S$31^($E70-S$22-1),IF($E70=S$36+1,S$48,IF($E70&lt;=S$40,S$51*S$38^($E70-S$35-1),IF($E70=S$40+1,S$49,0))))))))</f>
        <v>#N/A</v>
      </c>
      <c r="T70" s="54" t="e">
        <f aca="false">IF(OR($E70&lt;=T$29,T$39&lt;=T$22),0,IF(AND($E70=T$29+1,$E70&lt;T$30+1),T$32,IF($E70&lt;=T$30,0.5*T$9*$B$83*(2*$E70-2*T$21-1)/(T$22-T$21),IF($E70=T$30+1,T$45,IF($E70&lt;=T$36,T$50*T$31^($E70-T$22-1),IF($E70=T$36+1,T$48,IF($E70&lt;=T$40,T$51*T$38^($E70-T$35-1),IF($E70=T$40+1,T$49,0))))))))</f>
        <v>#N/A</v>
      </c>
      <c r="U70" s="54" t="e">
        <f aca="false">IF(OR($E70&lt;=U$29,U$39&lt;=U$22),0,IF(AND($E70=U$29+1,$E70&lt;U$30+1),U$32,IF($E70&lt;=U$30,0.5*U$9*$B$83*(2*$E70-2*U$21-1)/(U$22-U$21),IF($E70=U$30+1,U$45,IF($E70&lt;=U$36,U$50*U$31^($E70-U$22-1),IF($E70=U$36+1,U$48,IF($E70&lt;=U$40,U$51*U$38^($E70-U$35-1),IF($E70=U$40+1,U$49,0))))))))</f>
        <v>#N/A</v>
      </c>
      <c r="V70" s="54" t="e">
        <f aca="false">IF(OR($E70&lt;=V$29,V$39&lt;=V$22),0,IF(AND($E70=V$29+1,$E70&lt;V$30+1),V$32,IF($E70&lt;=V$30,0.5*V$9*$B$83*(2*$E70-2*V$21-1)/(V$22-V$21),IF($E70=V$30+1,V$45,IF($E70&lt;=V$36,V$50*V$31^($E70-V$22-1),IF($E70=V$36+1,V$48,IF($E70&lt;=V$40,V$51*V$38^($E70-V$35-1),IF($E70=V$40+1,V$49,0))))))))</f>
        <v>#N/A</v>
      </c>
      <c r="W70" s="54" t="e">
        <f aca="false">IF(OR($E70&lt;=W$29,W$39&lt;=W$22),0,IF(AND($E70=W$29+1,$E70&lt;W$30+1),W$32,IF($E70&lt;=W$30,0.5*W$9*$B$83*(2*$E70-2*W$21-1)/(W$22-W$21),IF($E70=W$30+1,W$45,IF($E70&lt;=W$36,W$50*W$31^($E70-W$22-1),IF($E70=W$36+1,W$48,IF($E70&lt;=W$40,W$51*W$38^($E70-W$35-1),IF($E70=W$40+1,W$49,0))))))))</f>
        <v>#N/A</v>
      </c>
      <c r="X70" s="54" t="e">
        <f aca="false">IF(OR($E70&lt;=X$29,X$39&lt;=X$22),0,IF(AND($E70=X$29+1,$E70&lt;X$30+1),X$32,IF($E70&lt;=X$30,0.5*X$9*$B$83*(2*$E70-2*X$21-1)/(X$22-X$21),IF($E70=X$30+1,X$45,IF($E70&lt;=X$36,X$50*X$31^($E70-X$22-1),IF($E70=X$36+1,X$48,IF($E70&lt;=X$40,X$51*X$38^($E70-X$35-1),IF($E70=X$40+1,X$49,0))))))))</f>
        <v>#N/A</v>
      </c>
      <c r="Y70" s="54" t="e">
        <f aca="false">IF(OR($E70&lt;=Y$29,Y$39&lt;=Y$22),0,IF(AND($E70=Y$29+1,$E70&lt;Y$30+1),Y$32,IF($E70&lt;=Y$30,0.5*Y$9*$B$83*(2*$E70-2*Y$21-1)/(Y$22-Y$21),IF($E70=Y$30+1,Y$45,IF($E70&lt;=Y$36,Y$50*Y$31^($E70-Y$22-1),IF($E70=Y$36+1,Y$48,IF($E70&lt;=Y$40,Y$51*Y$38^($E70-Y$35-1),IF($E70=Y$40+1,Y$49,0))))))))</f>
        <v>#N/A</v>
      </c>
      <c r="Z70" s="54" t="e">
        <f aca="false">IF(OR($E70&lt;=Z$29,Z$39&lt;=Z$22),0,IF(AND($E70=Z$29+1,$E70&lt;Z$30+1),Z$32,IF($E70&lt;=Z$30,0.5*Z$9*$B$83*(2*$E70-2*Z$21-1)/(Z$22-Z$21),IF($E70=Z$30+1,Z$45,IF($E70&lt;=Z$36,Z$50*Z$31^($E70-Z$22-1),IF($E70=Z$36+1,Z$48,IF($E70&lt;=Z$40,Z$51*Z$38^($E70-Z$35-1),IF($E70=Z$40+1,Z$49,0))))))))</f>
        <v>#N/A</v>
      </c>
      <c r="AA70" s="54" t="e">
        <f aca="false">SUM(F70:Z70)</f>
        <v>#VALUE!</v>
      </c>
    </row>
    <row r="71" customFormat="false" ht="11.25" hidden="false" customHeight="false" outlineLevel="0" collapsed="false">
      <c r="A71" s="12"/>
      <c r="B71" s="12"/>
      <c r="D71" s="60" t="n">
        <f aca="false">+V3</f>
        <v>2015</v>
      </c>
      <c r="E71" s="5" t="n">
        <f aca="false">+E70+1</f>
        <v>17</v>
      </c>
      <c r="F71" s="54" t="e">
        <f aca="false">(IF(OR($E71&lt;=F$29,F$39&lt;=F$22),0,IF(AND($E71=F$29+1,$E71&lt;F$30+1),F$32,IF($E71&lt;=F$30,0.5*F$9*$B$83*(2*$E71-2*F$21-1)/(F$22-F$21),IF($E71=F$30+1,F$45,IF($E71&lt;=F$36,F$50*F$31^($E71-F$22-1),IF($E71=F$36+1,F$48,IF($E71&lt;=F$40,F$51*F$38^($E71-F$35-1),IF($E71=F$40+1,F$49,0)))))))))</f>
        <v>#VALUE!</v>
      </c>
      <c r="G71" s="54" t="e">
        <f aca="false">IF(OR($E71&lt;=G$29,G$39&lt;=G$22),0,IF(AND($E71=G$29+1,$E71&lt;G$30+1),G$32,IF($E71&lt;=G$30,0.5*G$9*$B$83*(2*$E71-2*G$21-1)/(G$22-G$21),IF($E71=G$30+1,G$45,IF($E71&lt;=G$36,G$50*G$31^($E71-G$22-1),IF($E71=G$36+1,G$48,IF($E71&lt;=G$40,G$51*G$38^($E71-G$35-1),IF($E71=G$40+1,G$49,0))))))))</f>
        <v>#VALUE!</v>
      </c>
      <c r="H71" s="54" t="e">
        <f aca="false">IF(OR($E71&lt;=H$29,H$39&lt;=H$22),0,IF(AND($E71=H$29+1,$E71&lt;H$30+1),H$32,IF($E71&lt;=H$30,0.5*H$9*$B$83*(2*$E71-2*H$21-1)/(H$22-H$21),IF($E71=H$30+1,H$45,IF($E71&lt;=H$36,H$50*H$31^($E71-H$22-1),IF($E71=H$36+1,H$48,IF($E71&lt;=H$40,H$51*H$38^($E71-H$35-1),IF($E71=H$40+1,H$49,0))))))))</f>
        <v>#N/A</v>
      </c>
      <c r="I71" s="54" t="e">
        <f aca="false">IF(OR($E71&lt;=I$29,I$39&lt;=I$22),0,IF(AND($E71=I$29+1,$E71&lt;I$30+1),I$32,IF($E71&lt;=I$30,0.5*I$9*$B$83*(2*$E71-2*I$21-1)/(I$22-I$21),IF($E71=I$30+1,I$45,IF($E71&lt;=I$36,I$50*I$31^($E71-I$22-1),IF($E71=I$36+1,I$48,IF($E71&lt;=I$40,I$51*I$38^($E71-I$35-1),IF($E71=I$40+1,I$49,0))))))))</f>
        <v>#N/A</v>
      </c>
      <c r="J71" s="54" t="e">
        <f aca="false">IF(OR($E71&lt;=J$29,J$39&lt;=J$22),0,IF(AND($E71=J$29+1,$E71&lt;J$30+1),J$32,IF($E71&lt;=J$30,0.5*J$9*$B$83*(2*$E71-2*J$21-1)/(J$22-J$21),IF($E71=J$30+1,J$45,IF($E71&lt;=J$36,J$50*J$31^($E71-J$22-1),IF($E71=J$36+1,J$48,IF($E71&lt;=J$40,J$51*J$38^($E71-J$35-1),IF($E71=J$40+1,J$49,0))))))))</f>
        <v>#N/A</v>
      </c>
      <c r="K71" s="54" t="e">
        <f aca="false">IF(OR($E71&lt;=K$29,K$39&lt;=K$22),0,IF(AND($E71=K$29+1,$E71&lt;K$30+1),K$32,IF($E71&lt;=K$30,0.5*K$9*$B$83*(2*$E71-2*K$21-1)/(K$22-K$21),IF($E71=K$30+1,K$45,IF($E71&lt;=K$36,K$50*K$31^($E71-K$22-1),IF($E71=K$36+1,K$48,IF($E71&lt;=K$40,K$51*K$38^($E71-K$35-1),IF($E71=K$40+1,K$49,0))))))))</f>
        <v>#N/A</v>
      </c>
      <c r="L71" s="54" t="e">
        <f aca="false">IF(OR($E71&lt;=L$29,L$39&lt;=L$22),0,IF(AND($E71=L$29+1,$E71&lt;L$30+1),L$32,IF($E71&lt;=L$30,0.5*L$9*$B$83*(2*$E71-2*L$21-1)/(L$22-L$21),IF($E71=L$30+1,L$45,IF($E71&lt;=L$36,L$50*L$31^($E71-L$22-1),IF($E71=L$36+1,L$48,IF($E71&lt;=L$40,L$51*L$38^($E71-L$35-1),IF($E71=L$40+1,L$49,0))))))))</f>
        <v>#N/A</v>
      </c>
      <c r="M71" s="54" t="e">
        <f aca="false">IF(OR($E71&lt;=M$29,M$39&lt;=M$22),0,IF(AND($E71=M$29+1,$E71&lt;M$30+1),M$32,IF($E71&lt;=M$30,0.5*M$9*$B$83*(2*$E71-2*M$21-1)/(M$22-M$21),IF($E71=M$30+1,M$45,IF($E71&lt;=M$36,M$50*M$31^($E71-M$22-1),IF($E71=M$36+1,M$48,IF($E71&lt;=M$40,M$51*M$38^($E71-M$35-1),IF($E71=M$40+1,M$49,0))))))))</f>
        <v>#N/A</v>
      </c>
      <c r="N71" s="54" t="e">
        <f aca="false">IF(OR($E71&lt;=N$29,N$39&lt;=N$22),0,IF(AND($E71=N$29+1,$E71&lt;N$30+1),N$32,IF($E71&lt;=N$30,0.5*N$9*$B$83*(2*$E71-2*N$21-1)/(N$22-N$21),IF($E71=N$30+1,N$45,IF($E71&lt;=N$36,N$50*N$31^($E71-N$22-1),IF($E71=N$36+1,N$48,IF($E71&lt;=N$40,N$51*N$38^($E71-N$35-1),IF($E71=N$40+1,N$49,0))))))))</f>
        <v>#N/A</v>
      </c>
      <c r="O71" s="54" t="e">
        <f aca="false">IF(OR($E71&lt;=O$29,O$39&lt;=O$22),0,IF(AND($E71=O$29+1,$E71&lt;O$30+1),O$32,IF($E71&lt;=O$30,0.5*O$9*$B$83*(2*$E71-2*O$21-1)/(O$22-O$21),IF($E71=O$30+1,O$45,IF($E71&lt;=O$36,O$50*O$31^($E71-O$22-1),IF($E71=O$36+1,O$48,IF($E71&lt;=O$40,O$51*O$38^($E71-O$35-1),IF($E71=O$40+1,O$49,0))))))))</f>
        <v>#N/A</v>
      </c>
      <c r="P71" s="54" t="e">
        <f aca="false">IF(OR($E71&lt;=P$29,P$39&lt;=P$22),0,IF(AND($E71=P$29+1,$E71&lt;P$30+1),P$32,IF($E71&lt;=P$30,0.5*P$9*$B$83*(2*$E71-2*P$21-1)/(P$22-P$21),IF($E71=P$30+1,P$45,IF($E71&lt;=P$36,P$50*P$31^($E71-P$22-1),IF($E71=P$36+1,P$48,IF($E71&lt;=P$40,P$51*P$38^($E71-P$35-1),IF($E71=P$40+1,P$49,0))))))))</f>
        <v>#N/A</v>
      </c>
      <c r="Q71" s="54" t="e">
        <f aca="false">IF(OR($E71&lt;=Q$29,Q$39&lt;=Q$22),0,IF(AND($E71=Q$29+1,$E71&lt;Q$30+1),Q$32,IF($E71&lt;=Q$30,0.5*Q$9*$B$83*(2*$E71-2*Q$21-1)/(Q$22-Q$21),IF($E71=Q$30+1,Q$45,IF($E71&lt;=Q$36,Q$50*Q$31^($E71-Q$22-1),IF($E71=Q$36+1,Q$48,IF($E71&lt;=Q$40,Q$51*Q$38^($E71-Q$35-1),IF($E71=Q$40+1,Q$49,0))))))))</f>
        <v>#N/A</v>
      </c>
      <c r="R71" s="54" t="e">
        <f aca="false">IF(OR($E71&lt;=R$29,R$39&lt;=R$22),0,IF(AND($E71=R$29+1,$E71&lt;R$30+1),R$32,IF($E71&lt;=R$30,0.5*R$9*$B$83*(2*$E71-2*R$21-1)/(R$22-R$21),IF($E71=R$30+1,R$45,IF($E71&lt;=R$36,R$50*R$31^($E71-R$22-1),IF($E71=R$36+1,R$48,IF($E71&lt;=R$40,R$51*R$38^($E71-R$35-1),IF($E71=R$40+1,R$49,0))))))))</f>
        <v>#N/A</v>
      </c>
      <c r="S71" s="54" t="e">
        <f aca="false">IF(OR($E71&lt;=S$29,S$39&lt;=S$22),0,IF(AND($E71=S$29+1,$E71&lt;S$30+1),S$32,IF($E71&lt;=S$30,0.5*S$9*$B$83*(2*$E71-2*S$21-1)/(S$22-S$21),IF($E71=S$30+1,S$45,IF($E71&lt;=S$36,S$50*S$31^($E71-S$22-1),IF($E71=S$36+1,S$48,IF($E71&lt;=S$40,S$51*S$38^($E71-S$35-1),IF($E71=S$40+1,S$49,0))))))))</f>
        <v>#N/A</v>
      </c>
      <c r="T71" s="54" t="e">
        <f aca="false">IF(OR($E71&lt;=T$29,T$39&lt;=T$22),0,IF(AND($E71=T$29+1,$E71&lt;T$30+1),T$32,IF($E71&lt;=T$30,0.5*T$9*$B$83*(2*$E71-2*T$21-1)/(T$22-T$21),IF($E71=T$30+1,T$45,IF($E71&lt;=T$36,T$50*T$31^($E71-T$22-1),IF($E71=T$36+1,T$48,IF($E71&lt;=T$40,T$51*T$38^($E71-T$35-1),IF($E71=T$40+1,T$49,0))))))))</f>
        <v>#N/A</v>
      </c>
      <c r="U71" s="54" t="e">
        <f aca="false">IF(OR($E71&lt;=U$29,U$39&lt;=U$22),0,IF(AND($E71=U$29+1,$E71&lt;U$30+1),U$32,IF($E71&lt;=U$30,0.5*U$9*$B$83*(2*$E71-2*U$21-1)/(U$22-U$21),IF($E71=U$30+1,U$45,IF($E71&lt;=U$36,U$50*U$31^($E71-U$22-1),IF($E71=U$36+1,U$48,IF($E71&lt;=U$40,U$51*U$38^($E71-U$35-1),IF($E71=U$40+1,U$49,0))))))))</f>
        <v>#N/A</v>
      </c>
      <c r="V71" s="54" t="e">
        <f aca="false">IF(OR($E71&lt;=V$29,V$39&lt;=V$22),0,IF(AND($E71=V$29+1,$E71&lt;V$30+1),V$32,IF($E71&lt;=V$30,0.5*V$9*$B$83*(2*$E71-2*V$21-1)/(V$22-V$21),IF($E71=V$30+1,V$45,IF($E71&lt;=V$36,V$50*V$31^($E71-V$22-1),IF($E71=V$36+1,V$48,IF($E71&lt;=V$40,V$51*V$38^($E71-V$35-1),IF($E71=V$40+1,V$49,0))))))))</f>
        <v>#N/A</v>
      </c>
      <c r="W71" s="54" t="e">
        <f aca="false">IF(OR($E71&lt;=W$29,W$39&lt;=W$22),0,IF(AND($E71=W$29+1,$E71&lt;W$30+1),W$32,IF($E71&lt;=W$30,0.5*W$9*$B$83*(2*$E71-2*W$21-1)/(W$22-W$21),IF($E71=W$30+1,W$45,IF($E71&lt;=W$36,W$50*W$31^($E71-W$22-1),IF($E71=W$36+1,W$48,IF($E71&lt;=W$40,W$51*W$38^($E71-W$35-1),IF($E71=W$40+1,W$49,0))))))))</f>
        <v>#N/A</v>
      </c>
      <c r="X71" s="54" t="e">
        <f aca="false">IF(OR($E71&lt;=X$29,X$39&lt;=X$22),0,IF(AND($E71=X$29+1,$E71&lt;X$30+1),X$32,IF($E71&lt;=X$30,0.5*X$9*$B$83*(2*$E71-2*X$21-1)/(X$22-X$21),IF($E71=X$30+1,X$45,IF($E71&lt;=X$36,X$50*X$31^($E71-X$22-1),IF($E71=X$36+1,X$48,IF($E71&lt;=X$40,X$51*X$38^($E71-X$35-1),IF($E71=X$40+1,X$49,0))))))))</f>
        <v>#N/A</v>
      </c>
      <c r="Y71" s="54" t="e">
        <f aca="false">IF(OR($E71&lt;=Y$29,Y$39&lt;=Y$22),0,IF(AND($E71=Y$29+1,$E71&lt;Y$30+1),Y$32,IF($E71&lt;=Y$30,0.5*Y$9*$B$83*(2*$E71-2*Y$21-1)/(Y$22-Y$21),IF($E71=Y$30+1,Y$45,IF($E71&lt;=Y$36,Y$50*Y$31^($E71-Y$22-1),IF($E71=Y$36+1,Y$48,IF($E71&lt;=Y$40,Y$51*Y$38^($E71-Y$35-1),IF($E71=Y$40+1,Y$49,0))))))))</f>
        <v>#N/A</v>
      </c>
      <c r="Z71" s="54" t="e">
        <f aca="false">IF(OR($E71&lt;=Z$29,Z$39&lt;=Z$22),0,IF(AND($E71=Z$29+1,$E71&lt;Z$30+1),Z$32,IF($E71&lt;=Z$30,0.5*Z$9*$B$83*(2*$E71-2*Z$21-1)/(Z$22-Z$21),IF($E71=Z$30+1,Z$45,IF($E71&lt;=Z$36,Z$50*Z$31^($E71-Z$22-1),IF($E71=Z$36+1,Z$48,IF($E71&lt;=Z$40,Z$51*Z$38^($E71-Z$35-1),IF($E71=Z$40+1,Z$49,0))))))))</f>
        <v>#N/A</v>
      </c>
      <c r="AA71" s="54" t="e">
        <f aca="false">SUM(F71:Z71)</f>
        <v>#VALUE!</v>
      </c>
    </row>
    <row r="72" customFormat="false" ht="11.25" hidden="false" customHeight="false" outlineLevel="0" collapsed="false">
      <c r="A72" s="12"/>
      <c r="B72" s="12"/>
      <c r="D72" s="60" t="n">
        <f aca="false">+W3</f>
        <v>2016</v>
      </c>
      <c r="E72" s="5" t="n">
        <f aca="false">+E71+1</f>
        <v>18</v>
      </c>
      <c r="F72" s="54" t="e">
        <f aca="false">(IF(OR($E72&lt;=F$29,F$39&lt;=F$22),0,IF(AND($E72=F$29+1,$E72&lt;F$30+1),F$32,IF($E72&lt;=F$30,0.5*F$9*$B$83*(2*$E72-2*F$21-1)/(F$22-F$21),IF($E72=F$30+1,F$45,IF($E72&lt;=F$36,F$50*F$31^($E72-F$22-1),IF($E72=F$36+1,F$48,IF($E72&lt;=F$40,F$51*F$38^($E72-F$35-1),IF($E72=F$40+1,F$49,0)))))))))</f>
        <v>#VALUE!</v>
      </c>
      <c r="G72" s="54" t="e">
        <f aca="false">IF(OR($E72&lt;=G$29,G$39&lt;=G$22),0,IF(AND($E72=G$29+1,$E72&lt;G$30+1),G$32,IF($E72&lt;=G$30,0.5*G$9*$B$83*(2*$E72-2*G$21-1)/(G$22-G$21),IF($E72=G$30+1,G$45,IF($E72&lt;=G$36,G$50*G$31^($E72-G$22-1),IF($E72=G$36+1,G$48,IF($E72&lt;=G$40,G$51*G$38^($E72-G$35-1),IF($E72=G$40+1,G$49,0))))))))</f>
        <v>#VALUE!</v>
      </c>
      <c r="H72" s="54" t="e">
        <f aca="false">IF(OR($E72&lt;=H$29,H$39&lt;=H$22),0,IF(AND($E72=H$29+1,$E72&lt;H$30+1),H$32,IF($E72&lt;=H$30,0.5*H$9*$B$83*(2*$E72-2*H$21-1)/(H$22-H$21),IF($E72=H$30+1,H$45,IF($E72&lt;=H$36,H$50*H$31^($E72-H$22-1),IF($E72=H$36+1,H$48,IF($E72&lt;=H$40,H$51*H$38^($E72-H$35-1),IF($E72=H$40+1,H$49,0))))))))</f>
        <v>#N/A</v>
      </c>
      <c r="I72" s="54" t="e">
        <f aca="false">IF(OR($E72&lt;=I$29,I$39&lt;=I$22),0,IF(AND($E72=I$29+1,$E72&lt;I$30+1),I$32,IF($E72&lt;=I$30,0.5*I$9*$B$83*(2*$E72-2*I$21-1)/(I$22-I$21),IF($E72=I$30+1,I$45,IF($E72&lt;=I$36,I$50*I$31^($E72-I$22-1),IF($E72=I$36+1,I$48,IF($E72&lt;=I$40,I$51*I$38^($E72-I$35-1),IF($E72=I$40+1,I$49,0))))))))</f>
        <v>#N/A</v>
      </c>
      <c r="J72" s="54" t="e">
        <f aca="false">IF(OR($E72&lt;=J$29,J$39&lt;=J$22),0,IF(AND($E72=J$29+1,$E72&lt;J$30+1),J$32,IF($E72&lt;=J$30,0.5*J$9*$B$83*(2*$E72-2*J$21-1)/(J$22-J$21),IF($E72=J$30+1,J$45,IF($E72&lt;=J$36,J$50*J$31^($E72-J$22-1),IF($E72=J$36+1,J$48,IF($E72&lt;=J$40,J$51*J$38^($E72-J$35-1),IF($E72=J$40+1,J$49,0))))))))</f>
        <v>#N/A</v>
      </c>
      <c r="K72" s="54" t="e">
        <f aca="false">IF(OR($E72&lt;=K$29,K$39&lt;=K$22),0,IF(AND($E72=K$29+1,$E72&lt;K$30+1),K$32,IF($E72&lt;=K$30,0.5*K$9*$B$83*(2*$E72-2*K$21-1)/(K$22-K$21),IF($E72=K$30+1,K$45,IF($E72&lt;=K$36,K$50*K$31^($E72-K$22-1),IF($E72=K$36+1,K$48,IF($E72&lt;=K$40,K$51*K$38^($E72-K$35-1),IF($E72=K$40+1,K$49,0))))))))</f>
        <v>#N/A</v>
      </c>
      <c r="L72" s="54" t="e">
        <f aca="false">IF(OR($E72&lt;=L$29,L$39&lt;=L$22),0,IF(AND($E72=L$29+1,$E72&lt;L$30+1),L$32,IF($E72&lt;=L$30,0.5*L$9*$B$83*(2*$E72-2*L$21-1)/(L$22-L$21),IF($E72=L$30+1,L$45,IF($E72&lt;=L$36,L$50*L$31^($E72-L$22-1),IF($E72=L$36+1,L$48,IF($E72&lt;=L$40,L$51*L$38^($E72-L$35-1),IF($E72=L$40+1,L$49,0))))))))</f>
        <v>#N/A</v>
      </c>
      <c r="M72" s="54" t="e">
        <f aca="false">IF(OR($E72&lt;=M$29,M$39&lt;=M$22),0,IF(AND($E72=M$29+1,$E72&lt;M$30+1),M$32,IF($E72&lt;=M$30,0.5*M$9*$B$83*(2*$E72-2*M$21-1)/(M$22-M$21),IF($E72=M$30+1,M$45,IF($E72&lt;=M$36,M$50*M$31^($E72-M$22-1),IF($E72=M$36+1,M$48,IF($E72&lt;=M$40,M$51*M$38^($E72-M$35-1),IF($E72=M$40+1,M$49,0))))))))</f>
        <v>#N/A</v>
      </c>
      <c r="N72" s="54" t="e">
        <f aca="false">IF(OR($E72&lt;=N$29,N$39&lt;=N$22),0,IF(AND($E72=N$29+1,$E72&lt;N$30+1),N$32,IF($E72&lt;=N$30,0.5*N$9*$B$83*(2*$E72-2*N$21-1)/(N$22-N$21),IF($E72=N$30+1,N$45,IF($E72&lt;=N$36,N$50*N$31^($E72-N$22-1),IF($E72=N$36+1,N$48,IF($E72&lt;=N$40,N$51*N$38^($E72-N$35-1),IF($E72=N$40+1,N$49,0))))))))</f>
        <v>#N/A</v>
      </c>
      <c r="O72" s="54" t="e">
        <f aca="false">IF(OR($E72&lt;=O$29,O$39&lt;=O$22),0,IF(AND($E72=O$29+1,$E72&lt;O$30+1),O$32,IF($E72&lt;=O$30,0.5*O$9*$B$83*(2*$E72-2*O$21-1)/(O$22-O$21),IF($E72=O$30+1,O$45,IF($E72&lt;=O$36,O$50*O$31^($E72-O$22-1),IF($E72=O$36+1,O$48,IF($E72&lt;=O$40,O$51*O$38^($E72-O$35-1),IF($E72=O$40+1,O$49,0))))))))</f>
        <v>#N/A</v>
      </c>
      <c r="P72" s="54" t="e">
        <f aca="false">IF(OR($E72&lt;=P$29,P$39&lt;=P$22),0,IF(AND($E72=P$29+1,$E72&lt;P$30+1),P$32,IF($E72&lt;=P$30,0.5*P$9*$B$83*(2*$E72-2*P$21-1)/(P$22-P$21),IF($E72=P$30+1,P$45,IF($E72&lt;=P$36,P$50*P$31^($E72-P$22-1),IF($E72=P$36+1,P$48,IF($E72&lt;=P$40,P$51*P$38^($E72-P$35-1),IF($E72=P$40+1,P$49,0))))))))</f>
        <v>#N/A</v>
      </c>
      <c r="Q72" s="54" t="e">
        <f aca="false">IF(OR($E72&lt;=Q$29,Q$39&lt;=Q$22),0,IF(AND($E72=Q$29+1,$E72&lt;Q$30+1),Q$32,IF($E72&lt;=Q$30,0.5*Q$9*$B$83*(2*$E72-2*Q$21-1)/(Q$22-Q$21),IF($E72=Q$30+1,Q$45,IF($E72&lt;=Q$36,Q$50*Q$31^($E72-Q$22-1),IF($E72=Q$36+1,Q$48,IF($E72&lt;=Q$40,Q$51*Q$38^($E72-Q$35-1),IF($E72=Q$40+1,Q$49,0))))))))</f>
        <v>#N/A</v>
      </c>
      <c r="R72" s="54" t="e">
        <f aca="false">IF(OR($E72&lt;=R$29,R$39&lt;=R$22),0,IF(AND($E72=R$29+1,$E72&lt;R$30+1),R$32,IF($E72&lt;=R$30,0.5*R$9*$B$83*(2*$E72-2*R$21-1)/(R$22-R$21),IF($E72=R$30+1,R$45,IF($E72&lt;=R$36,R$50*R$31^($E72-R$22-1),IF($E72=R$36+1,R$48,IF($E72&lt;=R$40,R$51*R$38^($E72-R$35-1),IF($E72=R$40+1,R$49,0))))))))</f>
        <v>#N/A</v>
      </c>
      <c r="S72" s="54" t="e">
        <f aca="false">IF(OR($E72&lt;=S$29,S$39&lt;=S$22),0,IF(AND($E72=S$29+1,$E72&lt;S$30+1),S$32,IF($E72&lt;=S$30,0.5*S$9*$B$83*(2*$E72-2*S$21-1)/(S$22-S$21),IF($E72=S$30+1,S$45,IF($E72&lt;=S$36,S$50*S$31^($E72-S$22-1),IF($E72=S$36+1,S$48,IF($E72&lt;=S$40,S$51*S$38^($E72-S$35-1),IF($E72=S$40+1,S$49,0))))))))</f>
        <v>#N/A</v>
      </c>
      <c r="T72" s="54" t="e">
        <f aca="false">IF(OR($E72&lt;=T$29,T$39&lt;=T$22),0,IF(AND($E72=T$29+1,$E72&lt;T$30+1),T$32,IF($E72&lt;=T$30,0.5*T$9*$B$83*(2*$E72-2*T$21-1)/(T$22-T$21),IF($E72=T$30+1,T$45,IF($E72&lt;=T$36,T$50*T$31^($E72-T$22-1),IF($E72=T$36+1,T$48,IF($E72&lt;=T$40,T$51*T$38^($E72-T$35-1),IF($E72=T$40+1,T$49,0))))))))</f>
        <v>#N/A</v>
      </c>
      <c r="U72" s="54" t="e">
        <f aca="false">IF(OR($E72&lt;=U$29,U$39&lt;=U$22),0,IF(AND($E72=U$29+1,$E72&lt;U$30+1),U$32,IF($E72&lt;=U$30,0.5*U$9*$B$83*(2*$E72-2*U$21-1)/(U$22-U$21),IF($E72=U$30+1,U$45,IF($E72&lt;=U$36,U$50*U$31^($E72-U$22-1),IF($E72=U$36+1,U$48,IF($E72&lt;=U$40,U$51*U$38^($E72-U$35-1),IF($E72=U$40+1,U$49,0))))))))</f>
        <v>#N/A</v>
      </c>
      <c r="V72" s="54" t="e">
        <f aca="false">IF(OR($E72&lt;=V$29,V$39&lt;=V$22),0,IF(AND($E72=V$29+1,$E72&lt;V$30+1),V$32,IF($E72&lt;=V$30,0.5*V$9*$B$83*(2*$E72-2*V$21-1)/(V$22-V$21),IF($E72=V$30+1,V$45,IF($E72&lt;=V$36,V$50*V$31^($E72-V$22-1),IF($E72=V$36+1,V$48,IF($E72&lt;=V$40,V$51*V$38^($E72-V$35-1),IF($E72=V$40+1,V$49,0))))))))</f>
        <v>#N/A</v>
      </c>
      <c r="W72" s="54" t="e">
        <f aca="false">IF(OR($E72&lt;=W$29,W$39&lt;=W$22),0,IF(AND($E72=W$29+1,$E72&lt;W$30+1),W$32,IF($E72&lt;=W$30,0.5*W$9*$B$83*(2*$E72-2*W$21-1)/(W$22-W$21),IF($E72=W$30+1,W$45,IF($E72&lt;=W$36,W$50*W$31^($E72-W$22-1),IF($E72=W$36+1,W$48,IF($E72&lt;=W$40,W$51*W$38^($E72-W$35-1),IF($E72=W$40+1,W$49,0))))))))</f>
        <v>#N/A</v>
      </c>
      <c r="X72" s="54" t="e">
        <f aca="false">IF(OR($E72&lt;=X$29,X$39&lt;=X$22),0,IF(AND($E72=X$29+1,$E72&lt;X$30+1),X$32,IF($E72&lt;=X$30,0.5*X$9*$B$83*(2*$E72-2*X$21-1)/(X$22-X$21),IF($E72=X$30+1,X$45,IF($E72&lt;=X$36,X$50*X$31^($E72-X$22-1),IF($E72=X$36+1,X$48,IF($E72&lt;=X$40,X$51*X$38^($E72-X$35-1),IF($E72=X$40+1,X$49,0))))))))</f>
        <v>#N/A</v>
      </c>
      <c r="Y72" s="54" t="e">
        <f aca="false">IF(OR($E72&lt;=Y$29,Y$39&lt;=Y$22),0,IF(AND($E72=Y$29+1,$E72&lt;Y$30+1),Y$32,IF($E72&lt;=Y$30,0.5*Y$9*$B$83*(2*$E72-2*Y$21-1)/(Y$22-Y$21),IF($E72=Y$30+1,Y$45,IF($E72&lt;=Y$36,Y$50*Y$31^($E72-Y$22-1),IF($E72=Y$36+1,Y$48,IF($E72&lt;=Y$40,Y$51*Y$38^($E72-Y$35-1),IF($E72=Y$40+1,Y$49,0))))))))</f>
        <v>#N/A</v>
      </c>
      <c r="Z72" s="54" t="e">
        <f aca="false">IF(OR($E72&lt;=Z$29,Z$39&lt;=Z$22),0,IF(AND($E72=Z$29+1,$E72&lt;Z$30+1),Z$32,IF($E72&lt;=Z$30,0.5*Z$9*$B$83*(2*$E72-2*Z$21-1)/(Z$22-Z$21),IF($E72=Z$30+1,Z$45,IF($E72&lt;=Z$36,Z$50*Z$31^($E72-Z$22-1),IF($E72=Z$36+1,Z$48,IF($E72&lt;=Z$40,Z$51*Z$38^($E72-Z$35-1),IF($E72=Z$40+1,Z$49,0))))))))</f>
        <v>#N/A</v>
      </c>
      <c r="AA72" s="54" t="e">
        <f aca="false">SUM(F72:Z72)</f>
        <v>#VALUE!</v>
      </c>
    </row>
    <row r="73" customFormat="false" ht="11.25" hidden="false" customHeight="false" outlineLevel="0" collapsed="false">
      <c r="A73" s="12"/>
      <c r="B73" s="12"/>
      <c r="D73" s="60" t="n">
        <f aca="false">+X3</f>
        <v>2017</v>
      </c>
      <c r="E73" s="5" t="n">
        <f aca="false">+E72+1</f>
        <v>19</v>
      </c>
      <c r="F73" s="54" t="e">
        <f aca="false">(IF(OR($E73&lt;=F$29,F$39&lt;=F$22),0,IF(AND($E73=F$29+1,$E73&lt;F$30+1),F$32,IF($E73&lt;=F$30,0.5*F$9*$B$83*(2*$E73-2*F$21-1)/(F$22-F$21),IF($E73=F$30+1,F$45,IF($E73&lt;=F$36,F$50*F$31^($E73-F$22-1),IF($E73=F$36+1,F$48,IF($E73&lt;=F$40,F$51*F$38^($E73-F$35-1),IF($E73=F$40+1,F$49,0)))))))))</f>
        <v>#VALUE!</v>
      </c>
      <c r="G73" s="54" t="e">
        <f aca="false">IF(OR($E73&lt;=G$29,G$39&lt;=G$22),0,IF(AND($E73=G$29+1,$E73&lt;G$30+1),G$32,IF($E73&lt;=G$30,0.5*G$9*$B$83*(2*$E73-2*G$21-1)/(G$22-G$21),IF($E73=G$30+1,G$45,IF($E73&lt;=G$36,G$50*G$31^($E73-G$22-1),IF($E73=G$36+1,G$48,IF($E73&lt;=G$40,G$51*G$38^($E73-G$35-1),IF($E73=G$40+1,G$49,0))))))))</f>
        <v>#VALUE!</v>
      </c>
      <c r="H73" s="54" t="e">
        <f aca="false">IF(OR($E73&lt;=H$29,H$39&lt;=H$22),0,IF(AND($E73=H$29+1,$E73&lt;H$30+1),H$32,IF($E73&lt;=H$30,0.5*H$9*$B$83*(2*$E73-2*H$21-1)/(H$22-H$21),IF($E73=H$30+1,H$45,IF($E73&lt;=H$36,H$50*H$31^($E73-H$22-1),IF($E73=H$36+1,H$48,IF($E73&lt;=H$40,H$51*H$38^($E73-H$35-1),IF($E73=H$40+1,H$49,0))))))))</f>
        <v>#N/A</v>
      </c>
      <c r="I73" s="54" t="e">
        <f aca="false">IF(OR($E73&lt;=I$29,I$39&lt;=I$22),0,IF(AND($E73=I$29+1,$E73&lt;I$30+1),I$32,IF($E73&lt;=I$30,0.5*I$9*$B$83*(2*$E73-2*I$21-1)/(I$22-I$21),IF($E73=I$30+1,I$45,IF($E73&lt;=I$36,I$50*I$31^($E73-I$22-1),IF($E73=I$36+1,I$48,IF($E73&lt;=I$40,I$51*I$38^($E73-I$35-1),IF($E73=I$40+1,I$49,0))))))))</f>
        <v>#N/A</v>
      </c>
      <c r="J73" s="54" t="e">
        <f aca="false">IF(OR($E73&lt;=J$29,J$39&lt;=J$22),0,IF(AND($E73=J$29+1,$E73&lt;J$30+1),J$32,IF($E73&lt;=J$30,0.5*J$9*$B$83*(2*$E73-2*J$21-1)/(J$22-J$21),IF($E73=J$30+1,J$45,IF($E73&lt;=J$36,J$50*J$31^($E73-J$22-1),IF($E73=J$36+1,J$48,IF($E73&lt;=J$40,J$51*J$38^($E73-J$35-1),IF($E73=J$40+1,J$49,0))))))))</f>
        <v>#N/A</v>
      </c>
      <c r="K73" s="54" t="e">
        <f aca="false">IF(OR($E73&lt;=K$29,K$39&lt;=K$22),0,IF(AND($E73=K$29+1,$E73&lt;K$30+1),K$32,IF($E73&lt;=K$30,0.5*K$9*$B$83*(2*$E73-2*K$21-1)/(K$22-K$21),IF($E73=K$30+1,K$45,IF($E73&lt;=K$36,K$50*K$31^($E73-K$22-1),IF($E73=K$36+1,K$48,IF($E73&lt;=K$40,K$51*K$38^($E73-K$35-1),IF($E73=K$40+1,K$49,0))))))))</f>
        <v>#N/A</v>
      </c>
      <c r="L73" s="54" t="e">
        <f aca="false">IF(OR($E73&lt;=L$29,L$39&lt;=L$22),0,IF(AND($E73=L$29+1,$E73&lt;L$30+1),L$32,IF($E73&lt;=L$30,0.5*L$9*$B$83*(2*$E73-2*L$21-1)/(L$22-L$21),IF($E73=L$30+1,L$45,IF($E73&lt;=L$36,L$50*L$31^($E73-L$22-1),IF($E73=L$36+1,L$48,IF($E73&lt;=L$40,L$51*L$38^($E73-L$35-1),IF($E73=L$40+1,L$49,0))))))))</f>
        <v>#N/A</v>
      </c>
      <c r="M73" s="54" t="e">
        <f aca="false">IF(OR($E73&lt;=M$29,M$39&lt;=M$22),0,IF(AND($E73=M$29+1,$E73&lt;M$30+1),M$32,IF($E73&lt;=M$30,0.5*M$9*$B$83*(2*$E73-2*M$21-1)/(M$22-M$21),IF($E73=M$30+1,M$45,IF($E73&lt;=M$36,M$50*M$31^($E73-M$22-1),IF($E73=M$36+1,M$48,IF($E73&lt;=M$40,M$51*M$38^($E73-M$35-1),IF($E73=M$40+1,M$49,0))))))))</f>
        <v>#N/A</v>
      </c>
      <c r="N73" s="54" t="e">
        <f aca="false">IF(OR($E73&lt;=N$29,N$39&lt;=N$22),0,IF(AND($E73=N$29+1,$E73&lt;N$30+1),N$32,IF($E73&lt;=N$30,0.5*N$9*$B$83*(2*$E73-2*N$21-1)/(N$22-N$21),IF($E73=N$30+1,N$45,IF($E73&lt;=N$36,N$50*N$31^($E73-N$22-1),IF($E73=N$36+1,N$48,IF($E73&lt;=N$40,N$51*N$38^($E73-N$35-1),IF($E73=N$40+1,N$49,0))))))))</f>
        <v>#N/A</v>
      </c>
      <c r="O73" s="54" t="e">
        <f aca="false">IF(OR($E73&lt;=O$29,O$39&lt;=O$22),0,IF(AND($E73=O$29+1,$E73&lt;O$30+1),O$32,IF($E73&lt;=O$30,0.5*O$9*$B$83*(2*$E73-2*O$21-1)/(O$22-O$21),IF($E73=O$30+1,O$45,IF($E73&lt;=O$36,O$50*O$31^($E73-O$22-1),IF($E73=O$36+1,O$48,IF($E73&lt;=O$40,O$51*O$38^($E73-O$35-1),IF($E73=O$40+1,O$49,0))))))))</f>
        <v>#N/A</v>
      </c>
      <c r="P73" s="54" t="e">
        <f aca="false">IF(OR($E73&lt;=P$29,P$39&lt;=P$22),0,IF(AND($E73=P$29+1,$E73&lt;P$30+1),P$32,IF($E73&lt;=P$30,0.5*P$9*$B$83*(2*$E73-2*P$21-1)/(P$22-P$21),IF($E73=P$30+1,P$45,IF($E73&lt;=P$36,P$50*P$31^($E73-P$22-1),IF($E73=P$36+1,P$48,IF($E73&lt;=P$40,P$51*P$38^($E73-P$35-1),IF($E73=P$40+1,P$49,0))))))))</f>
        <v>#N/A</v>
      </c>
      <c r="Q73" s="54" t="e">
        <f aca="false">IF(OR($E73&lt;=Q$29,Q$39&lt;=Q$22),0,IF(AND($E73=Q$29+1,$E73&lt;Q$30+1),Q$32,IF($E73&lt;=Q$30,0.5*Q$9*$B$83*(2*$E73-2*Q$21-1)/(Q$22-Q$21),IF($E73=Q$30+1,Q$45,IF($E73&lt;=Q$36,Q$50*Q$31^($E73-Q$22-1),IF($E73=Q$36+1,Q$48,IF($E73&lt;=Q$40,Q$51*Q$38^($E73-Q$35-1),IF($E73=Q$40+1,Q$49,0))))))))</f>
        <v>#N/A</v>
      </c>
      <c r="R73" s="54" t="e">
        <f aca="false">IF(OR($E73&lt;=R$29,R$39&lt;=R$22),0,IF(AND($E73=R$29+1,$E73&lt;R$30+1),R$32,IF($E73&lt;=R$30,0.5*R$9*$B$83*(2*$E73-2*R$21-1)/(R$22-R$21),IF($E73=R$30+1,R$45,IF($E73&lt;=R$36,R$50*R$31^($E73-R$22-1),IF($E73=R$36+1,R$48,IF($E73&lt;=R$40,R$51*R$38^($E73-R$35-1),IF($E73=R$40+1,R$49,0))))))))</f>
        <v>#N/A</v>
      </c>
      <c r="S73" s="54" t="e">
        <f aca="false">IF(OR($E73&lt;=S$29,S$39&lt;=S$22),0,IF(AND($E73=S$29+1,$E73&lt;S$30+1),S$32,IF($E73&lt;=S$30,0.5*S$9*$B$83*(2*$E73-2*S$21-1)/(S$22-S$21),IF($E73=S$30+1,S$45,IF($E73&lt;=S$36,S$50*S$31^($E73-S$22-1),IF($E73=S$36+1,S$48,IF($E73&lt;=S$40,S$51*S$38^($E73-S$35-1),IF($E73=S$40+1,S$49,0))))))))</f>
        <v>#N/A</v>
      </c>
      <c r="T73" s="54" t="e">
        <f aca="false">IF(OR($E73&lt;=T$29,T$39&lt;=T$22),0,IF(AND($E73=T$29+1,$E73&lt;T$30+1),T$32,IF($E73&lt;=T$30,0.5*T$9*$B$83*(2*$E73-2*T$21-1)/(T$22-T$21),IF($E73=T$30+1,T$45,IF($E73&lt;=T$36,T$50*T$31^($E73-T$22-1),IF($E73=T$36+1,T$48,IF($E73&lt;=T$40,T$51*T$38^($E73-T$35-1),IF($E73=T$40+1,T$49,0))))))))</f>
        <v>#N/A</v>
      </c>
      <c r="U73" s="54" t="e">
        <f aca="false">IF(OR($E73&lt;=U$29,U$39&lt;=U$22),0,IF(AND($E73=U$29+1,$E73&lt;U$30+1),U$32,IF($E73&lt;=U$30,0.5*U$9*$B$83*(2*$E73-2*U$21-1)/(U$22-U$21),IF($E73=U$30+1,U$45,IF($E73&lt;=U$36,U$50*U$31^($E73-U$22-1),IF($E73=U$36+1,U$48,IF($E73&lt;=U$40,U$51*U$38^($E73-U$35-1),IF($E73=U$40+1,U$49,0))))))))</f>
        <v>#N/A</v>
      </c>
      <c r="V73" s="54" t="e">
        <f aca="false">IF(OR($E73&lt;=V$29,V$39&lt;=V$22),0,IF(AND($E73=V$29+1,$E73&lt;V$30+1),V$32,IF($E73&lt;=V$30,0.5*V$9*$B$83*(2*$E73-2*V$21-1)/(V$22-V$21),IF($E73=V$30+1,V$45,IF($E73&lt;=V$36,V$50*V$31^($E73-V$22-1),IF($E73=V$36+1,V$48,IF($E73&lt;=V$40,V$51*V$38^($E73-V$35-1),IF($E73=V$40+1,V$49,0))))))))</f>
        <v>#N/A</v>
      </c>
      <c r="W73" s="54" t="e">
        <f aca="false">IF(OR($E73&lt;=W$29,W$39&lt;=W$22),0,IF(AND($E73=W$29+1,$E73&lt;W$30+1),W$32,IF($E73&lt;=W$30,0.5*W$9*$B$83*(2*$E73-2*W$21-1)/(W$22-W$21),IF($E73=W$30+1,W$45,IF($E73&lt;=W$36,W$50*W$31^($E73-W$22-1),IF($E73=W$36+1,W$48,IF($E73&lt;=W$40,W$51*W$38^($E73-W$35-1),IF($E73=W$40+1,W$49,0))))))))</f>
        <v>#N/A</v>
      </c>
      <c r="X73" s="54" t="e">
        <f aca="false">IF(OR($E73&lt;=X$29,X$39&lt;=X$22),0,IF(AND($E73=X$29+1,$E73&lt;X$30+1),X$32,IF($E73&lt;=X$30,0.5*X$9*$B$83*(2*$E73-2*X$21-1)/(X$22-X$21),IF($E73=X$30+1,X$45,IF($E73&lt;=X$36,X$50*X$31^($E73-X$22-1),IF($E73=X$36+1,X$48,IF($E73&lt;=X$40,X$51*X$38^($E73-X$35-1),IF($E73=X$40+1,X$49,0))))))))</f>
        <v>#N/A</v>
      </c>
      <c r="Y73" s="54" t="e">
        <f aca="false">IF(OR($E73&lt;=Y$29,Y$39&lt;=Y$22),0,IF(AND($E73=Y$29+1,$E73&lt;Y$30+1),Y$32,IF($E73&lt;=Y$30,0.5*Y$9*$B$83*(2*$E73-2*Y$21-1)/(Y$22-Y$21),IF($E73=Y$30+1,Y$45,IF($E73&lt;=Y$36,Y$50*Y$31^($E73-Y$22-1),IF($E73=Y$36+1,Y$48,IF($E73&lt;=Y$40,Y$51*Y$38^($E73-Y$35-1),IF($E73=Y$40+1,Y$49,0))))))))</f>
        <v>#N/A</v>
      </c>
      <c r="Z73" s="54" t="e">
        <f aca="false">IF(OR($E73&lt;=Z$29,Z$39&lt;=Z$22),0,IF(AND($E73=Z$29+1,$E73&lt;Z$30+1),Z$32,IF($E73&lt;=Z$30,0.5*Z$9*$B$83*(2*$E73-2*Z$21-1)/(Z$22-Z$21),IF($E73=Z$30+1,Z$45,IF($E73&lt;=Z$36,Z$50*Z$31^($E73-Z$22-1),IF($E73=Z$36+1,Z$48,IF($E73&lt;=Z$40,Z$51*Z$38^($E73-Z$35-1),IF($E73=Z$40+1,Z$49,0))))))))</f>
        <v>#N/A</v>
      </c>
      <c r="AA73" s="54" t="e">
        <f aca="false">SUM(F73:Z73)</f>
        <v>#VALUE!</v>
      </c>
    </row>
    <row r="74" customFormat="false" ht="11.25" hidden="false" customHeight="false" outlineLevel="0" collapsed="false">
      <c r="A74" s="12"/>
      <c r="B74" s="12"/>
      <c r="D74" s="60" t="n">
        <f aca="false">+Y3</f>
        <v>2018</v>
      </c>
      <c r="E74" s="5" t="n">
        <f aca="false">+E73+1</f>
        <v>20</v>
      </c>
      <c r="F74" s="54" t="e">
        <f aca="false">(IF(OR($E74&lt;=F$29,F$39&lt;=F$22),0,IF(AND($E74=F$29+1,$E74&lt;F$30+1),F$32,IF($E74&lt;=F$30,0.5*F$9*$B$83*(2*$E74-2*F$21-1)/(F$22-F$21),IF($E74=F$30+1,F$45,IF($E74&lt;=F$36,F$50*F$31^($E74-F$22-1),IF($E74=F$36+1,F$48,IF($E74&lt;=F$40,F$51*F$38^($E74-F$35-1),IF($E74=F$40+1,F$49,0)))))))))</f>
        <v>#VALUE!</v>
      </c>
      <c r="G74" s="54" t="e">
        <f aca="false">IF(OR($E74&lt;=G$29,G$39&lt;=G$22),0,IF(AND($E74=G$29+1,$E74&lt;G$30+1),G$32,IF($E74&lt;=G$30,0.5*G$9*$B$83*(2*$E74-2*G$21-1)/(G$22-G$21),IF($E74=G$30+1,G$45,IF($E74&lt;=G$36,G$50*G$31^($E74-G$22-1),IF($E74=G$36+1,G$48,IF($E74&lt;=G$40,G$51*G$38^($E74-G$35-1),IF($E74=G$40+1,G$49,0))))))))</f>
        <v>#VALUE!</v>
      </c>
      <c r="H74" s="54" t="e">
        <f aca="false">IF(OR($E74&lt;=H$29,H$39&lt;=H$22),0,IF(AND($E74=H$29+1,$E74&lt;H$30+1),H$32,IF($E74&lt;=H$30,0.5*H$9*$B$83*(2*$E74-2*H$21-1)/(H$22-H$21),IF($E74=H$30+1,H$45,IF($E74&lt;=H$36,H$50*H$31^($E74-H$22-1),IF($E74=H$36+1,H$48,IF($E74&lt;=H$40,H$51*H$38^($E74-H$35-1),IF($E74=H$40+1,H$49,0))))))))</f>
        <v>#N/A</v>
      </c>
      <c r="I74" s="54" t="e">
        <f aca="false">IF(OR($E74&lt;=I$29,I$39&lt;=I$22),0,IF(AND($E74=I$29+1,$E74&lt;I$30+1),I$32,IF($E74&lt;=I$30,0.5*I$9*$B$83*(2*$E74-2*I$21-1)/(I$22-I$21),IF($E74=I$30+1,I$45,IF($E74&lt;=I$36,I$50*I$31^($E74-I$22-1),IF($E74=I$36+1,I$48,IF($E74&lt;=I$40,I$51*I$38^($E74-I$35-1),IF($E74=I$40+1,I$49,0))))))))</f>
        <v>#N/A</v>
      </c>
      <c r="J74" s="54" t="e">
        <f aca="false">IF(OR($E74&lt;=J$29,J$39&lt;=J$22),0,IF(AND($E74=J$29+1,$E74&lt;J$30+1),J$32,IF($E74&lt;=J$30,0.5*J$9*$B$83*(2*$E74-2*J$21-1)/(J$22-J$21),IF($E74=J$30+1,J$45,IF($E74&lt;=J$36,J$50*J$31^($E74-J$22-1),IF($E74=J$36+1,J$48,IF($E74&lt;=J$40,J$51*J$38^($E74-J$35-1),IF($E74=J$40+1,J$49,0))))))))</f>
        <v>#N/A</v>
      </c>
      <c r="K74" s="54" t="e">
        <f aca="false">IF(OR($E74&lt;=K$29,K$39&lt;=K$22),0,IF(AND($E74=K$29+1,$E74&lt;K$30+1),K$32,IF($E74&lt;=K$30,0.5*K$9*$B$83*(2*$E74-2*K$21-1)/(K$22-K$21),IF($E74=K$30+1,K$45,IF($E74&lt;=K$36,K$50*K$31^($E74-K$22-1),IF($E74=K$36+1,K$48,IF($E74&lt;=K$40,K$51*K$38^($E74-K$35-1),IF($E74=K$40+1,K$49,0))))))))</f>
        <v>#N/A</v>
      </c>
      <c r="L74" s="54" t="e">
        <f aca="false">IF(OR($E74&lt;=L$29,L$39&lt;=L$22),0,IF(AND($E74=L$29+1,$E74&lt;L$30+1),L$32,IF($E74&lt;=L$30,0.5*L$9*$B$83*(2*$E74-2*L$21-1)/(L$22-L$21),IF($E74=L$30+1,L$45,IF($E74&lt;=L$36,L$50*L$31^($E74-L$22-1),IF($E74=L$36+1,L$48,IF($E74&lt;=L$40,L$51*L$38^($E74-L$35-1),IF($E74=L$40+1,L$49,0))))))))</f>
        <v>#N/A</v>
      </c>
      <c r="M74" s="54" t="e">
        <f aca="false">IF(OR($E74&lt;=M$29,M$39&lt;=M$22),0,IF(AND($E74=M$29+1,$E74&lt;M$30+1),M$32,IF($E74&lt;=M$30,0.5*M$9*$B$83*(2*$E74-2*M$21-1)/(M$22-M$21),IF($E74=M$30+1,M$45,IF($E74&lt;=M$36,M$50*M$31^($E74-M$22-1),IF($E74=M$36+1,M$48,IF($E74&lt;=M$40,M$51*M$38^($E74-M$35-1),IF($E74=M$40+1,M$49,0))))))))</f>
        <v>#N/A</v>
      </c>
      <c r="N74" s="54" t="e">
        <f aca="false">IF(OR($E74&lt;=N$29,N$39&lt;=N$22),0,IF(AND($E74=N$29+1,$E74&lt;N$30+1),N$32,IF($E74&lt;=N$30,0.5*N$9*$B$83*(2*$E74-2*N$21-1)/(N$22-N$21),IF($E74=N$30+1,N$45,IF($E74&lt;=N$36,N$50*N$31^($E74-N$22-1),IF($E74=N$36+1,N$48,IF($E74&lt;=N$40,N$51*N$38^($E74-N$35-1),IF($E74=N$40+1,N$49,0))))))))</f>
        <v>#N/A</v>
      </c>
      <c r="O74" s="54" t="e">
        <f aca="false">IF(OR($E74&lt;=O$29,O$39&lt;=O$22),0,IF(AND($E74=O$29+1,$E74&lt;O$30+1),O$32,IF($E74&lt;=O$30,0.5*O$9*$B$83*(2*$E74-2*O$21-1)/(O$22-O$21),IF($E74=O$30+1,O$45,IF($E74&lt;=O$36,O$50*O$31^($E74-O$22-1),IF($E74=O$36+1,O$48,IF($E74&lt;=O$40,O$51*O$38^($E74-O$35-1),IF($E74=O$40+1,O$49,0))))))))</f>
        <v>#N/A</v>
      </c>
      <c r="P74" s="54" t="e">
        <f aca="false">IF(OR($E74&lt;=P$29,P$39&lt;=P$22),0,IF(AND($E74=P$29+1,$E74&lt;P$30+1),P$32,IF($E74&lt;=P$30,0.5*P$9*$B$83*(2*$E74-2*P$21-1)/(P$22-P$21),IF($E74=P$30+1,P$45,IF($E74&lt;=P$36,P$50*P$31^($E74-P$22-1),IF($E74=P$36+1,P$48,IF($E74&lt;=P$40,P$51*P$38^($E74-P$35-1),IF($E74=P$40+1,P$49,0))))))))</f>
        <v>#N/A</v>
      </c>
      <c r="Q74" s="54" t="e">
        <f aca="false">IF(OR($E74&lt;=Q$29,Q$39&lt;=Q$22),0,IF(AND($E74=Q$29+1,$E74&lt;Q$30+1),Q$32,IF($E74&lt;=Q$30,0.5*Q$9*$B$83*(2*$E74-2*Q$21-1)/(Q$22-Q$21),IF($E74=Q$30+1,Q$45,IF($E74&lt;=Q$36,Q$50*Q$31^($E74-Q$22-1),IF($E74=Q$36+1,Q$48,IF($E74&lt;=Q$40,Q$51*Q$38^($E74-Q$35-1),IF($E74=Q$40+1,Q$49,0))))))))</f>
        <v>#N/A</v>
      </c>
      <c r="R74" s="54" t="e">
        <f aca="false">IF(OR($E74&lt;=R$29,R$39&lt;=R$22),0,IF(AND($E74=R$29+1,$E74&lt;R$30+1),R$32,IF($E74&lt;=R$30,0.5*R$9*$B$83*(2*$E74-2*R$21-1)/(R$22-R$21),IF($E74=R$30+1,R$45,IF($E74&lt;=R$36,R$50*R$31^($E74-R$22-1),IF($E74=R$36+1,R$48,IF($E74&lt;=R$40,R$51*R$38^($E74-R$35-1),IF($E74=R$40+1,R$49,0))))))))</f>
        <v>#N/A</v>
      </c>
      <c r="S74" s="54" t="e">
        <f aca="false">IF(OR($E74&lt;=S$29,S$39&lt;=S$22),0,IF(AND($E74=S$29+1,$E74&lt;S$30+1),S$32,IF($E74&lt;=S$30,0.5*S$9*$B$83*(2*$E74-2*S$21-1)/(S$22-S$21),IF($E74=S$30+1,S$45,IF($E74&lt;=S$36,S$50*S$31^($E74-S$22-1),IF($E74=S$36+1,S$48,IF($E74&lt;=S$40,S$51*S$38^($E74-S$35-1),IF($E74=S$40+1,S$49,0))))))))</f>
        <v>#N/A</v>
      </c>
      <c r="T74" s="54" t="e">
        <f aca="false">IF(OR($E74&lt;=T$29,T$39&lt;=T$22),0,IF(AND($E74=T$29+1,$E74&lt;T$30+1),T$32,IF($E74&lt;=T$30,0.5*T$9*$B$83*(2*$E74-2*T$21-1)/(T$22-T$21),IF($E74=T$30+1,T$45,IF($E74&lt;=T$36,T$50*T$31^($E74-T$22-1),IF($E74=T$36+1,T$48,IF($E74&lt;=T$40,T$51*T$38^($E74-T$35-1),IF($E74=T$40+1,T$49,0))))))))</f>
        <v>#N/A</v>
      </c>
      <c r="U74" s="54" t="e">
        <f aca="false">IF(OR($E74&lt;=U$29,U$39&lt;=U$22),0,IF(AND($E74=U$29+1,$E74&lt;U$30+1),U$32,IF($E74&lt;=U$30,0.5*U$9*$B$83*(2*$E74-2*U$21-1)/(U$22-U$21),IF($E74=U$30+1,U$45,IF($E74&lt;=U$36,U$50*U$31^($E74-U$22-1),IF($E74=U$36+1,U$48,IF($E74&lt;=U$40,U$51*U$38^($E74-U$35-1),IF($E74=U$40+1,U$49,0))))))))</f>
        <v>#N/A</v>
      </c>
      <c r="V74" s="54" t="e">
        <f aca="false">IF(OR($E74&lt;=V$29,V$39&lt;=V$22),0,IF(AND($E74=V$29+1,$E74&lt;V$30+1),V$32,IF($E74&lt;=V$30,0.5*V$9*$B$83*(2*$E74-2*V$21-1)/(V$22-V$21),IF($E74=V$30+1,V$45,IF($E74&lt;=V$36,V$50*V$31^($E74-V$22-1),IF($E74=V$36+1,V$48,IF($E74&lt;=V$40,V$51*V$38^($E74-V$35-1),IF($E74=V$40+1,V$49,0))))))))</f>
        <v>#N/A</v>
      </c>
      <c r="W74" s="54" t="e">
        <f aca="false">IF(OR($E74&lt;=W$29,W$39&lt;=W$22),0,IF(AND($E74=W$29+1,$E74&lt;W$30+1),W$32,IF($E74&lt;=W$30,0.5*W$9*$B$83*(2*$E74-2*W$21-1)/(W$22-W$21),IF($E74=W$30+1,W$45,IF($E74&lt;=W$36,W$50*W$31^($E74-W$22-1),IF($E74=W$36+1,W$48,IF($E74&lt;=W$40,W$51*W$38^($E74-W$35-1),IF($E74=W$40+1,W$49,0))))))))</f>
        <v>#N/A</v>
      </c>
      <c r="X74" s="54" t="e">
        <f aca="false">IF(OR($E74&lt;=X$29,X$39&lt;=X$22),0,IF(AND($E74=X$29+1,$E74&lt;X$30+1),X$32,IF($E74&lt;=X$30,0.5*X$9*$B$83*(2*$E74-2*X$21-1)/(X$22-X$21),IF($E74=X$30+1,X$45,IF($E74&lt;=X$36,X$50*X$31^($E74-X$22-1),IF($E74=X$36+1,X$48,IF($E74&lt;=X$40,X$51*X$38^($E74-X$35-1),IF($E74=X$40+1,X$49,0))))))))</f>
        <v>#N/A</v>
      </c>
      <c r="Y74" s="54" t="e">
        <f aca="false">IF(OR($E74&lt;=Y$29,Y$39&lt;=Y$22),0,IF(AND($E74=Y$29+1,$E74&lt;Y$30+1),Y$32,IF($E74&lt;=Y$30,0.5*Y$9*$B$83*(2*$E74-2*Y$21-1)/(Y$22-Y$21),IF($E74=Y$30+1,Y$45,IF($E74&lt;=Y$36,Y$50*Y$31^($E74-Y$22-1),IF($E74=Y$36+1,Y$48,IF($E74&lt;=Y$40,Y$51*Y$38^($E74-Y$35-1),IF($E74=Y$40+1,Y$49,0))))))))</f>
        <v>#N/A</v>
      </c>
      <c r="Z74" s="54" t="e">
        <f aca="false">IF(OR($E74&lt;=Z$29,Z$39&lt;=Z$22),0,IF(AND($E74=Z$29+1,$E74&lt;Z$30+1),Z$32,IF($E74&lt;=Z$30,0.5*Z$9*$B$83*(2*$E74-2*Z$21-1)/(Z$22-Z$21),IF($E74=Z$30+1,Z$45,IF($E74&lt;=Z$36,Z$50*Z$31^($E74-Z$22-1),IF($E74=Z$36+1,Z$48,IF($E74&lt;=Z$40,Z$51*Z$38^($E74-Z$35-1),IF($E74=Z$40+1,Z$49,0))))))))</f>
        <v>#N/A</v>
      </c>
      <c r="AA74" s="54" t="e">
        <f aca="false">SUM(F74:Z74)</f>
        <v>#VALUE!</v>
      </c>
    </row>
    <row r="75" customFormat="false" ht="12" hidden="false" customHeight="false" outlineLevel="0" collapsed="false">
      <c r="A75" s="12"/>
      <c r="B75" s="12"/>
      <c r="D75" s="60" t="n">
        <f aca="false">+Z3</f>
        <v>2019</v>
      </c>
      <c r="E75" s="61" t="n">
        <f aca="false">+E74+1</f>
        <v>21</v>
      </c>
      <c r="F75" s="62" t="e">
        <f aca="false">(IF(OR($E75&lt;=F$29,F$39&lt;=F$22),0,IF(AND($E75=F$29+1,$E75&lt;F$30+1),F$32,IF($E75&lt;=F$30,0.5*F$9*$B$83*(2*$E75-2*F$21-1)/(F$22-F$21),IF($E75=F$30+1,F$45,IF($E75&lt;=F$36,F$50*F$31^($E75-F$22-1),IF($E75=F$36+1,F$48,IF($E75&lt;=F$40,F$51*F$38^($E75-F$35-1),IF($E75=F$40+1,F$49,0)))))))))</f>
        <v>#VALUE!</v>
      </c>
      <c r="G75" s="62" t="e">
        <f aca="false">IF(OR($E75&lt;=G$29,G$39&lt;=G$22),0,IF(AND($E75=G$29+1,$E75&lt;G$30+1),G$32,IF($E75&lt;=G$30,0.5*G$9*$B$83*(2*$E75-2*G$21-1)/(G$22-G$21),IF($E75=G$30+1,G$45,IF($E75&lt;=G$36,G$50*G$31^($E75-G$22-1),IF($E75=G$36+1,G$48,IF($E75&lt;=G$40,G$51*G$38^($E75-G$35-1),IF($E75=G$40+1,G$49,0))))))))</f>
        <v>#VALUE!</v>
      </c>
      <c r="H75" s="62" t="e">
        <f aca="false">IF(OR($E75&lt;=H$29,H$39&lt;=H$22),0,IF(AND($E75=H$29+1,$E75&lt;H$30+1),H$32,IF($E75&lt;=H$30,0.5*H$9*$B$83*(2*$E75-2*H$21-1)/(H$22-H$21),IF($E75=H$30+1,H$45,IF($E75&lt;=H$36,H$50*H$31^($E75-H$22-1),IF($E75=H$36+1,H$48,IF($E75&lt;=H$40,H$51*H$38^($E75-H$35-1),IF($E75=H$40+1,H$49,0))))))))</f>
        <v>#N/A</v>
      </c>
      <c r="I75" s="62" t="e">
        <f aca="false">IF(OR($E75&lt;=I$29,I$39&lt;=I$22),0,IF(AND($E75=I$29+1,$E75&lt;I$30+1),I$32,IF($E75&lt;=I$30,0.5*I$9*$B$83*(2*$E75-2*I$21-1)/(I$22-I$21),IF($E75=I$30+1,I$45,IF($E75&lt;=I$36,I$50*I$31^($E75-I$22-1),IF($E75=I$36+1,I$48,IF($E75&lt;=I$40,I$51*I$38^($E75-I$35-1),IF($E75=I$40+1,I$49,0))))))))</f>
        <v>#N/A</v>
      </c>
      <c r="J75" s="62" t="e">
        <f aca="false">IF(OR($E75&lt;=J$29,J$39&lt;=J$22),0,IF(AND($E75=J$29+1,$E75&lt;J$30+1),J$32,IF($E75&lt;=J$30,0.5*J$9*$B$83*(2*$E75-2*J$21-1)/(J$22-J$21),IF($E75=J$30+1,J$45,IF($E75&lt;=J$36,J$50*J$31^($E75-J$22-1),IF($E75=J$36+1,J$48,IF($E75&lt;=J$40,J$51*J$38^($E75-J$35-1),IF($E75=J$40+1,J$49,0))))))))</f>
        <v>#N/A</v>
      </c>
      <c r="K75" s="62" t="e">
        <f aca="false">IF(OR($E75&lt;=K$29,K$39&lt;=K$22),0,IF(AND($E75=K$29+1,$E75&lt;K$30+1),K$32,IF($E75&lt;=K$30,0.5*K$9*$B$83*(2*$E75-2*K$21-1)/(K$22-K$21),IF($E75=K$30+1,K$45,IF($E75&lt;=K$36,K$50*K$31^($E75-K$22-1),IF($E75=K$36+1,K$48,IF($E75&lt;=K$40,K$51*K$38^($E75-K$35-1),IF($E75=K$40+1,K$49,0))))))))</f>
        <v>#N/A</v>
      </c>
      <c r="L75" s="62" t="e">
        <f aca="false">IF(OR($E75&lt;=L$29,L$39&lt;=L$22),0,IF(AND($E75=L$29+1,$E75&lt;L$30+1),L$32,IF($E75&lt;=L$30,0.5*L$9*$B$83*(2*$E75-2*L$21-1)/(L$22-L$21),IF($E75=L$30+1,L$45,IF($E75&lt;=L$36,L$50*L$31^($E75-L$22-1),IF($E75=L$36+1,L$48,IF($E75&lt;=L$40,L$51*L$38^($E75-L$35-1),IF($E75=L$40+1,L$49,0))))))))</f>
        <v>#N/A</v>
      </c>
      <c r="M75" s="62" t="e">
        <f aca="false">IF(OR($E75&lt;=M$29,M$39&lt;=M$22),0,IF(AND($E75=M$29+1,$E75&lt;M$30+1),M$32,IF($E75&lt;=M$30,0.5*M$9*$B$83*(2*$E75-2*M$21-1)/(M$22-M$21),IF($E75=M$30+1,M$45,IF($E75&lt;=M$36,M$50*M$31^($E75-M$22-1),IF($E75=M$36+1,M$48,IF($E75&lt;=M$40,M$51*M$38^($E75-M$35-1),IF($E75=M$40+1,M$49,0))))))))</f>
        <v>#N/A</v>
      </c>
      <c r="N75" s="62" t="e">
        <f aca="false">IF(OR($E75&lt;=N$29,N$39&lt;=N$22),0,IF(AND($E75=N$29+1,$E75&lt;N$30+1),N$32,IF($E75&lt;=N$30,0.5*N$9*$B$83*(2*$E75-2*N$21-1)/(N$22-N$21),IF($E75=N$30+1,N$45,IF($E75&lt;=N$36,N$50*N$31^($E75-N$22-1),IF($E75=N$36+1,N$48,IF($E75&lt;=N$40,N$51*N$38^($E75-N$35-1),IF($E75=N$40+1,N$49,0))))))))</f>
        <v>#N/A</v>
      </c>
      <c r="O75" s="62" t="e">
        <f aca="false">IF(OR($E75&lt;=O$29,O$39&lt;=O$22),0,IF(AND($E75=O$29+1,$E75&lt;O$30+1),O$32,IF($E75&lt;=O$30,0.5*O$9*$B$83*(2*$E75-2*O$21-1)/(O$22-O$21),IF($E75=O$30+1,O$45,IF($E75&lt;=O$36,O$50*O$31^($E75-O$22-1),IF($E75=O$36+1,O$48,IF($E75&lt;=O$40,O$51*O$38^($E75-O$35-1),IF($E75=O$40+1,O$49,0))))))))</f>
        <v>#N/A</v>
      </c>
      <c r="P75" s="62" t="e">
        <f aca="false">IF(OR($E75&lt;=P$29,P$39&lt;=P$22),0,IF(AND($E75=P$29+1,$E75&lt;P$30+1),P$32,IF($E75&lt;=P$30,0.5*P$9*$B$83*(2*$E75-2*P$21-1)/(P$22-P$21),IF($E75=P$30+1,P$45,IF($E75&lt;=P$36,P$50*P$31^($E75-P$22-1),IF($E75=P$36+1,P$48,IF($E75&lt;=P$40,P$51*P$38^($E75-P$35-1),IF($E75=P$40+1,P$49,0))))))))</f>
        <v>#N/A</v>
      </c>
      <c r="Q75" s="62" t="e">
        <f aca="false">IF(OR($E75&lt;=Q$29,Q$39&lt;=Q$22),0,IF(AND($E75=Q$29+1,$E75&lt;Q$30+1),Q$32,IF($E75&lt;=Q$30,0.5*Q$9*$B$83*(2*$E75-2*Q$21-1)/(Q$22-Q$21),IF($E75=Q$30+1,Q$45,IF($E75&lt;=Q$36,Q$50*Q$31^($E75-Q$22-1),IF($E75=Q$36+1,Q$48,IF($E75&lt;=Q$40,Q$51*Q$38^($E75-Q$35-1),IF($E75=Q$40+1,Q$49,0))))))))</f>
        <v>#N/A</v>
      </c>
      <c r="R75" s="62" t="e">
        <f aca="false">IF(OR($E75&lt;=R$29,R$39&lt;=R$22),0,IF(AND($E75=R$29+1,$E75&lt;R$30+1),R$32,IF($E75&lt;=R$30,0.5*R$9*$B$83*(2*$E75-2*R$21-1)/(R$22-R$21),IF($E75=R$30+1,R$45,IF($E75&lt;=R$36,R$50*R$31^($E75-R$22-1),IF($E75=R$36+1,R$48,IF($E75&lt;=R$40,R$51*R$38^($E75-R$35-1),IF($E75=R$40+1,R$49,0))))))))</f>
        <v>#N/A</v>
      </c>
      <c r="S75" s="62" t="e">
        <f aca="false">IF(OR($E75&lt;=S$29,S$39&lt;=S$22),0,IF(AND($E75=S$29+1,$E75&lt;S$30+1),S$32,IF($E75&lt;=S$30,0.5*S$9*$B$83*(2*$E75-2*S$21-1)/(S$22-S$21),IF($E75=S$30+1,S$45,IF($E75&lt;=S$36,S$50*S$31^($E75-S$22-1),IF($E75=S$36+1,S$48,IF($E75&lt;=S$40,S$51*S$38^($E75-S$35-1),IF($E75=S$40+1,S$49,0))))))))</f>
        <v>#N/A</v>
      </c>
      <c r="T75" s="62" t="e">
        <f aca="false">IF(OR($E75&lt;=T$29,T$39&lt;=T$22),0,IF(AND($E75=T$29+1,$E75&lt;T$30+1),T$32,IF($E75&lt;=T$30,0.5*T$9*$B$83*(2*$E75-2*T$21-1)/(T$22-T$21),IF($E75=T$30+1,T$45,IF($E75&lt;=T$36,T$50*T$31^($E75-T$22-1),IF($E75=T$36+1,T$48,IF($E75&lt;=T$40,T$51*T$38^($E75-T$35-1),IF($E75=T$40+1,T$49,0))))))))</f>
        <v>#N/A</v>
      </c>
      <c r="U75" s="62" t="e">
        <f aca="false">IF(OR($E75&lt;=U$29,U$39&lt;=U$22),0,IF(AND($E75=U$29+1,$E75&lt;U$30+1),U$32,IF($E75&lt;=U$30,0.5*U$9*$B$83*(2*$E75-2*U$21-1)/(U$22-U$21),IF($E75=U$30+1,U$45,IF($E75&lt;=U$36,U$50*U$31^($E75-U$22-1),IF($E75=U$36+1,U$48,IF($E75&lt;=U$40,U$51*U$38^($E75-U$35-1),IF($E75=U$40+1,U$49,0))))))))</f>
        <v>#N/A</v>
      </c>
      <c r="V75" s="62" t="e">
        <f aca="false">IF(OR($E75&lt;=V$29,V$39&lt;=V$22),0,IF(AND($E75=V$29+1,$E75&lt;V$30+1),V$32,IF($E75&lt;=V$30,0.5*V$9*$B$83*(2*$E75-2*V$21-1)/(V$22-V$21),IF($E75=V$30+1,V$45,IF($E75&lt;=V$36,V$50*V$31^($E75-V$22-1),IF($E75=V$36+1,V$48,IF($E75&lt;=V$40,V$51*V$38^($E75-V$35-1),IF($E75=V$40+1,V$49,0))))))))</f>
        <v>#N/A</v>
      </c>
      <c r="W75" s="62" t="e">
        <f aca="false">IF(OR($E75&lt;=W$29,W$39&lt;=W$22),0,IF(AND($E75=W$29+1,$E75&lt;W$30+1),W$32,IF($E75&lt;=W$30,0.5*W$9*$B$83*(2*$E75-2*W$21-1)/(W$22-W$21),IF($E75=W$30+1,W$45,IF($E75&lt;=W$36,W$50*W$31^($E75-W$22-1),IF($E75=W$36+1,W$48,IF($E75&lt;=W$40,W$51*W$38^($E75-W$35-1),IF($E75=W$40+1,W$49,0))))))))</f>
        <v>#N/A</v>
      </c>
      <c r="X75" s="62" t="e">
        <f aca="false">IF(OR($E75&lt;=X$29,X$39&lt;=X$22),0,IF(AND($E75=X$29+1,$E75&lt;X$30+1),X$32,IF($E75&lt;=X$30,0.5*X$9*$B$83*(2*$E75-2*X$21-1)/(X$22-X$21),IF($E75=X$30+1,X$45,IF($E75&lt;=X$36,X$50*X$31^($E75-X$22-1),IF($E75=X$36+1,X$48,IF($E75&lt;=X$40,X$51*X$38^($E75-X$35-1),IF($E75=X$40+1,X$49,0))))))))</f>
        <v>#N/A</v>
      </c>
      <c r="Y75" s="62" t="e">
        <f aca="false">IF(OR($E75&lt;=Y$29,Y$39&lt;=Y$22),0,IF(AND($E75=Y$29+1,$E75&lt;Y$30+1),Y$32,IF($E75&lt;=Y$30,0.5*Y$9*$B$83*(2*$E75-2*Y$21-1)/(Y$22-Y$21),IF($E75=Y$30+1,Y$45,IF($E75&lt;=Y$36,Y$50*Y$31^($E75-Y$22-1),IF($E75=Y$36+1,Y$48,IF($E75&lt;=Y$40,Y$51*Y$38^($E75-Y$35-1),IF($E75=Y$40+1,Y$49,0))))))))</f>
        <v>#N/A</v>
      </c>
      <c r="Z75" s="62" t="e">
        <f aca="false">IF(OR($E75&lt;=Z$29,Z$39&lt;=Z$22),0,IF(AND($E75=Z$29+1,$E75&lt;Z$30+1),Z$32,IF($E75&lt;=Z$30,0.5*Z$9*$B$83*(2*$E75-2*Z$21-1)/(Z$22-Z$21),IF($E75=Z$30+1,Z$45,IF($E75&lt;=Z$36,Z$50*Z$31^($E75-Z$22-1),IF($E75=Z$36+1,Z$48,IF($E75&lt;=Z$40,Z$51*Z$38^($E75-Z$35-1),IF($E75=Z$40+1,Z$49,0))))))))</f>
        <v>#N/A</v>
      </c>
      <c r="AA75" s="62" t="e">
        <f aca="false">SUM(F75:Z75)</f>
        <v>#VALUE!</v>
      </c>
    </row>
    <row r="76" customFormat="false" ht="11.25" hidden="false" customHeight="false" outlineLevel="0" collapsed="false">
      <c r="A76" s="12"/>
      <c r="B76" s="12"/>
      <c r="C76" s="12"/>
      <c r="D76" s="12"/>
      <c r="E76" s="5" t="n">
        <f aca="false">+E75+1</f>
        <v>22</v>
      </c>
      <c r="F76" s="54" t="e">
        <f aca="false">(IF(OR($E76&lt;=F$29,F$39&lt;=F$22),0,IF(AND($E76=F$29+1,$E76&lt;F$30+1),F$32,IF($E76&lt;=F$30,0.5*F$9*$B$83*(2*$E76-2*F$21-1)/(F$22-F$21),IF($E76=F$30+1,F$45,IF($E76&lt;=F$36,F$50*F$31^($E76-F$22-1),IF($E76=F$36+1,F$48,IF($E76&lt;=F$40,F$51*F$38^($E76-F$35-1),IF($E76=F$40+1,F$49,0)))))))))</f>
        <v>#VALUE!</v>
      </c>
      <c r="G76" s="54" t="e">
        <f aca="false">IF(OR($E76&lt;=G$29,G$39&lt;=G$22),0,IF(AND($E76=G$29+1,$E76&lt;G$30+1),G$32,IF($E76&lt;=G$30,0.5*G$9*$B$83*(2*$E76-2*G$21-1)/(G$22-G$21),IF($E76=G$30+1,G$45,IF($E76&lt;=G$36,G$50*G$31^($E76-G$22-1),IF($E76=G$36+1,G$48,IF($E76&lt;=G$40,G$51*G$38^($E76-G$35-1),IF($E76=G$40+1,G$49,0))))))))</f>
        <v>#VALUE!</v>
      </c>
      <c r="H76" s="54" t="e">
        <f aca="false">IF(OR($E76&lt;=H$29,H$39&lt;=H$22),0,IF(AND($E76=H$29+1,$E76&lt;H$30+1),H$32,IF($E76&lt;=H$30,0.5*H$9*$B$83*(2*$E76-2*H$21-1)/(H$22-H$21),IF($E76=H$30+1,H$45,IF($E76&lt;=H$36,H$50*H$31^($E76-H$22-1),IF($E76=H$36+1,H$48,IF($E76&lt;=H$40,H$51*H$38^($E76-H$35-1),IF($E76=H$40+1,H$49,0))))))))</f>
        <v>#N/A</v>
      </c>
      <c r="I76" s="54" t="e">
        <f aca="false">IF(OR($E76&lt;=I$29,I$39&lt;=I$22),0,IF(AND($E76=I$29+1,$E76&lt;I$30+1),I$32,IF($E76&lt;=I$30,0.5*I$9*$B$83*(2*$E76-2*I$21-1)/(I$22-I$21),IF($E76=I$30+1,I$45,IF($E76&lt;=I$36,I$50*I$31^($E76-I$22-1),IF($E76=I$36+1,I$48,IF($E76&lt;=I$40,I$51*I$38^($E76-I$35-1),IF($E76=I$40+1,I$49,0))))))))</f>
        <v>#N/A</v>
      </c>
      <c r="J76" s="54" t="e">
        <f aca="false">IF(OR($E76&lt;=J$29,J$39&lt;=J$22),0,IF(AND($E76=J$29+1,$E76&lt;J$30+1),J$32,IF($E76&lt;=J$30,0.5*J$9*$B$83*(2*$E76-2*J$21-1)/(J$22-J$21),IF($E76=J$30+1,J$45,IF($E76&lt;=J$36,J$50*J$31^($E76-J$22-1),IF($E76=J$36+1,J$48,IF($E76&lt;=J$40,J$51*J$38^($E76-J$35-1),IF($E76=J$40+1,J$49,0))))))))</f>
        <v>#N/A</v>
      </c>
      <c r="K76" s="54" t="e">
        <f aca="false">IF(OR($E76&lt;=K$29,K$39&lt;=K$22),0,IF(AND($E76=K$29+1,$E76&lt;K$30+1),K$32,IF($E76&lt;=K$30,0.5*K$9*$B$83*(2*$E76-2*K$21-1)/(K$22-K$21),IF($E76=K$30+1,K$45,IF($E76&lt;=K$36,K$50*K$31^($E76-K$22-1),IF($E76=K$36+1,K$48,IF($E76&lt;=K$40,K$51*K$38^($E76-K$35-1),IF($E76=K$40+1,K$49,0))))))))</f>
        <v>#N/A</v>
      </c>
      <c r="L76" s="54" t="e">
        <f aca="false">IF(OR($E76&lt;=L$29,L$39&lt;=L$22),0,IF(AND($E76=L$29+1,$E76&lt;L$30+1),L$32,IF($E76&lt;=L$30,0.5*L$9*$B$83*(2*$E76-2*L$21-1)/(L$22-L$21),IF($E76=L$30+1,L$45,IF($E76&lt;=L$36,L$50*L$31^($E76-L$22-1),IF($E76=L$36+1,L$48,IF($E76&lt;=L$40,L$51*L$38^($E76-L$35-1),IF($E76=L$40+1,L$49,0))))))))</f>
        <v>#N/A</v>
      </c>
      <c r="M76" s="54" t="e">
        <f aca="false">IF(OR($E76&lt;=M$29,M$39&lt;=M$22),0,IF(AND($E76=M$29+1,$E76&lt;M$30+1),M$32,IF($E76&lt;=M$30,0.5*M$9*$B$83*(2*$E76-2*M$21-1)/(M$22-M$21),IF($E76=M$30+1,M$45,IF($E76&lt;=M$36,M$50*M$31^($E76-M$22-1),IF($E76=M$36+1,M$48,IF($E76&lt;=M$40,M$51*M$38^($E76-M$35-1),IF($E76=M$40+1,M$49,0))))))))</f>
        <v>#N/A</v>
      </c>
      <c r="N76" s="54" t="e">
        <f aca="false">IF(OR($E76&lt;=N$29,N$39&lt;=N$22),0,IF(AND($E76=N$29+1,$E76&lt;N$30+1),N$32,IF($E76&lt;=N$30,0.5*N$9*$B$83*(2*$E76-2*N$21-1)/(N$22-N$21),IF($E76=N$30+1,N$45,IF($E76&lt;=N$36,N$50*N$31^($E76-N$22-1),IF($E76=N$36+1,N$48,IF($E76&lt;=N$40,N$51*N$38^($E76-N$35-1),IF($E76=N$40+1,N$49,0))))))))</f>
        <v>#N/A</v>
      </c>
      <c r="O76" s="54" t="e">
        <f aca="false">IF(OR($E76&lt;=O$29,O$39&lt;=O$22),0,IF(AND($E76=O$29+1,$E76&lt;O$30+1),O$32,IF($E76&lt;=O$30,0.5*O$9*$B$83*(2*$E76-2*O$21-1)/(O$22-O$21),IF($E76=O$30+1,O$45,IF($E76&lt;=O$36,O$50*O$31^($E76-O$22-1),IF($E76=O$36+1,O$48,IF($E76&lt;=O$40,O$51*O$38^($E76-O$35-1),IF($E76=O$40+1,O$49,0))))))))</f>
        <v>#N/A</v>
      </c>
      <c r="P76" s="54" t="e">
        <f aca="false">IF(OR($E76&lt;=P$29,P$39&lt;=P$22),0,IF(AND($E76=P$29+1,$E76&lt;P$30+1),P$32,IF($E76&lt;=P$30,0.5*P$9*$B$83*(2*$E76-2*P$21-1)/(P$22-P$21),IF($E76=P$30+1,P$45,IF($E76&lt;=P$36,P$50*P$31^($E76-P$22-1),IF($E76=P$36+1,P$48,IF($E76&lt;=P$40,P$51*P$38^($E76-P$35-1),IF($E76=P$40+1,P$49,0))))))))</f>
        <v>#N/A</v>
      </c>
      <c r="Q76" s="54" t="e">
        <f aca="false">IF(OR($E76&lt;=Q$29,Q$39&lt;=Q$22),0,IF(AND($E76=Q$29+1,$E76&lt;Q$30+1),Q$32,IF($E76&lt;=Q$30,0.5*Q$9*$B$83*(2*$E76-2*Q$21-1)/(Q$22-Q$21),IF($E76=Q$30+1,Q$45,IF($E76&lt;=Q$36,Q$50*Q$31^($E76-Q$22-1),IF($E76=Q$36+1,Q$48,IF($E76&lt;=Q$40,Q$51*Q$38^($E76-Q$35-1),IF($E76=Q$40+1,Q$49,0))))))))</f>
        <v>#N/A</v>
      </c>
      <c r="R76" s="54" t="e">
        <f aca="false">IF(OR($E76&lt;=R$29,R$39&lt;=R$22),0,IF(AND($E76=R$29+1,$E76&lt;R$30+1),R$32,IF($E76&lt;=R$30,0.5*R$9*$B$83*(2*$E76-2*R$21-1)/(R$22-R$21),IF($E76=R$30+1,R$45,IF($E76&lt;=R$36,R$50*R$31^($E76-R$22-1),IF($E76=R$36+1,R$48,IF($E76&lt;=R$40,R$51*R$38^($E76-R$35-1),IF($E76=R$40+1,R$49,0))))))))</f>
        <v>#N/A</v>
      </c>
      <c r="S76" s="54" t="e">
        <f aca="false">IF(OR($E76&lt;=S$29,S$39&lt;=S$22),0,IF(AND($E76=S$29+1,$E76&lt;S$30+1),S$32,IF($E76&lt;=S$30,0.5*S$9*$B$83*(2*$E76-2*S$21-1)/(S$22-S$21),IF($E76=S$30+1,S$45,IF($E76&lt;=S$36,S$50*S$31^($E76-S$22-1),IF($E76=S$36+1,S$48,IF($E76&lt;=S$40,S$51*S$38^($E76-S$35-1),IF($E76=S$40+1,S$49,0))))))))</f>
        <v>#N/A</v>
      </c>
      <c r="T76" s="54" t="e">
        <f aca="false">IF(OR($E76&lt;=T$29,T$39&lt;=T$22),0,IF(AND($E76=T$29+1,$E76&lt;T$30+1),T$32,IF($E76&lt;=T$30,0.5*T$9*$B$83*(2*$E76-2*T$21-1)/(T$22-T$21),IF($E76=T$30+1,T$45,IF($E76&lt;=T$36,T$50*T$31^($E76-T$22-1),IF($E76=T$36+1,T$48,IF($E76&lt;=T$40,T$51*T$38^($E76-T$35-1),IF($E76=T$40+1,T$49,0))))))))</f>
        <v>#N/A</v>
      </c>
      <c r="U76" s="54" t="e">
        <f aca="false">IF(OR($E76&lt;=U$29,U$39&lt;=U$22),0,IF(AND($E76=U$29+1,$E76&lt;U$30+1),U$32,IF($E76&lt;=U$30,0.5*U$9*$B$83*(2*$E76-2*U$21-1)/(U$22-U$21),IF($E76=U$30+1,U$45,IF($E76&lt;=U$36,U$50*U$31^($E76-U$22-1),IF($E76=U$36+1,U$48,IF($E76&lt;=U$40,U$51*U$38^($E76-U$35-1),IF($E76=U$40+1,U$49,0))))))))</f>
        <v>#N/A</v>
      </c>
      <c r="V76" s="54" t="e">
        <f aca="false">IF(OR($E76&lt;=V$29,V$39&lt;=V$22),0,IF(AND($E76=V$29+1,$E76&lt;V$30+1),V$32,IF($E76&lt;=V$30,0.5*V$9*$B$83*(2*$E76-2*V$21-1)/(V$22-V$21),IF($E76=V$30+1,V$45,IF($E76&lt;=V$36,V$50*V$31^($E76-V$22-1),IF($E76=V$36+1,V$48,IF($E76&lt;=V$40,V$51*V$38^($E76-V$35-1),IF($E76=V$40+1,V$49,0))))))))</f>
        <v>#N/A</v>
      </c>
      <c r="W76" s="54" t="e">
        <f aca="false">IF(OR($E76&lt;=W$29,W$39&lt;=W$22),0,IF(AND($E76=W$29+1,$E76&lt;W$30+1),W$32,IF($E76&lt;=W$30,0.5*W$9*$B$83*(2*$E76-2*W$21-1)/(W$22-W$21),IF($E76=W$30+1,W$45,IF($E76&lt;=W$36,W$50*W$31^($E76-W$22-1),IF($E76=W$36+1,W$48,IF($E76&lt;=W$40,W$51*W$38^($E76-W$35-1),IF($E76=W$40+1,W$49,0))))))))</f>
        <v>#N/A</v>
      </c>
      <c r="X76" s="54" t="e">
        <f aca="false">IF(OR($E76&lt;=X$29,X$39&lt;=X$22),0,IF(AND($E76=X$29+1,$E76&lt;X$30+1),X$32,IF($E76&lt;=X$30,0.5*X$9*$B$83*(2*$E76-2*X$21-1)/(X$22-X$21),IF($E76=X$30+1,X$45,IF($E76&lt;=X$36,X$50*X$31^($E76-X$22-1),IF($E76=X$36+1,X$48,IF($E76&lt;=X$40,X$51*X$38^($E76-X$35-1),IF($E76=X$40+1,X$49,0))))))))</f>
        <v>#N/A</v>
      </c>
      <c r="Y76" s="54" t="e">
        <f aca="false">IF(OR($E76&lt;=Y$29,Y$39&lt;=Y$22),0,IF(AND($E76=Y$29+1,$E76&lt;Y$30+1),Y$32,IF($E76&lt;=Y$30,0.5*Y$9*$B$83*(2*$E76-2*Y$21-1)/(Y$22-Y$21),IF($E76=Y$30+1,Y$45,IF($E76&lt;=Y$36,Y$50*Y$31^($E76-Y$22-1),IF($E76=Y$36+1,Y$48,IF($E76&lt;=Y$40,Y$51*Y$38^($E76-Y$35-1),IF($E76=Y$40+1,Y$49,0))))))))</f>
        <v>#N/A</v>
      </c>
      <c r="Z76" s="54" t="e">
        <f aca="false">IF(OR($E76&lt;=Z$29,Z$39&lt;=Z$22),0,IF(AND($E76=Z$29+1,$E76&lt;Z$30+1),Z$32,IF($E76&lt;=Z$30,0.5*Z$9*$B$83*(2*$E76-2*Z$21-1)/(Z$22-Z$21),IF($E76=Z$30+1,Z$45,IF($E76&lt;=Z$36,Z$50*Z$31^($E76-Z$22-1),IF($E76=Z$36+1,Z$48,IF($E76&lt;=Z$40,Z$51*Z$38^($E76-Z$35-1),IF($E76=Z$40+1,Z$49,0))))))))</f>
        <v>#N/A</v>
      </c>
      <c r="AA76" s="54" t="e">
        <f aca="false">SUM(F76:Z76)</f>
        <v>#VALUE!</v>
      </c>
    </row>
    <row r="77" customFormat="false" ht="11.25" hidden="false" customHeight="false" outlineLevel="0" collapsed="false">
      <c r="A77" s="12"/>
      <c r="B77" s="12"/>
      <c r="C77" s="12"/>
      <c r="D77" s="12"/>
      <c r="E77" s="5" t="n">
        <f aca="false">+E76+1</f>
        <v>23</v>
      </c>
      <c r="F77" s="54" t="e">
        <f aca="false">(IF(OR($E77&lt;=F$29,F$39&lt;=F$22),0,IF(AND($E77=F$29+1,$E77&lt;F$30+1),F$32,IF($E77&lt;=F$30,0.5*F$9*$B$83*(2*$E77-2*F$21-1)/(F$22-F$21),IF($E77=F$30+1,F$45,IF($E77&lt;=F$36,F$50*F$31^($E77-F$22-1),IF($E77=F$36+1,F$48,IF($E77&lt;=F$40,F$51*F$38^($E77-F$35-1),IF($E77=F$40+1,F$49,0)))))))))</f>
        <v>#VALUE!</v>
      </c>
      <c r="G77" s="54" t="e">
        <f aca="false">IF(OR($E77&lt;=G$29,G$39&lt;=G$22),0,IF(AND($E77=G$29+1,$E77&lt;G$30+1),G$32,IF($E77&lt;=G$30,0.5*G$9*$B$83*(2*$E77-2*G$21-1)/(G$22-G$21),IF($E77=G$30+1,G$45,IF($E77&lt;=G$36,G$50*G$31^($E77-G$22-1),IF($E77=G$36+1,G$48,IF($E77&lt;=G$40,G$51*G$38^($E77-G$35-1),IF($E77=G$40+1,G$49,0))))))))</f>
        <v>#VALUE!</v>
      </c>
      <c r="H77" s="54" t="e">
        <f aca="false">IF(OR($E77&lt;=H$29,H$39&lt;=H$22),0,IF(AND($E77=H$29+1,$E77&lt;H$30+1),H$32,IF($E77&lt;=H$30,0.5*H$9*$B$83*(2*$E77-2*H$21-1)/(H$22-H$21),IF($E77=H$30+1,H$45,IF($E77&lt;=H$36,H$50*H$31^($E77-H$22-1),IF($E77=H$36+1,H$48,IF($E77&lt;=H$40,H$51*H$38^($E77-H$35-1),IF($E77=H$40+1,H$49,0))))))))</f>
        <v>#N/A</v>
      </c>
      <c r="I77" s="54" t="e">
        <f aca="false">IF(OR($E77&lt;=I$29,I$39&lt;=I$22),0,IF(AND($E77=I$29+1,$E77&lt;I$30+1),I$32,IF($E77&lt;=I$30,0.5*I$9*$B$83*(2*$E77-2*I$21-1)/(I$22-I$21),IF($E77=I$30+1,I$45,IF($E77&lt;=I$36,I$50*I$31^($E77-I$22-1),IF($E77=I$36+1,I$48,IF($E77&lt;=I$40,I$51*I$38^($E77-I$35-1),IF($E77=I$40+1,I$49,0))))))))</f>
        <v>#N/A</v>
      </c>
      <c r="J77" s="54" t="e">
        <f aca="false">IF(OR($E77&lt;=J$29,J$39&lt;=J$22),0,IF(AND($E77=J$29+1,$E77&lt;J$30+1),J$32,IF($E77&lt;=J$30,0.5*J$9*$B$83*(2*$E77-2*J$21-1)/(J$22-J$21),IF($E77=J$30+1,J$45,IF($E77&lt;=J$36,J$50*J$31^($E77-J$22-1),IF($E77=J$36+1,J$48,IF($E77&lt;=J$40,J$51*J$38^($E77-J$35-1),IF($E77=J$40+1,J$49,0))))))))</f>
        <v>#N/A</v>
      </c>
      <c r="K77" s="54" t="e">
        <f aca="false">IF(OR($E77&lt;=K$29,K$39&lt;=K$22),0,IF(AND($E77=K$29+1,$E77&lt;K$30+1),K$32,IF($E77&lt;=K$30,0.5*K$9*$B$83*(2*$E77-2*K$21-1)/(K$22-K$21),IF($E77=K$30+1,K$45,IF($E77&lt;=K$36,K$50*K$31^($E77-K$22-1),IF($E77=K$36+1,K$48,IF($E77&lt;=K$40,K$51*K$38^($E77-K$35-1),IF($E77=K$40+1,K$49,0))))))))</f>
        <v>#N/A</v>
      </c>
      <c r="L77" s="54" t="e">
        <f aca="false">IF(OR($E77&lt;=L$29,L$39&lt;=L$22),0,IF(AND($E77=L$29+1,$E77&lt;L$30+1),L$32,IF($E77&lt;=L$30,0.5*L$9*$B$83*(2*$E77-2*L$21-1)/(L$22-L$21),IF($E77=L$30+1,L$45,IF($E77&lt;=L$36,L$50*L$31^($E77-L$22-1),IF($E77=L$36+1,L$48,IF($E77&lt;=L$40,L$51*L$38^($E77-L$35-1),IF($E77=L$40+1,L$49,0))))))))</f>
        <v>#N/A</v>
      </c>
      <c r="M77" s="54" t="e">
        <f aca="false">IF(OR($E77&lt;=M$29,M$39&lt;=M$22),0,IF(AND($E77=M$29+1,$E77&lt;M$30+1),M$32,IF($E77&lt;=M$30,0.5*M$9*$B$83*(2*$E77-2*M$21-1)/(M$22-M$21),IF($E77=M$30+1,M$45,IF($E77&lt;=M$36,M$50*M$31^($E77-M$22-1),IF($E77=M$36+1,M$48,IF($E77&lt;=M$40,M$51*M$38^($E77-M$35-1),IF($E77=M$40+1,M$49,0))))))))</f>
        <v>#N/A</v>
      </c>
      <c r="N77" s="54" t="e">
        <f aca="false">IF(OR($E77&lt;=N$29,N$39&lt;=N$22),0,IF(AND($E77=N$29+1,$E77&lt;N$30+1),N$32,IF($E77&lt;=N$30,0.5*N$9*$B$83*(2*$E77-2*N$21-1)/(N$22-N$21),IF($E77=N$30+1,N$45,IF($E77&lt;=N$36,N$50*N$31^($E77-N$22-1),IF($E77=N$36+1,N$48,IF($E77&lt;=N$40,N$51*N$38^($E77-N$35-1),IF($E77=N$40+1,N$49,0))))))))</f>
        <v>#N/A</v>
      </c>
      <c r="O77" s="54" t="e">
        <f aca="false">IF(OR($E77&lt;=O$29,O$39&lt;=O$22),0,IF(AND($E77=O$29+1,$E77&lt;O$30+1),O$32,IF($E77&lt;=O$30,0.5*O$9*$B$83*(2*$E77-2*O$21-1)/(O$22-O$21),IF($E77=O$30+1,O$45,IF($E77&lt;=O$36,O$50*O$31^($E77-O$22-1),IF($E77=O$36+1,O$48,IF($E77&lt;=O$40,O$51*O$38^($E77-O$35-1),IF($E77=O$40+1,O$49,0))))))))</f>
        <v>#N/A</v>
      </c>
      <c r="P77" s="54" t="e">
        <f aca="false">IF(OR($E77&lt;=P$29,P$39&lt;=P$22),0,IF(AND($E77=P$29+1,$E77&lt;P$30+1),P$32,IF($E77&lt;=P$30,0.5*P$9*$B$83*(2*$E77-2*P$21-1)/(P$22-P$21),IF($E77=P$30+1,P$45,IF($E77&lt;=P$36,P$50*P$31^($E77-P$22-1),IF($E77=P$36+1,P$48,IF($E77&lt;=P$40,P$51*P$38^($E77-P$35-1),IF($E77=P$40+1,P$49,0))))))))</f>
        <v>#N/A</v>
      </c>
      <c r="Q77" s="54" t="e">
        <f aca="false">IF(OR($E77&lt;=Q$29,Q$39&lt;=Q$22),0,IF(AND($E77=Q$29+1,$E77&lt;Q$30+1),Q$32,IF($E77&lt;=Q$30,0.5*Q$9*$B$83*(2*$E77-2*Q$21-1)/(Q$22-Q$21),IF($E77=Q$30+1,Q$45,IF($E77&lt;=Q$36,Q$50*Q$31^($E77-Q$22-1),IF($E77=Q$36+1,Q$48,IF($E77&lt;=Q$40,Q$51*Q$38^($E77-Q$35-1),IF($E77=Q$40+1,Q$49,0))))))))</f>
        <v>#N/A</v>
      </c>
      <c r="R77" s="54" t="e">
        <f aca="false">IF(OR($E77&lt;=R$29,R$39&lt;=R$22),0,IF(AND($E77=R$29+1,$E77&lt;R$30+1),R$32,IF($E77&lt;=R$30,0.5*R$9*$B$83*(2*$E77-2*R$21-1)/(R$22-R$21),IF($E77=R$30+1,R$45,IF($E77&lt;=R$36,R$50*R$31^($E77-R$22-1),IF($E77=R$36+1,R$48,IF($E77&lt;=R$40,R$51*R$38^($E77-R$35-1),IF($E77=R$40+1,R$49,0))))))))</f>
        <v>#N/A</v>
      </c>
      <c r="S77" s="54" t="e">
        <f aca="false">IF(OR($E77&lt;=S$29,S$39&lt;=S$22),0,IF(AND($E77=S$29+1,$E77&lt;S$30+1),S$32,IF($E77&lt;=S$30,0.5*S$9*$B$83*(2*$E77-2*S$21-1)/(S$22-S$21),IF($E77=S$30+1,S$45,IF($E77&lt;=S$36,S$50*S$31^($E77-S$22-1),IF($E77=S$36+1,S$48,IF($E77&lt;=S$40,S$51*S$38^($E77-S$35-1),IF($E77=S$40+1,S$49,0))))))))</f>
        <v>#N/A</v>
      </c>
      <c r="T77" s="54" t="e">
        <f aca="false">IF(OR($E77&lt;=T$29,T$39&lt;=T$22),0,IF(AND($E77=T$29+1,$E77&lt;T$30+1),T$32,IF($E77&lt;=T$30,0.5*T$9*$B$83*(2*$E77-2*T$21-1)/(T$22-T$21),IF($E77=T$30+1,T$45,IF($E77&lt;=T$36,T$50*T$31^($E77-T$22-1),IF($E77=T$36+1,T$48,IF($E77&lt;=T$40,T$51*T$38^($E77-T$35-1),IF($E77=T$40+1,T$49,0))))))))</f>
        <v>#N/A</v>
      </c>
      <c r="U77" s="54" t="e">
        <f aca="false">IF(OR($E77&lt;=U$29,U$39&lt;=U$22),0,IF(AND($E77=U$29+1,$E77&lt;U$30+1),U$32,IF($E77&lt;=U$30,0.5*U$9*$B$83*(2*$E77-2*U$21-1)/(U$22-U$21),IF($E77=U$30+1,U$45,IF($E77&lt;=U$36,U$50*U$31^($E77-U$22-1),IF($E77=U$36+1,U$48,IF($E77&lt;=U$40,U$51*U$38^($E77-U$35-1),IF($E77=U$40+1,U$49,0))))))))</f>
        <v>#N/A</v>
      </c>
      <c r="V77" s="54" t="e">
        <f aca="false">IF(OR($E77&lt;=V$29,V$39&lt;=V$22),0,IF(AND($E77=V$29+1,$E77&lt;V$30+1),V$32,IF($E77&lt;=V$30,0.5*V$9*$B$83*(2*$E77-2*V$21-1)/(V$22-V$21),IF($E77=V$30+1,V$45,IF($E77&lt;=V$36,V$50*V$31^($E77-V$22-1),IF($E77=V$36+1,V$48,IF($E77&lt;=V$40,V$51*V$38^($E77-V$35-1),IF($E77=V$40+1,V$49,0))))))))</f>
        <v>#N/A</v>
      </c>
      <c r="W77" s="54" t="e">
        <f aca="false">IF(OR($E77&lt;=W$29,W$39&lt;=W$22),0,IF(AND($E77=W$29+1,$E77&lt;W$30+1),W$32,IF($E77&lt;=W$30,0.5*W$9*$B$83*(2*$E77-2*W$21-1)/(W$22-W$21),IF($E77=W$30+1,W$45,IF($E77&lt;=W$36,W$50*W$31^($E77-W$22-1),IF($E77=W$36+1,W$48,IF($E77&lt;=W$40,W$51*W$38^($E77-W$35-1),IF($E77=W$40+1,W$49,0))))))))</f>
        <v>#N/A</v>
      </c>
      <c r="X77" s="54" t="e">
        <f aca="false">IF(OR($E77&lt;=X$29,X$39&lt;=X$22),0,IF(AND($E77=X$29+1,$E77&lt;X$30+1),X$32,IF($E77&lt;=X$30,0.5*X$9*$B$83*(2*$E77-2*X$21-1)/(X$22-X$21),IF($E77=X$30+1,X$45,IF($E77&lt;=X$36,X$50*X$31^($E77-X$22-1),IF($E77=X$36+1,X$48,IF($E77&lt;=X$40,X$51*X$38^($E77-X$35-1),IF($E77=X$40+1,X$49,0))))))))</f>
        <v>#N/A</v>
      </c>
      <c r="Y77" s="54" t="e">
        <f aca="false">IF(OR($E77&lt;=Y$29,Y$39&lt;=Y$22),0,IF(AND($E77=Y$29+1,$E77&lt;Y$30+1),Y$32,IF($E77&lt;=Y$30,0.5*Y$9*$B$83*(2*$E77-2*Y$21-1)/(Y$22-Y$21),IF($E77=Y$30+1,Y$45,IF($E77&lt;=Y$36,Y$50*Y$31^($E77-Y$22-1),IF($E77=Y$36+1,Y$48,IF($E77&lt;=Y$40,Y$51*Y$38^($E77-Y$35-1),IF($E77=Y$40+1,Y$49,0))))))))</f>
        <v>#N/A</v>
      </c>
      <c r="Z77" s="54" t="e">
        <f aca="false">IF(OR($E77&lt;=Z$29,Z$39&lt;=Z$22),0,IF(AND($E77=Z$29+1,$E77&lt;Z$30+1),Z$32,IF($E77&lt;=Z$30,0.5*Z$9*$B$83*(2*$E77-2*Z$21-1)/(Z$22-Z$21),IF($E77=Z$30+1,Z$45,IF($E77&lt;=Z$36,Z$50*Z$31^($E77-Z$22-1),IF($E77=Z$36+1,Z$48,IF($E77&lt;=Z$40,Z$51*Z$38^($E77-Z$35-1),IF($E77=Z$40+1,Z$49,0))))))))</f>
        <v>#N/A</v>
      </c>
      <c r="AA77" s="54" t="e">
        <f aca="false">SUM(F77:Z77)</f>
        <v>#VALUE!</v>
      </c>
    </row>
    <row r="78" customFormat="false" ht="11.25" hidden="false" customHeight="false" outlineLevel="0" collapsed="false">
      <c r="A78" s="12"/>
      <c r="B78" s="12"/>
      <c r="C78" s="12"/>
      <c r="D78" s="12"/>
      <c r="E78" s="5" t="n">
        <f aca="false">+E77+1</f>
        <v>24</v>
      </c>
      <c r="F78" s="54" t="e">
        <f aca="false">(IF(OR($E78&lt;=F$29,F$39&lt;=F$22),0,IF(AND($E78=F$29+1,$E78&lt;F$30+1),F$32,IF($E78&lt;=F$30,0.5*F$9*$B$83*(2*$E78-2*F$21-1)/(F$22-F$21),IF($E78=F$30+1,F$45,IF($E78&lt;=F$36,F$50*F$31^($E78-F$22-1),IF($E78=F$36+1,F$48,IF($E78&lt;=F$40,F$51*F$38^($E78-F$35-1),IF($E78=F$40+1,F$49,0)))))))))</f>
        <v>#VALUE!</v>
      </c>
      <c r="G78" s="54" t="e">
        <f aca="false">IF(OR($E78&lt;=G$29,G$39&lt;=G$22),0,IF(AND($E78=G$29+1,$E78&lt;G$30+1),G$32,IF($E78&lt;=G$30,0.5*G$9*$B$83*(2*$E78-2*G$21-1)/(G$22-G$21),IF($E78=G$30+1,G$45,IF($E78&lt;=G$36,G$50*G$31^($E78-G$22-1),IF($E78=G$36+1,G$48,IF($E78&lt;=G$40,G$51*G$38^($E78-G$35-1),IF($E78=G$40+1,G$49,0))))))))</f>
        <v>#VALUE!</v>
      </c>
      <c r="H78" s="54" t="e">
        <f aca="false">IF(OR($E78&lt;=H$29,H$39&lt;=H$22),0,IF(AND($E78=H$29+1,$E78&lt;H$30+1),H$32,IF($E78&lt;=H$30,0.5*H$9*$B$83*(2*$E78-2*H$21-1)/(H$22-H$21),IF($E78=H$30+1,H$45,IF($E78&lt;=H$36,H$50*H$31^($E78-H$22-1),IF($E78=H$36+1,H$48,IF($E78&lt;=H$40,H$51*H$38^($E78-H$35-1),IF($E78=H$40+1,H$49,0))))))))</f>
        <v>#N/A</v>
      </c>
      <c r="I78" s="54" t="e">
        <f aca="false">IF(OR($E78&lt;=I$29,I$39&lt;=I$22),0,IF(AND($E78=I$29+1,$E78&lt;I$30+1),I$32,IF($E78&lt;=I$30,0.5*I$9*$B$83*(2*$E78-2*I$21-1)/(I$22-I$21),IF($E78=I$30+1,I$45,IF($E78&lt;=I$36,I$50*I$31^($E78-I$22-1),IF($E78=I$36+1,I$48,IF($E78&lt;=I$40,I$51*I$38^($E78-I$35-1),IF($E78=I$40+1,I$49,0))))))))</f>
        <v>#N/A</v>
      </c>
      <c r="J78" s="54" t="e">
        <f aca="false">IF(OR($E78&lt;=J$29,J$39&lt;=J$22),0,IF(AND($E78=J$29+1,$E78&lt;J$30+1),J$32,IF($E78&lt;=J$30,0.5*J$9*$B$83*(2*$E78-2*J$21-1)/(J$22-J$21),IF($E78=J$30+1,J$45,IF($E78&lt;=J$36,J$50*J$31^($E78-J$22-1),IF($E78=J$36+1,J$48,IF($E78&lt;=J$40,J$51*J$38^($E78-J$35-1),IF($E78=J$40+1,J$49,0))))))))</f>
        <v>#N/A</v>
      </c>
      <c r="K78" s="54" t="e">
        <f aca="false">IF(OR($E78&lt;=K$29,K$39&lt;=K$22),0,IF(AND($E78=K$29+1,$E78&lt;K$30+1),K$32,IF($E78&lt;=K$30,0.5*K$9*$B$83*(2*$E78-2*K$21-1)/(K$22-K$21),IF($E78=K$30+1,K$45,IF($E78&lt;=K$36,K$50*K$31^($E78-K$22-1),IF($E78=K$36+1,K$48,IF($E78&lt;=K$40,K$51*K$38^($E78-K$35-1),IF($E78=K$40+1,K$49,0))))))))</f>
        <v>#N/A</v>
      </c>
      <c r="L78" s="54" t="e">
        <f aca="false">IF(OR($E78&lt;=L$29,L$39&lt;=L$22),0,IF(AND($E78=L$29+1,$E78&lt;L$30+1),L$32,IF($E78&lt;=L$30,0.5*L$9*$B$83*(2*$E78-2*L$21-1)/(L$22-L$21),IF($E78=L$30+1,L$45,IF($E78&lt;=L$36,L$50*L$31^($E78-L$22-1),IF($E78=L$36+1,L$48,IF($E78&lt;=L$40,L$51*L$38^($E78-L$35-1),IF($E78=L$40+1,L$49,0))))))))</f>
        <v>#N/A</v>
      </c>
      <c r="M78" s="54" t="e">
        <f aca="false">IF(OR($E78&lt;=M$29,M$39&lt;=M$22),0,IF(AND($E78=M$29+1,$E78&lt;M$30+1),M$32,IF($E78&lt;=M$30,0.5*M$9*$B$83*(2*$E78-2*M$21-1)/(M$22-M$21),IF($E78=M$30+1,M$45,IF($E78&lt;=M$36,M$50*M$31^($E78-M$22-1),IF($E78=M$36+1,M$48,IF($E78&lt;=M$40,M$51*M$38^($E78-M$35-1),IF($E78=M$40+1,M$49,0))))))))</f>
        <v>#N/A</v>
      </c>
      <c r="N78" s="54" t="e">
        <f aca="false">IF(OR($E78&lt;=N$29,N$39&lt;=N$22),0,IF(AND($E78=N$29+1,$E78&lt;N$30+1),N$32,IF($E78&lt;=N$30,0.5*N$9*$B$83*(2*$E78-2*N$21-1)/(N$22-N$21),IF($E78=N$30+1,N$45,IF($E78&lt;=N$36,N$50*N$31^($E78-N$22-1),IF($E78=N$36+1,N$48,IF($E78&lt;=N$40,N$51*N$38^($E78-N$35-1),IF($E78=N$40+1,N$49,0))))))))</f>
        <v>#N/A</v>
      </c>
      <c r="O78" s="54" t="e">
        <f aca="false">IF(OR($E78&lt;=O$29,O$39&lt;=O$22),0,IF(AND($E78=O$29+1,$E78&lt;O$30+1),O$32,IF($E78&lt;=O$30,0.5*O$9*$B$83*(2*$E78-2*O$21-1)/(O$22-O$21),IF($E78=O$30+1,O$45,IF($E78&lt;=O$36,O$50*O$31^($E78-O$22-1),IF($E78=O$36+1,O$48,IF($E78&lt;=O$40,O$51*O$38^($E78-O$35-1),IF($E78=O$40+1,O$49,0))))))))</f>
        <v>#N/A</v>
      </c>
      <c r="P78" s="54" t="e">
        <f aca="false">IF(OR($E78&lt;=P$29,P$39&lt;=P$22),0,IF(AND($E78=P$29+1,$E78&lt;P$30+1),P$32,IF($E78&lt;=P$30,0.5*P$9*$B$83*(2*$E78-2*P$21-1)/(P$22-P$21),IF($E78=P$30+1,P$45,IF($E78&lt;=P$36,P$50*P$31^($E78-P$22-1),IF($E78=P$36+1,P$48,IF($E78&lt;=P$40,P$51*P$38^($E78-P$35-1),IF($E78=P$40+1,P$49,0))))))))</f>
        <v>#N/A</v>
      </c>
      <c r="Q78" s="54" t="e">
        <f aca="false">IF(OR($E78&lt;=Q$29,Q$39&lt;=Q$22),0,IF(AND($E78=Q$29+1,$E78&lt;Q$30+1),Q$32,IF($E78&lt;=Q$30,0.5*Q$9*$B$83*(2*$E78-2*Q$21-1)/(Q$22-Q$21),IF($E78=Q$30+1,Q$45,IF($E78&lt;=Q$36,Q$50*Q$31^($E78-Q$22-1),IF($E78=Q$36+1,Q$48,IF($E78&lt;=Q$40,Q$51*Q$38^($E78-Q$35-1),IF($E78=Q$40+1,Q$49,0))))))))</f>
        <v>#N/A</v>
      </c>
      <c r="R78" s="54" t="e">
        <f aca="false">IF(OR($E78&lt;=R$29,R$39&lt;=R$22),0,IF(AND($E78=R$29+1,$E78&lt;R$30+1),R$32,IF($E78&lt;=R$30,0.5*R$9*$B$83*(2*$E78-2*R$21-1)/(R$22-R$21),IF($E78=R$30+1,R$45,IF($E78&lt;=R$36,R$50*R$31^($E78-R$22-1),IF($E78=R$36+1,R$48,IF($E78&lt;=R$40,R$51*R$38^($E78-R$35-1),IF($E78=R$40+1,R$49,0))))))))</f>
        <v>#N/A</v>
      </c>
      <c r="S78" s="54" t="e">
        <f aca="false">IF(OR($E78&lt;=S$29,S$39&lt;=S$22),0,IF(AND($E78=S$29+1,$E78&lt;S$30+1),S$32,IF($E78&lt;=S$30,0.5*S$9*$B$83*(2*$E78-2*S$21-1)/(S$22-S$21),IF($E78=S$30+1,S$45,IF($E78&lt;=S$36,S$50*S$31^($E78-S$22-1),IF($E78=S$36+1,S$48,IF($E78&lt;=S$40,S$51*S$38^($E78-S$35-1),IF($E78=S$40+1,S$49,0))))))))</f>
        <v>#N/A</v>
      </c>
      <c r="T78" s="54" t="e">
        <f aca="false">IF(OR($E78&lt;=T$29,T$39&lt;=T$22),0,IF(AND($E78=T$29+1,$E78&lt;T$30+1),T$32,IF($E78&lt;=T$30,0.5*T$9*$B$83*(2*$E78-2*T$21-1)/(T$22-T$21),IF($E78=T$30+1,T$45,IF($E78&lt;=T$36,T$50*T$31^($E78-T$22-1),IF($E78=T$36+1,T$48,IF($E78&lt;=T$40,T$51*T$38^($E78-T$35-1),IF($E78=T$40+1,T$49,0))))))))</f>
        <v>#N/A</v>
      </c>
      <c r="U78" s="54" t="e">
        <f aca="false">IF(OR($E78&lt;=U$29,U$39&lt;=U$22),0,IF(AND($E78=U$29+1,$E78&lt;U$30+1),U$32,IF($E78&lt;=U$30,0.5*U$9*$B$83*(2*$E78-2*U$21-1)/(U$22-U$21),IF($E78=U$30+1,U$45,IF($E78&lt;=U$36,U$50*U$31^($E78-U$22-1),IF($E78=U$36+1,U$48,IF($E78&lt;=U$40,U$51*U$38^($E78-U$35-1),IF($E78=U$40+1,U$49,0))))))))</f>
        <v>#N/A</v>
      </c>
      <c r="V78" s="54" t="e">
        <f aca="false">IF(OR($E78&lt;=V$29,V$39&lt;=V$22),0,IF(AND($E78=V$29+1,$E78&lt;V$30+1),V$32,IF($E78&lt;=V$30,0.5*V$9*$B$83*(2*$E78-2*V$21-1)/(V$22-V$21),IF($E78=V$30+1,V$45,IF($E78&lt;=V$36,V$50*V$31^($E78-V$22-1),IF($E78=V$36+1,V$48,IF($E78&lt;=V$40,V$51*V$38^($E78-V$35-1),IF($E78=V$40+1,V$49,0))))))))</f>
        <v>#N/A</v>
      </c>
      <c r="W78" s="54" t="e">
        <f aca="false">IF(OR($E78&lt;=W$29,W$39&lt;=W$22),0,IF(AND($E78=W$29+1,$E78&lt;W$30+1),W$32,IF($E78&lt;=W$30,0.5*W$9*$B$83*(2*$E78-2*W$21-1)/(W$22-W$21),IF($E78=W$30+1,W$45,IF($E78&lt;=W$36,W$50*W$31^($E78-W$22-1),IF($E78=W$36+1,W$48,IF($E78&lt;=W$40,W$51*W$38^($E78-W$35-1),IF($E78=W$40+1,W$49,0))))))))</f>
        <v>#N/A</v>
      </c>
      <c r="X78" s="54" t="e">
        <f aca="false">IF(OR($E78&lt;=X$29,X$39&lt;=X$22),0,IF(AND($E78=X$29+1,$E78&lt;X$30+1),X$32,IF($E78&lt;=X$30,0.5*X$9*$B$83*(2*$E78-2*X$21-1)/(X$22-X$21),IF($E78=X$30+1,X$45,IF($E78&lt;=X$36,X$50*X$31^($E78-X$22-1),IF($E78=X$36+1,X$48,IF($E78&lt;=X$40,X$51*X$38^($E78-X$35-1),IF($E78=X$40+1,X$49,0))))))))</f>
        <v>#N/A</v>
      </c>
      <c r="Y78" s="54" t="e">
        <f aca="false">IF(OR($E78&lt;=Y$29,Y$39&lt;=Y$22),0,IF(AND($E78=Y$29+1,$E78&lt;Y$30+1),Y$32,IF($E78&lt;=Y$30,0.5*Y$9*$B$83*(2*$E78-2*Y$21-1)/(Y$22-Y$21),IF($E78=Y$30+1,Y$45,IF($E78&lt;=Y$36,Y$50*Y$31^($E78-Y$22-1),IF($E78=Y$36+1,Y$48,IF($E78&lt;=Y$40,Y$51*Y$38^($E78-Y$35-1),IF($E78=Y$40+1,Y$49,0))))))))</f>
        <v>#N/A</v>
      </c>
      <c r="Z78" s="54" t="e">
        <f aca="false">IF(OR($E78&lt;=Z$29,Z$39&lt;=Z$22),0,IF(AND($E78=Z$29+1,$E78&lt;Z$30+1),Z$32,IF($E78&lt;=Z$30,0.5*Z$9*$B$83*(2*$E78-2*Z$21-1)/(Z$22-Z$21),IF($E78=Z$30+1,Z$45,IF($E78&lt;=Z$36,Z$50*Z$31^($E78-Z$22-1),IF($E78=Z$36+1,Z$48,IF($E78&lt;=Z$40,Z$51*Z$38^($E78-Z$35-1),IF($E78=Z$40+1,Z$49,0))))))))</f>
        <v>#N/A</v>
      </c>
      <c r="AA78" s="54" t="e">
        <f aca="false">SUM(F78:Z78)</f>
        <v>#VALUE!</v>
      </c>
    </row>
    <row r="79" customFormat="false" ht="11.25" hidden="false" customHeight="false" outlineLevel="0" collapsed="false">
      <c r="A79" s="12"/>
      <c r="B79" s="12"/>
      <c r="C79" s="12"/>
      <c r="D79" s="12"/>
      <c r="E79" s="5" t="n">
        <f aca="false">+E78+1</f>
        <v>25</v>
      </c>
      <c r="F79" s="54" t="e">
        <f aca="false">(IF(OR($E79&lt;=F$29,F$39&lt;=F$22),0,IF(AND($E79=F$29+1,$E79&lt;F$30+1),F$32,IF($E79&lt;=F$30,0.5*F$9*$B$83*(2*$E79-2*F$21-1)/(F$22-F$21),IF($E79=F$30+1,F$45,IF($E79&lt;=F$36,F$50*F$31^($E79-F$22-1),IF($E79=F$36+1,F$48,IF($E79&lt;=F$40,F$51*F$38^($E79-F$35-1),IF($E79=F$40+1,F$49,0)))))))))</f>
        <v>#VALUE!</v>
      </c>
      <c r="G79" s="54" t="e">
        <f aca="false">IF(OR($E79&lt;=G$29,G$39&lt;=G$22),0,IF(AND($E79=G$29+1,$E79&lt;G$30+1),G$32,IF($E79&lt;=G$30,0.5*G$9*$B$83*(2*$E79-2*G$21-1)/(G$22-G$21),IF($E79=G$30+1,G$45,IF($E79&lt;=G$36,G$50*G$31^($E79-G$22-1),IF($E79=G$36+1,G$48,IF($E79&lt;=G$40,G$51*G$38^($E79-G$35-1),IF($E79=G$40+1,G$49,0))))))))</f>
        <v>#VALUE!</v>
      </c>
      <c r="H79" s="54" t="e">
        <f aca="false">IF(OR($E79&lt;=H$29,H$39&lt;=H$22),0,IF(AND($E79=H$29+1,$E79&lt;H$30+1),H$32,IF($E79&lt;=H$30,0.5*H$9*$B$83*(2*$E79-2*H$21-1)/(H$22-H$21),IF($E79=H$30+1,H$45,IF($E79&lt;=H$36,H$50*H$31^($E79-H$22-1),IF($E79=H$36+1,H$48,IF($E79&lt;=H$40,H$51*H$38^($E79-H$35-1),IF($E79=H$40+1,H$49,0))))))))</f>
        <v>#N/A</v>
      </c>
      <c r="I79" s="54" t="e">
        <f aca="false">IF(OR($E79&lt;=I$29,I$39&lt;=I$22),0,IF(AND($E79=I$29+1,$E79&lt;I$30+1),I$32,IF($E79&lt;=I$30,0.5*I$9*$B$83*(2*$E79-2*I$21-1)/(I$22-I$21),IF($E79=I$30+1,I$45,IF($E79&lt;=I$36,I$50*I$31^($E79-I$22-1),IF($E79=I$36+1,I$48,IF($E79&lt;=I$40,I$51*I$38^($E79-I$35-1),IF($E79=I$40+1,I$49,0))))))))</f>
        <v>#N/A</v>
      </c>
      <c r="J79" s="54" t="e">
        <f aca="false">IF(OR($E79&lt;=J$29,J$39&lt;=J$22),0,IF(AND($E79=J$29+1,$E79&lt;J$30+1),J$32,IF($E79&lt;=J$30,0.5*J$9*$B$83*(2*$E79-2*J$21-1)/(J$22-J$21),IF($E79=J$30+1,J$45,IF($E79&lt;=J$36,J$50*J$31^($E79-J$22-1),IF($E79=J$36+1,J$48,IF($E79&lt;=J$40,J$51*J$38^($E79-J$35-1),IF($E79=J$40+1,J$49,0))))))))</f>
        <v>#N/A</v>
      </c>
      <c r="K79" s="54" t="e">
        <f aca="false">IF(OR($E79&lt;=K$29,K$39&lt;=K$22),0,IF(AND($E79=K$29+1,$E79&lt;K$30+1),K$32,IF($E79&lt;=K$30,0.5*K$9*$B$83*(2*$E79-2*K$21-1)/(K$22-K$21),IF($E79=K$30+1,K$45,IF($E79&lt;=K$36,K$50*K$31^($E79-K$22-1),IF($E79=K$36+1,K$48,IF($E79&lt;=K$40,K$51*K$38^($E79-K$35-1),IF($E79=K$40+1,K$49,0))))))))</f>
        <v>#N/A</v>
      </c>
      <c r="L79" s="54" t="e">
        <f aca="false">IF(OR($E79&lt;=L$29,L$39&lt;=L$22),0,IF(AND($E79=L$29+1,$E79&lt;L$30+1),L$32,IF($E79&lt;=L$30,0.5*L$9*$B$83*(2*$E79-2*L$21-1)/(L$22-L$21),IF($E79=L$30+1,L$45,IF($E79&lt;=L$36,L$50*L$31^($E79-L$22-1),IF($E79=L$36+1,L$48,IF($E79&lt;=L$40,L$51*L$38^($E79-L$35-1),IF($E79=L$40+1,L$49,0))))))))</f>
        <v>#N/A</v>
      </c>
      <c r="M79" s="54" t="e">
        <f aca="false">IF(OR($E79&lt;=M$29,M$39&lt;=M$22),0,IF(AND($E79=M$29+1,$E79&lt;M$30+1),M$32,IF($E79&lt;=M$30,0.5*M$9*$B$83*(2*$E79-2*M$21-1)/(M$22-M$21),IF($E79=M$30+1,M$45,IF($E79&lt;=M$36,M$50*M$31^($E79-M$22-1),IF($E79=M$36+1,M$48,IF($E79&lt;=M$40,M$51*M$38^($E79-M$35-1),IF($E79=M$40+1,M$49,0))))))))</f>
        <v>#N/A</v>
      </c>
      <c r="N79" s="54" t="e">
        <f aca="false">IF(OR($E79&lt;=N$29,N$39&lt;=N$22),0,IF(AND($E79=N$29+1,$E79&lt;N$30+1),N$32,IF($E79&lt;=N$30,0.5*N$9*$B$83*(2*$E79-2*N$21-1)/(N$22-N$21),IF($E79=N$30+1,N$45,IF($E79&lt;=N$36,N$50*N$31^($E79-N$22-1),IF($E79=N$36+1,N$48,IF($E79&lt;=N$40,N$51*N$38^($E79-N$35-1),IF($E79=N$40+1,N$49,0))))))))</f>
        <v>#N/A</v>
      </c>
      <c r="O79" s="54" t="e">
        <f aca="false">IF(OR($E79&lt;=O$29,O$39&lt;=O$22),0,IF(AND($E79=O$29+1,$E79&lt;O$30+1),O$32,IF($E79&lt;=O$30,0.5*O$9*$B$83*(2*$E79-2*O$21-1)/(O$22-O$21),IF($E79=O$30+1,O$45,IF($E79&lt;=O$36,O$50*O$31^($E79-O$22-1),IF($E79=O$36+1,O$48,IF($E79&lt;=O$40,O$51*O$38^($E79-O$35-1),IF($E79=O$40+1,O$49,0))))))))</f>
        <v>#N/A</v>
      </c>
      <c r="P79" s="54" t="e">
        <f aca="false">IF(OR($E79&lt;=P$29,P$39&lt;=P$22),0,IF(AND($E79=P$29+1,$E79&lt;P$30+1),P$32,IF($E79&lt;=P$30,0.5*P$9*$B$83*(2*$E79-2*P$21-1)/(P$22-P$21),IF($E79=P$30+1,P$45,IF($E79&lt;=P$36,P$50*P$31^($E79-P$22-1),IF($E79=P$36+1,P$48,IF($E79&lt;=P$40,P$51*P$38^($E79-P$35-1),IF($E79=P$40+1,P$49,0))))))))</f>
        <v>#N/A</v>
      </c>
      <c r="Q79" s="54" t="e">
        <f aca="false">IF(OR($E79&lt;=Q$29,Q$39&lt;=Q$22),0,IF(AND($E79=Q$29+1,$E79&lt;Q$30+1),Q$32,IF($E79&lt;=Q$30,0.5*Q$9*$B$83*(2*$E79-2*Q$21-1)/(Q$22-Q$21),IF($E79=Q$30+1,Q$45,IF($E79&lt;=Q$36,Q$50*Q$31^($E79-Q$22-1),IF($E79=Q$36+1,Q$48,IF($E79&lt;=Q$40,Q$51*Q$38^($E79-Q$35-1),IF($E79=Q$40+1,Q$49,0))))))))</f>
        <v>#N/A</v>
      </c>
      <c r="R79" s="54" t="e">
        <f aca="false">IF(OR($E79&lt;=R$29,R$39&lt;=R$22),0,IF(AND($E79=R$29+1,$E79&lt;R$30+1),R$32,IF($E79&lt;=R$30,0.5*R$9*$B$83*(2*$E79-2*R$21-1)/(R$22-R$21),IF($E79=R$30+1,R$45,IF($E79&lt;=R$36,R$50*R$31^($E79-R$22-1),IF($E79=R$36+1,R$48,IF($E79&lt;=R$40,R$51*R$38^($E79-R$35-1),IF($E79=R$40+1,R$49,0))))))))</f>
        <v>#N/A</v>
      </c>
      <c r="S79" s="54" t="e">
        <f aca="false">IF(OR($E79&lt;=S$29,S$39&lt;=S$22),0,IF(AND($E79=S$29+1,$E79&lt;S$30+1),S$32,IF($E79&lt;=S$30,0.5*S$9*$B$83*(2*$E79-2*S$21-1)/(S$22-S$21),IF($E79=S$30+1,S$45,IF($E79&lt;=S$36,S$50*S$31^($E79-S$22-1),IF($E79=S$36+1,S$48,IF($E79&lt;=S$40,S$51*S$38^($E79-S$35-1),IF($E79=S$40+1,S$49,0))))))))</f>
        <v>#N/A</v>
      </c>
      <c r="T79" s="54" t="e">
        <f aca="false">IF(OR($E79&lt;=T$29,T$39&lt;=T$22),0,IF(AND($E79=T$29+1,$E79&lt;T$30+1),T$32,IF($E79&lt;=T$30,0.5*T$9*$B$83*(2*$E79-2*T$21-1)/(T$22-T$21),IF($E79=T$30+1,T$45,IF($E79&lt;=T$36,T$50*T$31^($E79-T$22-1),IF($E79=T$36+1,T$48,IF($E79&lt;=T$40,T$51*T$38^($E79-T$35-1),IF($E79=T$40+1,T$49,0))))))))</f>
        <v>#N/A</v>
      </c>
      <c r="U79" s="54" t="e">
        <f aca="false">IF(OR($E79&lt;=U$29,U$39&lt;=U$22),0,IF(AND($E79=U$29+1,$E79&lt;U$30+1),U$32,IF($E79&lt;=U$30,0.5*U$9*$B$83*(2*$E79-2*U$21-1)/(U$22-U$21),IF($E79=U$30+1,U$45,IF($E79&lt;=U$36,U$50*U$31^($E79-U$22-1),IF($E79=U$36+1,U$48,IF($E79&lt;=U$40,U$51*U$38^($E79-U$35-1),IF($E79=U$40+1,U$49,0))))))))</f>
        <v>#N/A</v>
      </c>
      <c r="V79" s="54" t="e">
        <f aca="false">IF(OR($E79&lt;=V$29,V$39&lt;=V$22),0,IF(AND($E79=V$29+1,$E79&lt;V$30+1),V$32,IF($E79&lt;=V$30,0.5*V$9*$B$83*(2*$E79-2*V$21-1)/(V$22-V$21),IF($E79=V$30+1,V$45,IF($E79&lt;=V$36,V$50*V$31^($E79-V$22-1),IF($E79=V$36+1,V$48,IF($E79&lt;=V$40,V$51*V$38^($E79-V$35-1),IF($E79=V$40+1,V$49,0))))))))</f>
        <v>#N/A</v>
      </c>
      <c r="W79" s="54" t="e">
        <f aca="false">IF(OR($E79&lt;=W$29,W$39&lt;=W$22),0,IF(AND($E79=W$29+1,$E79&lt;W$30+1),W$32,IF($E79&lt;=W$30,0.5*W$9*$B$83*(2*$E79-2*W$21-1)/(W$22-W$21),IF($E79=W$30+1,W$45,IF($E79&lt;=W$36,W$50*W$31^($E79-W$22-1),IF($E79=W$36+1,W$48,IF($E79&lt;=W$40,W$51*W$38^($E79-W$35-1),IF($E79=W$40+1,W$49,0))))))))</f>
        <v>#N/A</v>
      </c>
      <c r="X79" s="54" t="e">
        <f aca="false">IF(OR($E79&lt;=X$29,X$39&lt;=X$22),0,IF(AND($E79=X$29+1,$E79&lt;X$30+1),X$32,IF($E79&lt;=X$30,0.5*X$9*$B$83*(2*$E79-2*X$21-1)/(X$22-X$21),IF($E79=X$30+1,X$45,IF($E79&lt;=X$36,X$50*X$31^($E79-X$22-1),IF($E79=X$36+1,X$48,IF($E79&lt;=X$40,X$51*X$38^($E79-X$35-1),IF($E79=X$40+1,X$49,0))))))))</f>
        <v>#N/A</v>
      </c>
      <c r="Y79" s="54" t="e">
        <f aca="false">IF(OR($E79&lt;=Y$29,Y$39&lt;=Y$22),0,IF(AND($E79=Y$29+1,$E79&lt;Y$30+1),Y$32,IF($E79&lt;=Y$30,0.5*Y$9*$B$83*(2*$E79-2*Y$21-1)/(Y$22-Y$21),IF($E79=Y$30+1,Y$45,IF($E79&lt;=Y$36,Y$50*Y$31^($E79-Y$22-1),IF($E79=Y$36+1,Y$48,IF($E79&lt;=Y$40,Y$51*Y$38^($E79-Y$35-1),IF($E79=Y$40+1,Y$49,0))))))))</f>
        <v>#N/A</v>
      </c>
      <c r="Z79" s="54" t="e">
        <f aca="false">IF(OR($E79&lt;=Z$29,Z$39&lt;=Z$22),0,IF(AND($E79=Z$29+1,$E79&lt;Z$30+1),Z$32,IF($E79&lt;=Z$30,0.5*Z$9*$B$83*(2*$E79-2*Z$21-1)/(Z$22-Z$21),IF($E79=Z$30+1,Z$45,IF($E79&lt;=Z$36,Z$50*Z$31^($E79-Z$22-1),IF($E79=Z$36+1,Z$48,IF($E79&lt;=Z$40,Z$51*Z$38^($E79-Z$35-1),IF($E79=Z$40+1,Z$49,0))))))))</f>
        <v>#N/A</v>
      </c>
      <c r="AA79" s="54" t="e">
        <f aca="false">SUM(F79:Z79)</f>
        <v>#VALUE!</v>
      </c>
    </row>
    <row r="80" customFormat="false" ht="11.25" hidden="false" customHeight="false" outlineLevel="0" collapsed="false">
      <c r="A80" s="12"/>
      <c r="B80" s="12"/>
      <c r="C80" s="12"/>
      <c r="D80" s="12"/>
      <c r="E80" s="5" t="n">
        <f aca="false">+E79+1</f>
        <v>26</v>
      </c>
      <c r="F80" s="54" t="e">
        <f aca="false">(IF(OR($E80&lt;=F$29,F$39&lt;=F$22),0,IF(AND($E80=F$29+1,$E80&lt;F$30+1),F$32,IF($E80&lt;=F$30,0.5*F$9*$B$83*(2*$E80-2*F$21-1)/(F$22-F$21),IF($E80=F$30+1,F$45,IF($E80&lt;=F$36,F$50*F$31^($E80-F$22-1),IF($E80=F$36+1,F$48,IF($E80&lt;=F$40,F$51*F$38^($E80-F$35-1),IF($E80=F$40+1,F$49,0)))))))))</f>
        <v>#VALUE!</v>
      </c>
      <c r="G80" s="54" t="e">
        <f aca="false">IF(OR($E80&lt;=G$29,G$39&lt;=G$22),0,IF(AND($E80=G$29+1,$E80&lt;G$30+1),G$32,IF($E80&lt;=G$30,0.5*G$9*$B$83*(2*$E80-2*G$21-1)/(G$22-G$21),IF($E80=G$30+1,G$45,IF($E80&lt;=G$36,G$50*G$31^($E80-G$22-1),IF($E80=G$36+1,G$48,IF($E80&lt;=G$40,G$51*G$38^($E80-G$35-1),IF($E80=G$40+1,G$49,0))))))))</f>
        <v>#VALUE!</v>
      </c>
      <c r="H80" s="54" t="e">
        <f aca="false">IF(OR($E80&lt;=H$29,H$39&lt;=H$22),0,IF(AND($E80=H$29+1,$E80&lt;H$30+1),H$32,IF($E80&lt;=H$30,0.5*H$9*$B$83*(2*$E80-2*H$21-1)/(H$22-H$21),IF($E80=H$30+1,H$45,IF($E80&lt;=H$36,H$50*H$31^($E80-H$22-1),IF($E80=H$36+1,H$48,IF($E80&lt;=H$40,H$51*H$38^($E80-H$35-1),IF($E80=H$40+1,H$49,0))))))))</f>
        <v>#N/A</v>
      </c>
      <c r="I80" s="54" t="e">
        <f aca="false">IF(OR($E80&lt;=I$29,I$39&lt;=I$22),0,IF(AND($E80=I$29+1,$E80&lt;I$30+1),I$32,IF($E80&lt;=I$30,0.5*I$9*$B$83*(2*$E80-2*I$21-1)/(I$22-I$21),IF($E80=I$30+1,I$45,IF($E80&lt;=I$36,I$50*I$31^($E80-I$22-1),IF($E80=I$36+1,I$48,IF($E80&lt;=I$40,I$51*I$38^($E80-I$35-1),IF($E80=I$40+1,I$49,0))))))))</f>
        <v>#N/A</v>
      </c>
      <c r="J80" s="54" t="e">
        <f aca="false">IF(OR($E80&lt;=J$29,J$39&lt;=J$22),0,IF(AND($E80=J$29+1,$E80&lt;J$30+1),J$32,IF($E80&lt;=J$30,0.5*J$9*$B$83*(2*$E80-2*J$21-1)/(J$22-J$21),IF($E80=J$30+1,J$45,IF($E80&lt;=J$36,J$50*J$31^($E80-J$22-1),IF($E80=J$36+1,J$48,IF($E80&lt;=J$40,J$51*J$38^($E80-J$35-1),IF($E80=J$40+1,J$49,0))))))))</f>
        <v>#N/A</v>
      </c>
      <c r="K80" s="54" t="e">
        <f aca="false">IF(OR($E80&lt;=K$29,K$39&lt;=K$22),0,IF(AND($E80=K$29+1,$E80&lt;K$30+1),K$32,IF($E80&lt;=K$30,0.5*K$9*$B$83*(2*$E80-2*K$21-1)/(K$22-K$21),IF($E80=K$30+1,K$45,IF($E80&lt;=K$36,K$50*K$31^($E80-K$22-1),IF($E80=K$36+1,K$48,IF($E80&lt;=K$40,K$51*K$38^($E80-K$35-1),IF($E80=K$40+1,K$49,0))))))))</f>
        <v>#N/A</v>
      </c>
      <c r="L80" s="54" t="e">
        <f aca="false">IF(OR($E80&lt;=L$29,L$39&lt;=L$22),0,IF(AND($E80=L$29+1,$E80&lt;L$30+1),L$32,IF($E80&lt;=L$30,0.5*L$9*$B$83*(2*$E80-2*L$21-1)/(L$22-L$21),IF($E80=L$30+1,L$45,IF($E80&lt;=L$36,L$50*L$31^($E80-L$22-1),IF($E80=L$36+1,L$48,IF($E80&lt;=L$40,L$51*L$38^($E80-L$35-1),IF($E80=L$40+1,L$49,0))))))))</f>
        <v>#N/A</v>
      </c>
      <c r="M80" s="54" t="e">
        <f aca="false">IF(OR($E80&lt;=M$29,M$39&lt;=M$22),0,IF(AND($E80=M$29+1,$E80&lt;M$30+1),M$32,IF($E80&lt;=M$30,0.5*M$9*$B$83*(2*$E80-2*M$21-1)/(M$22-M$21),IF($E80=M$30+1,M$45,IF($E80&lt;=M$36,M$50*M$31^($E80-M$22-1),IF($E80=M$36+1,M$48,IF($E80&lt;=M$40,M$51*M$38^($E80-M$35-1),IF($E80=M$40+1,M$49,0))))))))</f>
        <v>#N/A</v>
      </c>
      <c r="N80" s="54" t="e">
        <f aca="false">IF(OR($E80&lt;=N$29,N$39&lt;=N$22),0,IF(AND($E80=N$29+1,$E80&lt;N$30+1),N$32,IF($E80&lt;=N$30,0.5*N$9*$B$83*(2*$E80-2*N$21-1)/(N$22-N$21),IF($E80=N$30+1,N$45,IF($E80&lt;=N$36,N$50*N$31^($E80-N$22-1),IF($E80=N$36+1,N$48,IF($E80&lt;=N$40,N$51*N$38^($E80-N$35-1),IF($E80=N$40+1,N$49,0))))))))</f>
        <v>#N/A</v>
      </c>
      <c r="O80" s="54" t="e">
        <f aca="false">IF(OR($E80&lt;=O$29,O$39&lt;=O$22),0,IF(AND($E80=O$29+1,$E80&lt;O$30+1),O$32,IF($E80&lt;=O$30,0.5*O$9*$B$83*(2*$E80-2*O$21-1)/(O$22-O$21),IF($E80=O$30+1,O$45,IF($E80&lt;=O$36,O$50*O$31^($E80-O$22-1),IF($E80=O$36+1,O$48,IF($E80&lt;=O$40,O$51*O$38^($E80-O$35-1),IF($E80=O$40+1,O$49,0))))))))</f>
        <v>#N/A</v>
      </c>
      <c r="P80" s="54" t="e">
        <f aca="false">IF(OR($E80&lt;=P$29,P$39&lt;=P$22),0,IF(AND($E80=P$29+1,$E80&lt;P$30+1),P$32,IF($E80&lt;=P$30,0.5*P$9*$B$83*(2*$E80-2*P$21-1)/(P$22-P$21),IF($E80=P$30+1,P$45,IF($E80&lt;=P$36,P$50*P$31^($E80-P$22-1),IF($E80=P$36+1,P$48,IF($E80&lt;=P$40,P$51*P$38^($E80-P$35-1),IF($E80=P$40+1,P$49,0))))))))</f>
        <v>#N/A</v>
      </c>
      <c r="Q80" s="54" t="e">
        <f aca="false">IF(OR($E80&lt;=Q$29,Q$39&lt;=Q$22),0,IF(AND($E80=Q$29+1,$E80&lt;Q$30+1),Q$32,IF($E80&lt;=Q$30,0.5*Q$9*$B$83*(2*$E80-2*Q$21-1)/(Q$22-Q$21),IF($E80=Q$30+1,Q$45,IF($E80&lt;=Q$36,Q$50*Q$31^($E80-Q$22-1),IF($E80=Q$36+1,Q$48,IF($E80&lt;=Q$40,Q$51*Q$38^($E80-Q$35-1),IF($E80=Q$40+1,Q$49,0))))))))</f>
        <v>#N/A</v>
      </c>
      <c r="R80" s="54" t="e">
        <f aca="false">IF(OR($E80&lt;=R$29,R$39&lt;=R$22),0,IF(AND($E80=R$29+1,$E80&lt;R$30+1),R$32,IF($E80&lt;=R$30,0.5*R$9*$B$83*(2*$E80-2*R$21-1)/(R$22-R$21),IF($E80=R$30+1,R$45,IF($E80&lt;=R$36,R$50*R$31^($E80-R$22-1),IF($E80=R$36+1,R$48,IF($E80&lt;=R$40,R$51*R$38^($E80-R$35-1),IF($E80=R$40+1,R$49,0))))))))</f>
        <v>#N/A</v>
      </c>
      <c r="S80" s="54" t="e">
        <f aca="false">IF(OR($E80&lt;=S$29,S$39&lt;=S$22),0,IF(AND($E80=S$29+1,$E80&lt;S$30+1),S$32,IF($E80&lt;=S$30,0.5*S$9*$B$83*(2*$E80-2*S$21-1)/(S$22-S$21),IF($E80=S$30+1,S$45,IF($E80&lt;=S$36,S$50*S$31^($E80-S$22-1),IF($E80=S$36+1,S$48,IF($E80&lt;=S$40,S$51*S$38^($E80-S$35-1),IF($E80=S$40+1,S$49,0))))))))</f>
        <v>#N/A</v>
      </c>
      <c r="T80" s="54" t="e">
        <f aca="false">IF(OR($E80&lt;=T$29,T$39&lt;=T$22),0,IF(AND($E80=T$29+1,$E80&lt;T$30+1),T$32,IF($E80&lt;=T$30,0.5*T$9*$B$83*(2*$E80-2*T$21-1)/(T$22-T$21),IF($E80=T$30+1,T$45,IF($E80&lt;=T$36,T$50*T$31^($E80-T$22-1),IF($E80=T$36+1,T$48,IF($E80&lt;=T$40,T$51*T$38^($E80-T$35-1),IF($E80=T$40+1,T$49,0))))))))</f>
        <v>#N/A</v>
      </c>
      <c r="U80" s="54" t="e">
        <f aca="false">IF(OR($E80&lt;=U$29,U$39&lt;=U$22),0,IF(AND($E80=U$29+1,$E80&lt;U$30+1),U$32,IF($E80&lt;=U$30,0.5*U$9*$B$83*(2*$E80-2*U$21-1)/(U$22-U$21),IF($E80=U$30+1,U$45,IF($E80&lt;=U$36,U$50*U$31^($E80-U$22-1),IF($E80=U$36+1,U$48,IF($E80&lt;=U$40,U$51*U$38^($E80-U$35-1),IF($E80=U$40+1,U$49,0))))))))</f>
        <v>#N/A</v>
      </c>
      <c r="V80" s="54" t="e">
        <f aca="false">IF(OR($E80&lt;=V$29,V$39&lt;=V$22),0,IF(AND($E80=V$29+1,$E80&lt;V$30+1),V$32,IF($E80&lt;=V$30,0.5*V$9*$B$83*(2*$E80-2*V$21-1)/(V$22-V$21),IF($E80=V$30+1,V$45,IF($E80&lt;=V$36,V$50*V$31^($E80-V$22-1),IF($E80=V$36+1,V$48,IF($E80&lt;=V$40,V$51*V$38^($E80-V$35-1),IF($E80=V$40+1,V$49,0))))))))</f>
        <v>#N/A</v>
      </c>
      <c r="W80" s="54" t="e">
        <f aca="false">IF(OR($E80&lt;=W$29,W$39&lt;=W$22),0,IF(AND($E80=W$29+1,$E80&lt;W$30+1),W$32,IF($E80&lt;=W$30,0.5*W$9*$B$83*(2*$E80-2*W$21-1)/(W$22-W$21),IF($E80=W$30+1,W$45,IF($E80&lt;=W$36,W$50*W$31^($E80-W$22-1),IF($E80=W$36+1,W$48,IF($E80&lt;=W$40,W$51*W$38^($E80-W$35-1),IF($E80=W$40+1,W$49,0))))))))</f>
        <v>#N/A</v>
      </c>
      <c r="X80" s="54" t="e">
        <f aca="false">IF(OR($E80&lt;=X$29,X$39&lt;=X$22),0,IF(AND($E80=X$29+1,$E80&lt;X$30+1),X$32,IF($E80&lt;=X$30,0.5*X$9*$B$83*(2*$E80-2*X$21-1)/(X$22-X$21),IF($E80=X$30+1,X$45,IF($E80&lt;=X$36,X$50*X$31^($E80-X$22-1),IF($E80=X$36+1,X$48,IF($E80&lt;=X$40,X$51*X$38^($E80-X$35-1),IF($E80=X$40+1,X$49,0))))))))</f>
        <v>#N/A</v>
      </c>
      <c r="Y80" s="54" t="e">
        <f aca="false">IF(OR($E80&lt;=Y$29,Y$39&lt;=Y$22),0,IF(AND($E80=Y$29+1,$E80&lt;Y$30+1),Y$32,IF($E80&lt;=Y$30,0.5*Y$9*$B$83*(2*$E80-2*Y$21-1)/(Y$22-Y$21),IF($E80=Y$30+1,Y$45,IF($E80&lt;=Y$36,Y$50*Y$31^($E80-Y$22-1),IF($E80=Y$36+1,Y$48,IF($E80&lt;=Y$40,Y$51*Y$38^($E80-Y$35-1),IF($E80=Y$40+1,Y$49,0))))))))</f>
        <v>#N/A</v>
      </c>
      <c r="Z80" s="54" t="e">
        <f aca="false">IF(OR($E80&lt;=Z$29,Z$39&lt;=Z$22),0,IF(AND($E80=Z$29+1,$E80&lt;Z$30+1),Z$32,IF($E80&lt;=Z$30,0.5*Z$9*$B$83*(2*$E80-2*Z$21-1)/(Z$22-Z$21),IF($E80=Z$30+1,Z$45,IF($E80&lt;=Z$36,Z$50*Z$31^($E80-Z$22-1),IF($E80=Z$36+1,Z$48,IF($E80&lt;=Z$40,Z$51*Z$38^($E80-Z$35-1),IF($E80=Z$40+1,Z$49,0))))))))</f>
        <v>#N/A</v>
      </c>
      <c r="AA80" s="54" t="e">
        <f aca="false">SUM(F80:Z80)</f>
        <v>#VALUE!</v>
      </c>
    </row>
    <row r="81" customFormat="false" ht="11.25" hidden="false" customHeight="false" outlineLevel="0" collapsed="false">
      <c r="A81" s="5" t="s">
        <v>128</v>
      </c>
      <c r="B81" s="63" t="n">
        <v>1E-005</v>
      </c>
      <c r="C81" s="12"/>
      <c r="D81" s="12"/>
      <c r="E81" s="5" t="n">
        <f aca="false">+E80+1</f>
        <v>27</v>
      </c>
      <c r="F81" s="54" t="e">
        <f aca="false">(IF(OR($E81&lt;=F$29,F$39&lt;=F$22),0,IF(AND($E81=F$29+1,$E81&lt;F$30+1),F$32,IF($E81&lt;=F$30,0.5*F$9*$B$83*(2*$E81-2*F$21-1)/(F$22-F$21),IF($E81=F$30+1,F$45,IF($E81&lt;=F$36,F$50*F$31^($E81-F$22-1),IF($E81=F$36+1,F$48,IF($E81&lt;=F$40,F$51*F$38^($E81-F$35-1),IF($E81=F$40+1,F$49,0)))))))))</f>
        <v>#VALUE!</v>
      </c>
      <c r="G81" s="54" t="e">
        <f aca="false">IF(OR($E81&lt;=G$29,G$39&lt;=G$22),0,IF(AND($E81=G$29+1,$E81&lt;G$30+1),G$32,IF($E81&lt;=G$30,0.5*G$9*$B$83*(2*$E81-2*G$21-1)/(G$22-G$21),IF($E81=G$30+1,G$45,IF($E81&lt;=G$36,G$50*G$31^($E81-G$22-1),IF($E81=G$36+1,G$48,IF($E81&lt;=G$40,G$51*G$38^($E81-G$35-1),IF($E81=G$40+1,G$49,0))))))))</f>
        <v>#VALUE!</v>
      </c>
      <c r="H81" s="54" t="e">
        <f aca="false">IF(OR($E81&lt;=H$29,H$39&lt;=H$22),0,IF(AND($E81=H$29+1,$E81&lt;H$30+1),H$32,IF($E81&lt;=H$30,0.5*H$9*$B$83*(2*$E81-2*H$21-1)/(H$22-H$21),IF($E81=H$30+1,H$45,IF($E81&lt;=H$36,H$50*H$31^($E81-H$22-1),IF($E81=H$36+1,H$48,IF($E81&lt;=H$40,H$51*H$38^($E81-H$35-1),IF($E81=H$40+1,H$49,0))))))))</f>
        <v>#N/A</v>
      </c>
      <c r="I81" s="54" t="e">
        <f aca="false">IF(OR($E81&lt;=I$29,I$39&lt;=I$22),0,IF(AND($E81=I$29+1,$E81&lt;I$30+1),I$32,IF($E81&lt;=I$30,0.5*I$9*$B$83*(2*$E81-2*I$21-1)/(I$22-I$21),IF($E81=I$30+1,I$45,IF($E81&lt;=I$36,I$50*I$31^($E81-I$22-1),IF($E81=I$36+1,I$48,IF($E81&lt;=I$40,I$51*I$38^($E81-I$35-1),IF($E81=I$40+1,I$49,0))))))))</f>
        <v>#N/A</v>
      </c>
      <c r="J81" s="54" t="e">
        <f aca="false">IF(OR($E81&lt;=J$29,J$39&lt;=J$22),0,IF(AND($E81=J$29+1,$E81&lt;J$30+1),J$32,IF($E81&lt;=J$30,0.5*J$9*$B$83*(2*$E81-2*J$21-1)/(J$22-J$21),IF($E81=J$30+1,J$45,IF($E81&lt;=J$36,J$50*J$31^($E81-J$22-1),IF($E81=J$36+1,J$48,IF($E81&lt;=J$40,J$51*J$38^($E81-J$35-1),IF($E81=J$40+1,J$49,0))))))))</f>
        <v>#N/A</v>
      </c>
      <c r="K81" s="54" t="e">
        <f aca="false">IF(OR($E81&lt;=K$29,K$39&lt;=K$22),0,IF(AND($E81=K$29+1,$E81&lt;K$30+1),K$32,IF($E81&lt;=K$30,0.5*K$9*$B$83*(2*$E81-2*K$21-1)/(K$22-K$21),IF($E81=K$30+1,K$45,IF($E81&lt;=K$36,K$50*K$31^($E81-K$22-1),IF($E81=K$36+1,K$48,IF($E81&lt;=K$40,K$51*K$38^($E81-K$35-1),IF($E81=K$40+1,K$49,0))))))))</f>
        <v>#N/A</v>
      </c>
      <c r="L81" s="54" t="e">
        <f aca="false">IF(OR($E81&lt;=L$29,L$39&lt;=L$22),0,IF(AND($E81=L$29+1,$E81&lt;L$30+1),L$32,IF($E81&lt;=L$30,0.5*L$9*$B$83*(2*$E81-2*L$21-1)/(L$22-L$21),IF($E81=L$30+1,L$45,IF($E81&lt;=L$36,L$50*L$31^($E81-L$22-1),IF($E81=L$36+1,L$48,IF($E81&lt;=L$40,L$51*L$38^($E81-L$35-1),IF($E81=L$40+1,L$49,0))))))))</f>
        <v>#N/A</v>
      </c>
      <c r="M81" s="54" t="e">
        <f aca="false">IF(OR($E81&lt;=M$29,M$39&lt;=M$22),0,IF(AND($E81=M$29+1,$E81&lt;M$30+1),M$32,IF($E81&lt;=M$30,0.5*M$9*$B$83*(2*$E81-2*M$21-1)/(M$22-M$21),IF($E81=M$30+1,M$45,IF($E81&lt;=M$36,M$50*M$31^($E81-M$22-1),IF($E81=M$36+1,M$48,IF($E81&lt;=M$40,M$51*M$38^($E81-M$35-1),IF($E81=M$40+1,M$49,0))))))))</f>
        <v>#N/A</v>
      </c>
      <c r="N81" s="54" t="e">
        <f aca="false">IF(OR($E81&lt;=N$29,N$39&lt;=N$22),0,IF(AND($E81=N$29+1,$E81&lt;N$30+1),N$32,IF($E81&lt;=N$30,0.5*N$9*$B$83*(2*$E81-2*N$21-1)/(N$22-N$21),IF($E81=N$30+1,N$45,IF($E81&lt;=N$36,N$50*N$31^($E81-N$22-1),IF($E81=N$36+1,N$48,IF($E81&lt;=N$40,N$51*N$38^($E81-N$35-1),IF($E81=N$40+1,N$49,0))))))))</f>
        <v>#N/A</v>
      </c>
      <c r="O81" s="54" t="e">
        <f aca="false">IF(OR($E81&lt;=O$29,O$39&lt;=O$22),0,IF(AND($E81=O$29+1,$E81&lt;O$30+1),O$32,IF($E81&lt;=O$30,0.5*O$9*$B$83*(2*$E81-2*O$21-1)/(O$22-O$21),IF($E81=O$30+1,O$45,IF($E81&lt;=O$36,O$50*O$31^($E81-O$22-1),IF($E81=O$36+1,O$48,IF($E81&lt;=O$40,O$51*O$38^($E81-O$35-1),IF($E81=O$40+1,O$49,0))))))))</f>
        <v>#N/A</v>
      </c>
      <c r="P81" s="54" t="e">
        <f aca="false">IF(OR($E81&lt;=P$29,P$39&lt;=P$22),0,IF(AND($E81=P$29+1,$E81&lt;P$30+1),P$32,IF($E81&lt;=P$30,0.5*P$9*$B$83*(2*$E81-2*P$21-1)/(P$22-P$21),IF($E81=P$30+1,P$45,IF($E81&lt;=P$36,P$50*P$31^($E81-P$22-1),IF($E81=P$36+1,P$48,IF($E81&lt;=P$40,P$51*P$38^($E81-P$35-1),IF($E81=P$40+1,P$49,0))))))))</f>
        <v>#N/A</v>
      </c>
      <c r="Q81" s="54" t="e">
        <f aca="false">IF(OR($E81&lt;=Q$29,Q$39&lt;=Q$22),0,IF(AND($E81=Q$29+1,$E81&lt;Q$30+1),Q$32,IF($E81&lt;=Q$30,0.5*Q$9*$B$83*(2*$E81-2*Q$21-1)/(Q$22-Q$21),IF($E81=Q$30+1,Q$45,IF($E81&lt;=Q$36,Q$50*Q$31^($E81-Q$22-1),IF($E81=Q$36+1,Q$48,IF($E81&lt;=Q$40,Q$51*Q$38^($E81-Q$35-1),IF($E81=Q$40+1,Q$49,0))))))))</f>
        <v>#N/A</v>
      </c>
      <c r="R81" s="54" t="e">
        <f aca="false">IF(OR($E81&lt;=R$29,R$39&lt;=R$22),0,IF(AND($E81=R$29+1,$E81&lt;R$30+1),R$32,IF($E81&lt;=R$30,0.5*R$9*$B$83*(2*$E81-2*R$21-1)/(R$22-R$21),IF($E81=R$30+1,R$45,IF($E81&lt;=R$36,R$50*R$31^($E81-R$22-1),IF($E81=R$36+1,R$48,IF($E81&lt;=R$40,R$51*R$38^($E81-R$35-1),IF($E81=R$40+1,R$49,0))))))))</f>
        <v>#N/A</v>
      </c>
      <c r="S81" s="54" t="e">
        <f aca="false">IF(OR($E81&lt;=S$29,S$39&lt;=S$22),0,IF(AND($E81=S$29+1,$E81&lt;S$30+1),S$32,IF($E81&lt;=S$30,0.5*S$9*$B$83*(2*$E81-2*S$21-1)/(S$22-S$21),IF($E81=S$30+1,S$45,IF($E81&lt;=S$36,S$50*S$31^($E81-S$22-1),IF($E81=S$36+1,S$48,IF($E81&lt;=S$40,S$51*S$38^($E81-S$35-1),IF($E81=S$40+1,S$49,0))))))))</f>
        <v>#N/A</v>
      </c>
      <c r="T81" s="54" t="e">
        <f aca="false">IF(OR($E81&lt;=T$29,T$39&lt;=T$22),0,IF(AND($E81=T$29+1,$E81&lt;T$30+1),T$32,IF($E81&lt;=T$30,0.5*T$9*$B$83*(2*$E81-2*T$21-1)/(T$22-T$21),IF($E81=T$30+1,T$45,IF($E81&lt;=T$36,T$50*T$31^($E81-T$22-1),IF($E81=T$36+1,T$48,IF($E81&lt;=T$40,T$51*T$38^($E81-T$35-1),IF($E81=T$40+1,T$49,0))))))))</f>
        <v>#N/A</v>
      </c>
      <c r="U81" s="54" t="e">
        <f aca="false">IF(OR($E81&lt;=U$29,U$39&lt;=U$22),0,IF(AND($E81=U$29+1,$E81&lt;U$30+1),U$32,IF($E81&lt;=U$30,0.5*U$9*$B$83*(2*$E81-2*U$21-1)/(U$22-U$21),IF($E81=U$30+1,U$45,IF($E81&lt;=U$36,U$50*U$31^($E81-U$22-1),IF($E81=U$36+1,U$48,IF($E81&lt;=U$40,U$51*U$38^($E81-U$35-1),IF($E81=U$40+1,U$49,0))))))))</f>
        <v>#N/A</v>
      </c>
      <c r="V81" s="54" t="e">
        <f aca="false">IF(OR($E81&lt;=V$29,V$39&lt;=V$22),0,IF(AND($E81=V$29+1,$E81&lt;V$30+1),V$32,IF($E81&lt;=V$30,0.5*V$9*$B$83*(2*$E81-2*V$21-1)/(V$22-V$21),IF($E81=V$30+1,V$45,IF($E81&lt;=V$36,V$50*V$31^($E81-V$22-1),IF($E81=V$36+1,V$48,IF($E81&lt;=V$40,V$51*V$38^($E81-V$35-1),IF($E81=V$40+1,V$49,0))))))))</f>
        <v>#N/A</v>
      </c>
      <c r="W81" s="54" t="e">
        <f aca="false">IF(OR($E81&lt;=W$29,W$39&lt;=W$22),0,IF(AND($E81=W$29+1,$E81&lt;W$30+1),W$32,IF($E81&lt;=W$30,0.5*W$9*$B$83*(2*$E81-2*W$21-1)/(W$22-W$21),IF($E81=W$30+1,W$45,IF($E81&lt;=W$36,W$50*W$31^($E81-W$22-1),IF($E81=W$36+1,W$48,IF($E81&lt;=W$40,W$51*W$38^($E81-W$35-1),IF($E81=W$40+1,W$49,0))))))))</f>
        <v>#N/A</v>
      </c>
      <c r="X81" s="54" t="e">
        <f aca="false">IF(OR($E81&lt;=X$29,X$39&lt;=X$22),0,IF(AND($E81=X$29+1,$E81&lt;X$30+1),X$32,IF($E81&lt;=X$30,0.5*X$9*$B$83*(2*$E81-2*X$21-1)/(X$22-X$21),IF($E81=X$30+1,X$45,IF($E81&lt;=X$36,X$50*X$31^($E81-X$22-1),IF($E81=X$36+1,X$48,IF($E81&lt;=X$40,X$51*X$38^($E81-X$35-1),IF($E81=X$40+1,X$49,0))))))))</f>
        <v>#N/A</v>
      </c>
      <c r="Y81" s="54" t="e">
        <f aca="false">IF(OR($E81&lt;=Y$29,Y$39&lt;=Y$22),0,IF(AND($E81=Y$29+1,$E81&lt;Y$30+1),Y$32,IF($E81&lt;=Y$30,0.5*Y$9*$B$83*(2*$E81-2*Y$21-1)/(Y$22-Y$21),IF($E81=Y$30+1,Y$45,IF($E81&lt;=Y$36,Y$50*Y$31^($E81-Y$22-1),IF($E81=Y$36+1,Y$48,IF($E81&lt;=Y$40,Y$51*Y$38^($E81-Y$35-1),IF($E81=Y$40+1,Y$49,0))))))))</f>
        <v>#N/A</v>
      </c>
      <c r="Z81" s="54" t="e">
        <f aca="false">IF(OR($E81&lt;=Z$29,Z$39&lt;=Z$22),0,IF(AND($E81=Z$29+1,$E81&lt;Z$30+1),Z$32,IF($E81&lt;=Z$30,0.5*Z$9*$B$83*(2*$E81-2*Z$21-1)/(Z$22-Z$21),IF($E81=Z$30+1,Z$45,IF($E81&lt;=Z$36,Z$50*Z$31^($E81-Z$22-1),IF($E81=Z$36+1,Z$48,IF($E81&lt;=Z$40,Z$51*Z$38^($E81-Z$35-1),IF($E81=Z$40+1,Z$49,0))))))))</f>
        <v>#N/A</v>
      </c>
      <c r="AA81" s="54" t="e">
        <f aca="false">SUM(F81:Z81)</f>
        <v>#VALUE!</v>
      </c>
    </row>
    <row r="82" customFormat="false" ht="11.25" hidden="false" customHeight="false" outlineLevel="0" collapsed="false">
      <c r="A82" s="44" t="s">
        <v>129</v>
      </c>
      <c r="B82" s="64" t="n">
        <v>3</v>
      </c>
      <c r="C82" s="12"/>
      <c r="D82" s="12"/>
      <c r="E82" s="5" t="n">
        <f aca="false">+E81+1</f>
        <v>28</v>
      </c>
      <c r="F82" s="54" t="e">
        <f aca="false">(IF(OR($E82&lt;=F$29,F$39&lt;=F$22),0,IF(AND($E82=F$29+1,$E82&lt;F$30+1),F$32,IF($E82&lt;=F$30,0.5*F$9*$B$83*(2*$E82-2*F$21-1)/(F$22-F$21),IF($E82=F$30+1,F$45,IF($E82&lt;=F$36,F$50*F$31^($E82-F$22-1),IF($E82=F$36+1,F$48,IF($E82&lt;=F$40,F$51*F$38^($E82-F$35-1),IF($E82=F$40+1,F$49,0)))))))))</f>
        <v>#VALUE!</v>
      </c>
      <c r="G82" s="54" t="e">
        <f aca="false">IF(OR($E82&lt;=G$29,G$39&lt;=G$22),0,IF(AND($E82=G$29+1,$E82&lt;G$30+1),G$32,IF($E82&lt;=G$30,0.5*G$9*$B$83*(2*$E82-2*G$21-1)/(G$22-G$21),IF($E82=G$30+1,G$45,IF($E82&lt;=G$36,G$50*G$31^($E82-G$22-1),IF($E82=G$36+1,G$48,IF($E82&lt;=G$40,G$51*G$38^($E82-G$35-1),IF($E82=G$40+1,G$49,0))))))))</f>
        <v>#VALUE!</v>
      </c>
      <c r="H82" s="54" t="e">
        <f aca="false">IF(OR($E82&lt;=H$29,H$39&lt;=H$22),0,IF(AND($E82=H$29+1,$E82&lt;H$30+1),H$32,IF($E82&lt;=H$30,0.5*H$9*$B$83*(2*$E82-2*H$21-1)/(H$22-H$21),IF($E82=H$30+1,H$45,IF($E82&lt;=H$36,H$50*H$31^($E82-H$22-1),IF($E82=H$36+1,H$48,IF($E82&lt;=H$40,H$51*H$38^($E82-H$35-1),IF($E82=H$40+1,H$49,0))))))))</f>
        <v>#N/A</v>
      </c>
      <c r="I82" s="54" t="e">
        <f aca="false">IF(OR($E82&lt;=I$29,I$39&lt;=I$22),0,IF(AND($E82=I$29+1,$E82&lt;I$30+1),I$32,IF($E82&lt;=I$30,0.5*I$9*$B$83*(2*$E82-2*I$21-1)/(I$22-I$21),IF($E82=I$30+1,I$45,IF($E82&lt;=I$36,I$50*I$31^($E82-I$22-1),IF($E82=I$36+1,I$48,IF($E82&lt;=I$40,I$51*I$38^($E82-I$35-1),IF($E82=I$40+1,I$49,0))))))))</f>
        <v>#N/A</v>
      </c>
      <c r="J82" s="54" t="e">
        <f aca="false">IF(OR($E82&lt;=J$29,J$39&lt;=J$22),0,IF(AND($E82=J$29+1,$E82&lt;J$30+1),J$32,IF($E82&lt;=J$30,0.5*J$9*$B$83*(2*$E82-2*J$21-1)/(J$22-J$21),IF($E82=J$30+1,J$45,IF($E82&lt;=J$36,J$50*J$31^($E82-J$22-1),IF($E82=J$36+1,J$48,IF($E82&lt;=J$40,J$51*J$38^($E82-J$35-1),IF($E82=J$40+1,J$49,0))))))))</f>
        <v>#N/A</v>
      </c>
      <c r="K82" s="54" t="e">
        <f aca="false">IF(OR($E82&lt;=K$29,K$39&lt;=K$22),0,IF(AND($E82=K$29+1,$E82&lt;K$30+1),K$32,IF($E82&lt;=K$30,0.5*K$9*$B$83*(2*$E82-2*K$21-1)/(K$22-K$21),IF($E82=K$30+1,K$45,IF($E82&lt;=K$36,K$50*K$31^($E82-K$22-1),IF($E82=K$36+1,K$48,IF($E82&lt;=K$40,K$51*K$38^($E82-K$35-1),IF($E82=K$40+1,K$49,0))))))))</f>
        <v>#N/A</v>
      </c>
      <c r="L82" s="54" t="e">
        <f aca="false">IF(OR($E82&lt;=L$29,L$39&lt;=L$22),0,IF(AND($E82=L$29+1,$E82&lt;L$30+1),L$32,IF($E82&lt;=L$30,0.5*L$9*$B$83*(2*$E82-2*L$21-1)/(L$22-L$21),IF($E82=L$30+1,L$45,IF($E82&lt;=L$36,L$50*L$31^($E82-L$22-1),IF($E82=L$36+1,L$48,IF($E82&lt;=L$40,L$51*L$38^($E82-L$35-1),IF($E82=L$40+1,L$49,0))))))))</f>
        <v>#N/A</v>
      </c>
      <c r="M82" s="54" t="e">
        <f aca="false">IF(OR($E82&lt;=M$29,M$39&lt;=M$22),0,IF(AND($E82=M$29+1,$E82&lt;M$30+1),M$32,IF($E82&lt;=M$30,0.5*M$9*$B$83*(2*$E82-2*M$21-1)/(M$22-M$21),IF($E82=M$30+1,M$45,IF($E82&lt;=M$36,M$50*M$31^($E82-M$22-1),IF($E82=M$36+1,M$48,IF($E82&lt;=M$40,M$51*M$38^($E82-M$35-1),IF($E82=M$40+1,M$49,0))))))))</f>
        <v>#N/A</v>
      </c>
      <c r="N82" s="54" t="e">
        <f aca="false">IF(OR($E82&lt;=N$29,N$39&lt;=N$22),0,IF(AND($E82=N$29+1,$E82&lt;N$30+1),N$32,IF($E82&lt;=N$30,0.5*N$9*$B$83*(2*$E82-2*N$21-1)/(N$22-N$21),IF($E82=N$30+1,N$45,IF($E82&lt;=N$36,N$50*N$31^($E82-N$22-1),IF($E82=N$36+1,N$48,IF($E82&lt;=N$40,N$51*N$38^($E82-N$35-1),IF($E82=N$40+1,N$49,0))))))))</f>
        <v>#N/A</v>
      </c>
      <c r="O82" s="54" t="e">
        <f aca="false">IF(OR($E82&lt;=O$29,O$39&lt;=O$22),0,IF(AND($E82=O$29+1,$E82&lt;O$30+1),O$32,IF($E82&lt;=O$30,0.5*O$9*$B$83*(2*$E82-2*O$21-1)/(O$22-O$21),IF($E82=O$30+1,O$45,IF($E82&lt;=O$36,O$50*O$31^($E82-O$22-1),IF($E82=O$36+1,O$48,IF($E82&lt;=O$40,O$51*O$38^($E82-O$35-1),IF($E82=O$40+1,O$49,0))))))))</f>
        <v>#N/A</v>
      </c>
      <c r="P82" s="54" t="e">
        <f aca="false">IF(OR($E82&lt;=P$29,P$39&lt;=P$22),0,IF(AND($E82=P$29+1,$E82&lt;P$30+1),P$32,IF($E82&lt;=P$30,0.5*P$9*$B$83*(2*$E82-2*P$21-1)/(P$22-P$21),IF($E82=P$30+1,P$45,IF($E82&lt;=P$36,P$50*P$31^($E82-P$22-1),IF($E82=P$36+1,P$48,IF($E82&lt;=P$40,P$51*P$38^($E82-P$35-1),IF($E82=P$40+1,P$49,0))))))))</f>
        <v>#N/A</v>
      </c>
      <c r="Q82" s="54" t="e">
        <f aca="false">IF(OR($E82&lt;=Q$29,Q$39&lt;=Q$22),0,IF(AND($E82=Q$29+1,$E82&lt;Q$30+1),Q$32,IF($E82&lt;=Q$30,0.5*Q$9*$B$83*(2*$E82-2*Q$21-1)/(Q$22-Q$21),IF($E82=Q$30+1,Q$45,IF($E82&lt;=Q$36,Q$50*Q$31^($E82-Q$22-1),IF($E82=Q$36+1,Q$48,IF($E82&lt;=Q$40,Q$51*Q$38^($E82-Q$35-1),IF($E82=Q$40+1,Q$49,0))))))))</f>
        <v>#N/A</v>
      </c>
      <c r="R82" s="54" t="e">
        <f aca="false">IF(OR($E82&lt;=R$29,R$39&lt;=R$22),0,IF(AND($E82=R$29+1,$E82&lt;R$30+1),R$32,IF($E82&lt;=R$30,0.5*R$9*$B$83*(2*$E82-2*R$21-1)/(R$22-R$21),IF($E82=R$30+1,R$45,IF($E82&lt;=R$36,R$50*R$31^($E82-R$22-1),IF($E82=R$36+1,R$48,IF($E82&lt;=R$40,R$51*R$38^($E82-R$35-1),IF($E82=R$40+1,R$49,0))))))))</f>
        <v>#N/A</v>
      </c>
      <c r="S82" s="54" t="e">
        <f aca="false">IF(OR($E82&lt;=S$29,S$39&lt;=S$22),0,IF(AND($E82=S$29+1,$E82&lt;S$30+1),S$32,IF($E82&lt;=S$30,0.5*S$9*$B$83*(2*$E82-2*S$21-1)/(S$22-S$21),IF($E82=S$30+1,S$45,IF($E82&lt;=S$36,S$50*S$31^($E82-S$22-1),IF($E82=S$36+1,S$48,IF($E82&lt;=S$40,S$51*S$38^($E82-S$35-1),IF($E82=S$40+1,S$49,0))))))))</f>
        <v>#N/A</v>
      </c>
      <c r="T82" s="54" t="e">
        <f aca="false">IF(OR($E82&lt;=T$29,T$39&lt;=T$22),0,IF(AND($E82=T$29+1,$E82&lt;T$30+1),T$32,IF($E82&lt;=T$30,0.5*T$9*$B$83*(2*$E82-2*T$21-1)/(T$22-T$21),IF($E82=T$30+1,T$45,IF($E82&lt;=T$36,T$50*T$31^($E82-T$22-1),IF($E82=T$36+1,T$48,IF($E82&lt;=T$40,T$51*T$38^($E82-T$35-1),IF($E82=T$40+1,T$49,0))))))))</f>
        <v>#N/A</v>
      </c>
      <c r="U82" s="54" t="e">
        <f aca="false">IF(OR($E82&lt;=U$29,U$39&lt;=U$22),0,IF(AND($E82=U$29+1,$E82&lt;U$30+1),U$32,IF($E82&lt;=U$30,0.5*U$9*$B$83*(2*$E82-2*U$21-1)/(U$22-U$21),IF($E82=U$30+1,U$45,IF($E82&lt;=U$36,U$50*U$31^($E82-U$22-1),IF($E82=U$36+1,U$48,IF($E82&lt;=U$40,U$51*U$38^($E82-U$35-1),IF($E82=U$40+1,U$49,0))))))))</f>
        <v>#N/A</v>
      </c>
      <c r="V82" s="54" t="e">
        <f aca="false">IF(OR($E82&lt;=V$29,V$39&lt;=V$22),0,IF(AND($E82=V$29+1,$E82&lt;V$30+1),V$32,IF($E82&lt;=V$30,0.5*V$9*$B$83*(2*$E82-2*V$21-1)/(V$22-V$21),IF($E82=V$30+1,V$45,IF($E82&lt;=V$36,V$50*V$31^($E82-V$22-1),IF($E82=V$36+1,V$48,IF($E82&lt;=V$40,V$51*V$38^($E82-V$35-1),IF($E82=V$40+1,V$49,0))))))))</f>
        <v>#N/A</v>
      </c>
      <c r="W82" s="54" t="e">
        <f aca="false">IF(OR($E82&lt;=W$29,W$39&lt;=W$22),0,IF(AND($E82=W$29+1,$E82&lt;W$30+1),W$32,IF($E82&lt;=W$30,0.5*W$9*$B$83*(2*$E82-2*W$21-1)/(W$22-W$21),IF($E82=W$30+1,W$45,IF($E82&lt;=W$36,W$50*W$31^($E82-W$22-1),IF($E82=W$36+1,W$48,IF($E82&lt;=W$40,W$51*W$38^($E82-W$35-1),IF($E82=W$40+1,W$49,0))))))))</f>
        <v>#N/A</v>
      </c>
      <c r="X82" s="54" t="e">
        <f aca="false">IF(OR($E82&lt;=X$29,X$39&lt;=X$22),0,IF(AND($E82=X$29+1,$E82&lt;X$30+1),X$32,IF($E82&lt;=X$30,0.5*X$9*$B$83*(2*$E82-2*X$21-1)/(X$22-X$21),IF($E82=X$30+1,X$45,IF($E82&lt;=X$36,X$50*X$31^($E82-X$22-1),IF($E82=X$36+1,X$48,IF($E82&lt;=X$40,X$51*X$38^($E82-X$35-1),IF($E82=X$40+1,X$49,0))))))))</f>
        <v>#N/A</v>
      </c>
      <c r="Y82" s="54" t="e">
        <f aca="false">IF(OR($E82&lt;=Y$29,Y$39&lt;=Y$22),0,IF(AND($E82=Y$29+1,$E82&lt;Y$30+1),Y$32,IF($E82&lt;=Y$30,0.5*Y$9*$B$83*(2*$E82-2*Y$21-1)/(Y$22-Y$21),IF($E82=Y$30+1,Y$45,IF($E82&lt;=Y$36,Y$50*Y$31^($E82-Y$22-1),IF($E82=Y$36+1,Y$48,IF($E82&lt;=Y$40,Y$51*Y$38^($E82-Y$35-1),IF($E82=Y$40+1,Y$49,0))))))))</f>
        <v>#N/A</v>
      </c>
      <c r="Z82" s="54" t="e">
        <f aca="false">IF(OR($E82&lt;=Z$29,Z$39&lt;=Z$22),0,IF(AND($E82=Z$29+1,$E82&lt;Z$30+1),Z$32,IF($E82&lt;=Z$30,0.5*Z$9*$B$83*(2*$E82-2*Z$21-1)/(Z$22-Z$21),IF($E82=Z$30+1,Z$45,IF($E82&lt;=Z$36,Z$50*Z$31^($E82-Z$22-1),IF($E82=Z$36+1,Z$48,IF($E82&lt;=Z$40,Z$51*Z$38^($E82-Z$35-1),IF($E82=Z$40+1,Z$49,0))))))))</f>
        <v>#N/A</v>
      </c>
      <c r="AA82" s="54" t="e">
        <f aca="false">SUM(F82:Z82)</f>
        <v>#VALUE!</v>
      </c>
    </row>
    <row r="83" customFormat="false" ht="11.25" hidden="false" customHeight="false" outlineLevel="0" collapsed="false">
      <c r="A83" s="5" t="s">
        <v>130</v>
      </c>
      <c r="B83" s="6" t="n">
        <f aca="false">CHOOSE(B82,30.4,365/4,365)/1000</f>
        <v>0.365</v>
      </c>
      <c r="C83" s="12"/>
      <c r="D83" s="12"/>
      <c r="E83" s="5" t="n">
        <f aca="false">+E82+1</f>
        <v>29</v>
      </c>
      <c r="F83" s="54" t="e">
        <f aca="false">(IF(OR($E83&lt;=F$29,F$39&lt;=F$22),0,IF(AND($E83=F$29+1,$E83&lt;F$30+1),F$32,IF($E83&lt;=F$30,0.5*F$9*$B$83*(2*$E83-2*F$21-1)/(F$22-F$21),IF($E83=F$30+1,F$45,IF($E83&lt;=F$36,F$50*F$31^($E83-F$22-1),IF($E83=F$36+1,F$48,IF($E83&lt;=F$40,F$51*F$38^($E83-F$35-1),IF($E83=F$40+1,F$49,0)))))))))</f>
        <v>#VALUE!</v>
      </c>
      <c r="G83" s="54" t="e">
        <f aca="false">IF(OR($E83&lt;=G$29,G$39&lt;=G$22),0,IF(AND($E83=G$29+1,$E83&lt;G$30+1),G$32,IF($E83&lt;=G$30,0.5*G$9*$B$83*(2*$E83-2*G$21-1)/(G$22-G$21),IF($E83=G$30+1,G$45,IF($E83&lt;=G$36,G$50*G$31^($E83-G$22-1),IF($E83=G$36+1,G$48,IF($E83&lt;=G$40,G$51*G$38^($E83-G$35-1),IF($E83=G$40+1,G$49,0))))))))</f>
        <v>#VALUE!</v>
      </c>
      <c r="H83" s="54" t="e">
        <f aca="false">IF(OR($E83&lt;=H$29,H$39&lt;=H$22),0,IF(AND($E83=H$29+1,$E83&lt;H$30+1),H$32,IF($E83&lt;=H$30,0.5*H$9*$B$83*(2*$E83-2*H$21-1)/(H$22-H$21),IF($E83=H$30+1,H$45,IF($E83&lt;=H$36,H$50*H$31^($E83-H$22-1),IF($E83=H$36+1,H$48,IF($E83&lt;=H$40,H$51*H$38^($E83-H$35-1),IF($E83=H$40+1,H$49,0))))))))</f>
        <v>#N/A</v>
      </c>
      <c r="I83" s="54" t="e">
        <f aca="false">IF(OR($E83&lt;=I$29,I$39&lt;=I$22),0,IF(AND($E83=I$29+1,$E83&lt;I$30+1),I$32,IF($E83&lt;=I$30,0.5*I$9*$B$83*(2*$E83-2*I$21-1)/(I$22-I$21),IF($E83=I$30+1,I$45,IF($E83&lt;=I$36,I$50*I$31^($E83-I$22-1),IF($E83=I$36+1,I$48,IF($E83&lt;=I$40,I$51*I$38^($E83-I$35-1),IF($E83=I$40+1,I$49,0))))))))</f>
        <v>#N/A</v>
      </c>
      <c r="J83" s="54" t="e">
        <f aca="false">IF(OR($E83&lt;=J$29,J$39&lt;=J$22),0,IF(AND($E83=J$29+1,$E83&lt;J$30+1),J$32,IF($E83&lt;=J$30,0.5*J$9*$B$83*(2*$E83-2*J$21-1)/(J$22-J$21),IF($E83=J$30+1,J$45,IF($E83&lt;=J$36,J$50*J$31^($E83-J$22-1),IF($E83=J$36+1,J$48,IF($E83&lt;=J$40,J$51*J$38^($E83-J$35-1),IF($E83=J$40+1,J$49,0))))))))</f>
        <v>#N/A</v>
      </c>
      <c r="K83" s="54" t="e">
        <f aca="false">IF(OR($E83&lt;=K$29,K$39&lt;=K$22),0,IF(AND($E83=K$29+1,$E83&lt;K$30+1),K$32,IF($E83&lt;=K$30,0.5*K$9*$B$83*(2*$E83-2*K$21-1)/(K$22-K$21),IF($E83=K$30+1,K$45,IF($E83&lt;=K$36,K$50*K$31^($E83-K$22-1),IF($E83=K$36+1,K$48,IF($E83&lt;=K$40,K$51*K$38^($E83-K$35-1),IF($E83=K$40+1,K$49,0))))))))</f>
        <v>#N/A</v>
      </c>
      <c r="L83" s="54" t="e">
        <f aca="false">IF(OR($E83&lt;=L$29,L$39&lt;=L$22),0,IF(AND($E83=L$29+1,$E83&lt;L$30+1),L$32,IF($E83&lt;=L$30,0.5*L$9*$B$83*(2*$E83-2*L$21-1)/(L$22-L$21),IF($E83=L$30+1,L$45,IF($E83&lt;=L$36,L$50*L$31^($E83-L$22-1),IF($E83=L$36+1,L$48,IF($E83&lt;=L$40,L$51*L$38^($E83-L$35-1),IF($E83=L$40+1,L$49,0))))))))</f>
        <v>#N/A</v>
      </c>
      <c r="M83" s="54" t="e">
        <f aca="false">IF(OR($E83&lt;=M$29,M$39&lt;=M$22),0,IF(AND($E83=M$29+1,$E83&lt;M$30+1),M$32,IF($E83&lt;=M$30,0.5*M$9*$B$83*(2*$E83-2*M$21-1)/(M$22-M$21),IF($E83=M$30+1,M$45,IF($E83&lt;=M$36,M$50*M$31^($E83-M$22-1),IF($E83=M$36+1,M$48,IF($E83&lt;=M$40,M$51*M$38^($E83-M$35-1),IF($E83=M$40+1,M$49,0))))))))</f>
        <v>#N/A</v>
      </c>
      <c r="N83" s="54" t="e">
        <f aca="false">IF(OR($E83&lt;=N$29,N$39&lt;=N$22),0,IF(AND($E83=N$29+1,$E83&lt;N$30+1),N$32,IF($E83&lt;=N$30,0.5*N$9*$B$83*(2*$E83-2*N$21-1)/(N$22-N$21),IF($E83=N$30+1,N$45,IF($E83&lt;=N$36,N$50*N$31^($E83-N$22-1),IF($E83=N$36+1,N$48,IF($E83&lt;=N$40,N$51*N$38^($E83-N$35-1),IF($E83=N$40+1,N$49,0))))))))</f>
        <v>#N/A</v>
      </c>
      <c r="O83" s="54" t="e">
        <f aca="false">IF(OR($E83&lt;=O$29,O$39&lt;=O$22),0,IF(AND($E83=O$29+1,$E83&lt;O$30+1),O$32,IF($E83&lt;=O$30,0.5*O$9*$B$83*(2*$E83-2*O$21-1)/(O$22-O$21),IF($E83=O$30+1,O$45,IF($E83&lt;=O$36,O$50*O$31^($E83-O$22-1),IF($E83=O$36+1,O$48,IF($E83&lt;=O$40,O$51*O$38^($E83-O$35-1),IF($E83=O$40+1,O$49,0))))))))</f>
        <v>#N/A</v>
      </c>
      <c r="P83" s="54" t="e">
        <f aca="false">IF(OR($E83&lt;=P$29,P$39&lt;=P$22),0,IF(AND($E83=P$29+1,$E83&lt;P$30+1),P$32,IF($E83&lt;=P$30,0.5*P$9*$B$83*(2*$E83-2*P$21-1)/(P$22-P$21),IF($E83=P$30+1,P$45,IF($E83&lt;=P$36,P$50*P$31^($E83-P$22-1),IF($E83=P$36+1,P$48,IF($E83&lt;=P$40,P$51*P$38^($E83-P$35-1),IF($E83=P$40+1,P$49,0))))))))</f>
        <v>#N/A</v>
      </c>
      <c r="Q83" s="54" t="e">
        <f aca="false">IF(OR($E83&lt;=Q$29,Q$39&lt;=Q$22),0,IF(AND($E83=Q$29+1,$E83&lt;Q$30+1),Q$32,IF($E83&lt;=Q$30,0.5*Q$9*$B$83*(2*$E83-2*Q$21-1)/(Q$22-Q$21),IF($E83=Q$30+1,Q$45,IF($E83&lt;=Q$36,Q$50*Q$31^($E83-Q$22-1),IF($E83=Q$36+1,Q$48,IF($E83&lt;=Q$40,Q$51*Q$38^($E83-Q$35-1),IF($E83=Q$40+1,Q$49,0))))))))</f>
        <v>#N/A</v>
      </c>
      <c r="R83" s="54" t="e">
        <f aca="false">IF(OR($E83&lt;=R$29,R$39&lt;=R$22),0,IF(AND($E83=R$29+1,$E83&lt;R$30+1),R$32,IF($E83&lt;=R$30,0.5*R$9*$B$83*(2*$E83-2*R$21-1)/(R$22-R$21),IF($E83=R$30+1,R$45,IF($E83&lt;=R$36,R$50*R$31^($E83-R$22-1),IF($E83=R$36+1,R$48,IF($E83&lt;=R$40,R$51*R$38^($E83-R$35-1),IF($E83=R$40+1,R$49,0))))))))</f>
        <v>#N/A</v>
      </c>
      <c r="S83" s="54" t="e">
        <f aca="false">IF(OR($E83&lt;=S$29,S$39&lt;=S$22),0,IF(AND($E83=S$29+1,$E83&lt;S$30+1),S$32,IF($E83&lt;=S$30,0.5*S$9*$B$83*(2*$E83-2*S$21-1)/(S$22-S$21),IF($E83=S$30+1,S$45,IF($E83&lt;=S$36,S$50*S$31^($E83-S$22-1),IF($E83=S$36+1,S$48,IF($E83&lt;=S$40,S$51*S$38^($E83-S$35-1),IF($E83=S$40+1,S$49,0))))))))</f>
        <v>#N/A</v>
      </c>
      <c r="T83" s="54" t="e">
        <f aca="false">IF(OR($E83&lt;=T$29,T$39&lt;=T$22),0,IF(AND($E83=T$29+1,$E83&lt;T$30+1),T$32,IF($E83&lt;=T$30,0.5*T$9*$B$83*(2*$E83-2*T$21-1)/(T$22-T$21),IF($E83=T$30+1,T$45,IF($E83&lt;=T$36,T$50*T$31^($E83-T$22-1),IF($E83=T$36+1,T$48,IF($E83&lt;=T$40,T$51*T$38^($E83-T$35-1),IF($E83=T$40+1,T$49,0))))))))</f>
        <v>#N/A</v>
      </c>
      <c r="U83" s="54" t="e">
        <f aca="false">IF(OR($E83&lt;=U$29,U$39&lt;=U$22),0,IF(AND($E83=U$29+1,$E83&lt;U$30+1),U$32,IF($E83&lt;=U$30,0.5*U$9*$B$83*(2*$E83-2*U$21-1)/(U$22-U$21),IF($E83=U$30+1,U$45,IF($E83&lt;=U$36,U$50*U$31^($E83-U$22-1),IF($E83=U$36+1,U$48,IF($E83&lt;=U$40,U$51*U$38^($E83-U$35-1),IF($E83=U$40+1,U$49,0))))))))</f>
        <v>#N/A</v>
      </c>
      <c r="V83" s="54" t="e">
        <f aca="false">IF(OR($E83&lt;=V$29,V$39&lt;=V$22),0,IF(AND($E83=V$29+1,$E83&lt;V$30+1),V$32,IF($E83&lt;=V$30,0.5*V$9*$B$83*(2*$E83-2*V$21-1)/(V$22-V$21),IF($E83=V$30+1,V$45,IF($E83&lt;=V$36,V$50*V$31^($E83-V$22-1),IF($E83=V$36+1,V$48,IF($E83&lt;=V$40,V$51*V$38^($E83-V$35-1),IF($E83=V$40+1,V$49,0))))))))</f>
        <v>#N/A</v>
      </c>
      <c r="W83" s="54" t="e">
        <f aca="false">IF(OR($E83&lt;=W$29,W$39&lt;=W$22),0,IF(AND($E83=W$29+1,$E83&lt;W$30+1),W$32,IF($E83&lt;=W$30,0.5*W$9*$B$83*(2*$E83-2*W$21-1)/(W$22-W$21),IF($E83=W$30+1,W$45,IF($E83&lt;=W$36,W$50*W$31^($E83-W$22-1),IF($E83=W$36+1,W$48,IF($E83&lt;=W$40,W$51*W$38^($E83-W$35-1),IF($E83=W$40+1,W$49,0))))))))</f>
        <v>#N/A</v>
      </c>
      <c r="X83" s="54" t="e">
        <f aca="false">IF(OR($E83&lt;=X$29,X$39&lt;=X$22),0,IF(AND($E83=X$29+1,$E83&lt;X$30+1),X$32,IF($E83&lt;=X$30,0.5*X$9*$B$83*(2*$E83-2*X$21-1)/(X$22-X$21),IF($E83=X$30+1,X$45,IF($E83&lt;=X$36,X$50*X$31^($E83-X$22-1),IF($E83=X$36+1,X$48,IF($E83&lt;=X$40,X$51*X$38^($E83-X$35-1),IF($E83=X$40+1,X$49,0))))))))</f>
        <v>#N/A</v>
      </c>
      <c r="Y83" s="54" t="e">
        <f aca="false">IF(OR($E83&lt;=Y$29,Y$39&lt;=Y$22),0,IF(AND($E83=Y$29+1,$E83&lt;Y$30+1),Y$32,IF($E83&lt;=Y$30,0.5*Y$9*$B$83*(2*$E83-2*Y$21-1)/(Y$22-Y$21),IF($E83=Y$30+1,Y$45,IF($E83&lt;=Y$36,Y$50*Y$31^($E83-Y$22-1),IF($E83=Y$36+1,Y$48,IF($E83&lt;=Y$40,Y$51*Y$38^($E83-Y$35-1),IF($E83=Y$40+1,Y$49,0))))))))</f>
        <v>#N/A</v>
      </c>
      <c r="Z83" s="54" t="e">
        <f aca="false">IF(OR($E83&lt;=Z$29,Z$39&lt;=Z$22),0,IF(AND($E83=Z$29+1,$E83&lt;Z$30+1),Z$32,IF($E83&lt;=Z$30,0.5*Z$9*$B$83*(2*$E83-2*Z$21-1)/(Z$22-Z$21),IF($E83=Z$30+1,Z$45,IF($E83&lt;=Z$36,Z$50*Z$31^($E83-Z$22-1),IF($E83=Z$36+1,Z$48,IF($E83&lt;=Z$40,Z$51*Z$38^($E83-Z$35-1),IF($E83=Z$40+1,Z$49,0))))))))</f>
        <v>#N/A</v>
      </c>
      <c r="AA83" s="54" t="e">
        <f aca="false">SUM(F83:Z83)</f>
        <v>#VALUE!</v>
      </c>
    </row>
    <row r="84" customFormat="false" ht="11.25" hidden="false" customHeight="false" outlineLevel="0" collapsed="false">
      <c r="A84" s="12"/>
      <c r="B84" s="12"/>
      <c r="C84" s="12"/>
      <c r="D84" s="12"/>
      <c r="E84" s="5" t="n">
        <f aca="false">+E83+1</f>
        <v>30</v>
      </c>
      <c r="F84" s="54" t="e">
        <f aca="false">(IF(OR($E84&lt;=F$29,F$39&lt;=F$22),0,IF(AND($E84=F$29+1,$E84&lt;F$30+1),F$32,IF($E84&lt;=F$30,0.5*F$9*$B$83*(2*$E84-2*F$21-1)/(F$22-F$21),IF($E84=F$30+1,F$45,IF($E84&lt;=F$36,F$50*F$31^($E84-F$22-1),IF($E84=F$36+1,F$48,IF($E84&lt;=F$40,F$51*F$38^($E84-F$35-1),IF($E84=F$40+1,F$49,0)))))))))</f>
        <v>#VALUE!</v>
      </c>
      <c r="G84" s="54" t="e">
        <f aca="false">IF(OR($E84&lt;=G$29,G$39&lt;=G$22),0,IF(AND($E84=G$29+1,$E84&lt;G$30+1),G$32,IF($E84&lt;=G$30,0.5*G$9*$B$83*(2*$E84-2*G$21-1)/(G$22-G$21),IF($E84=G$30+1,G$45,IF($E84&lt;=G$36,G$50*G$31^($E84-G$22-1),IF($E84=G$36+1,G$48,IF($E84&lt;=G$40,G$51*G$38^($E84-G$35-1),IF($E84=G$40+1,G$49,0))))))))</f>
        <v>#VALUE!</v>
      </c>
      <c r="H84" s="54" t="e">
        <f aca="false">IF(OR($E84&lt;=H$29,H$39&lt;=H$22),0,IF(AND($E84=H$29+1,$E84&lt;H$30+1),H$32,IF($E84&lt;=H$30,0.5*H$9*$B$83*(2*$E84-2*H$21-1)/(H$22-H$21),IF($E84=H$30+1,H$45,IF($E84&lt;=H$36,H$50*H$31^($E84-H$22-1),IF($E84=H$36+1,H$48,IF($E84&lt;=H$40,H$51*H$38^($E84-H$35-1),IF($E84=H$40+1,H$49,0))))))))</f>
        <v>#N/A</v>
      </c>
      <c r="I84" s="54" t="e">
        <f aca="false">IF(OR($E84&lt;=I$29,I$39&lt;=I$22),0,IF(AND($E84=I$29+1,$E84&lt;I$30+1),I$32,IF($E84&lt;=I$30,0.5*I$9*$B$83*(2*$E84-2*I$21-1)/(I$22-I$21),IF($E84=I$30+1,I$45,IF($E84&lt;=I$36,I$50*I$31^($E84-I$22-1),IF($E84=I$36+1,I$48,IF($E84&lt;=I$40,I$51*I$38^($E84-I$35-1),IF($E84=I$40+1,I$49,0))))))))</f>
        <v>#N/A</v>
      </c>
      <c r="J84" s="54" t="e">
        <f aca="false">IF(OR($E84&lt;=J$29,J$39&lt;=J$22),0,IF(AND($E84=J$29+1,$E84&lt;J$30+1),J$32,IF($E84&lt;=J$30,0.5*J$9*$B$83*(2*$E84-2*J$21-1)/(J$22-J$21),IF($E84=J$30+1,J$45,IF($E84&lt;=J$36,J$50*J$31^($E84-J$22-1),IF($E84=J$36+1,J$48,IF($E84&lt;=J$40,J$51*J$38^($E84-J$35-1),IF($E84=J$40+1,J$49,0))))))))</f>
        <v>#N/A</v>
      </c>
      <c r="K84" s="54" t="e">
        <f aca="false">IF(OR($E84&lt;=K$29,K$39&lt;=K$22),0,IF(AND($E84=K$29+1,$E84&lt;K$30+1),K$32,IF($E84&lt;=K$30,0.5*K$9*$B$83*(2*$E84-2*K$21-1)/(K$22-K$21),IF($E84=K$30+1,K$45,IF($E84&lt;=K$36,K$50*K$31^($E84-K$22-1),IF($E84=K$36+1,K$48,IF($E84&lt;=K$40,K$51*K$38^($E84-K$35-1),IF($E84=K$40+1,K$49,0))))))))</f>
        <v>#N/A</v>
      </c>
      <c r="L84" s="54" t="e">
        <f aca="false">IF(OR($E84&lt;=L$29,L$39&lt;=L$22),0,IF(AND($E84=L$29+1,$E84&lt;L$30+1),L$32,IF($E84&lt;=L$30,0.5*L$9*$B$83*(2*$E84-2*L$21-1)/(L$22-L$21),IF($E84=L$30+1,L$45,IF($E84&lt;=L$36,L$50*L$31^($E84-L$22-1),IF($E84=L$36+1,L$48,IF($E84&lt;=L$40,L$51*L$38^($E84-L$35-1),IF($E84=L$40+1,L$49,0))))))))</f>
        <v>#N/A</v>
      </c>
      <c r="M84" s="54" t="e">
        <f aca="false">IF(OR($E84&lt;=M$29,M$39&lt;=M$22),0,IF(AND($E84=M$29+1,$E84&lt;M$30+1),M$32,IF($E84&lt;=M$30,0.5*M$9*$B$83*(2*$E84-2*M$21-1)/(M$22-M$21),IF($E84=M$30+1,M$45,IF($E84&lt;=M$36,M$50*M$31^($E84-M$22-1),IF($E84=M$36+1,M$48,IF($E84&lt;=M$40,M$51*M$38^($E84-M$35-1),IF($E84=M$40+1,M$49,0))))))))</f>
        <v>#N/A</v>
      </c>
      <c r="N84" s="54" t="e">
        <f aca="false">IF(OR($E84&lt;=N$29,N$39&lt;=N$22),0,IF(AND($E84=N$29+1,$E84&lt;N$30+1),N$32,IF($E84&lt;=N$30,0.5*N$9*$B$83*(2*$E84-2*N$21-1)/(N$22-N$21),IF($E84=N$30+1,N$45,IF($E84&lt;=N$36,N$50*N$31^($E84-N$22-1),IF($E84=N$36+1,N$48,IF($E84&lt;=N$40,N$51*N$38^($E84-N$35-1),IF($E84=N$40+1,N$49,0))))))))</f>
        <v>#N/A</v>
      </c>
      <c r="O84" s="54" t="e">
        <f aca="false">IF(OR($E84&lt;=O$29,O$39&lt;=O$22),0,IF(AND($E84=O$29+1,$E84&lt;O$30+1),O$32,IF($E84&lt;=O$30,0.5*O$9*$B$83*(2*$E84-2*O$21-1)/(O$22-O$21),IF($E84=O$30+1,O$45,IF($E84&lt;=O$36,O$50*O$31^($E84-O$22-1),IF($E84=O$36+1,O$48,IF($E84&lt;=O$40,O$51*O$38^($E84-O$35-1),IF($E84=O$40+1,O$49,0))))))))</f>
        <v>#N/A</v>
      </c>
      <c r="P84" s="54" t="e">
        <f aca="false">IF(OR($E84&lt;=P$29,P$39&lt;=P$22),0,IF(AND($E84=P$29+1,$E84&lt;P$30+1),P$32,IF($E84&lt;=P$30,0.5*P$9*$B$83*(2*$E84-2*P$21-1)/(P$22-P$21),IF($E84=P$30+1,P$45,IF($E84&lt;=P$36,P$50*P$31^($E84-P$22-1),IF($E84=P$36+1,P$48,IF($E84&lt;=P$40,P$51*P$38^($E84-P$35-1),IF($E84=P$40+1,P$49,0))))))))</f>
        <v>#N/A</v>
      </c>
      <c r="Q84" s="54" t="e">
        <f aca="false">IF(OR($E84&lt;=Q$29,Q$39&lt;=Q$22),0,IF(AND($E84=Q$29+1,$E84&lt;Q$30+1),Q$32,IF($E84&lt;=Q$30,0.5*Q$9*$B$83*(2*$E84-2*Q$21-1)/(Q$22-Q$21),IF($E84=Q$30+1,Q$45,IF($E84&lt;=Q$36,Q$50*Q$31^($E84-Q$22-1),IF($E84=Q$36+1,Q$48,IF($E84&lt;=Q$40,Q$51*Q$38^($E84-Q$35-1),IF($E84=Q$40+1,Q$49,0))))))))</f>
        <v>#N/A</v>
      </c>
      <c r="R84" s="54" t="e">
        <f aca="false">IF(OR($E84&lt;=R$29,R$39&lt;=R$22),0,IF(AND($E84=R$29+1,$E84&lt;R$30+1),R$32,IF($E84&lt;=R$30,0.5*R$9*$B$83*(2*$E84-2*R$21-1)/(R$22-R$21),IF($E84=R$30+1,R$45,IF($E84&lt;=R$36,R$50*R$31^($E84-R$22-1),IF($E84=R$36+1,R$48,IF($E84&lt;=R$40,R$51*R$38^($E84-R$35-1),IF($E84=R$40+1,R$49,0))))))))</f>
        <v>#N/A</v>
      </c>
      <c r="S84" s="54" t="e">
        <f aca="false">IF(OR($E84&lt;=S$29,S$39&lt;=S$22),0,IF(AND($E84=S$29+1,$E84&lt;S$30+1),S$32,IF($E84&lt;=S$30,0.5*S$9*$B$83*(2*$E84-2*S$21-1)/(S$22-S$21),IF($E84=S$30+1,S$45,IF($E84&lt;=S$36,S$50*S$31^($E84-S$22-1),IF($E84=S$36+1,S$48,IF($E84&lt;=S$40,S$51*S$38^($E84-S$35-1),IF($E84=S$40+1,S$49,0))))))))</f>
        <v>#N/A</v>
      </c>
      <c r="T84" s="54" t="e">
        <f aca="false">IF(OR($E84&lt;=T$29,T$39&lt;=T$22),0,IF(AND($E84=T$29+1,$E84&lt;T$30+1),T$32,IF($E84&lt;=T$30,0.5*T$9*$B$83*(2*$E84-2*T$21-1)/(T$22-T$21),IF($E84=T$30+1,T$45,IF($E84&lt;=T$36,T$50*T$31^($E84-T$22-1),IF($E84=T$36+1,T$48,IF($E84&lt;=T$40,T$51*T$38^($E84-T$35-1),IF($E84=T$40+1,T$49,0))))))))</f>
        <v>#N/A</v>
      </c>
      <c r="U84" s="54" t="e">
        <f aca="false">IF(OR($E84&lt;=U$29,U$39&lt;=U$22),0,IF(AND($E84=U$29+1,$E84&lt;U$30+1),U$32,IF($E84&lt;=U$30,0.5*U$9*$B$83*(2*$E84-2*U$21-1)/(U$22-U$21),IF($E84=U$30+1,U$45,IF($E84&lt;=U$36,U$50*U$31^($E84-U$22-1),IF($E84=U$36+1,U$48,IF($E84&lt;=U$40,U$51*U$38^($E84-U$35-1),IF($E84=U$40+1,U$49,0))))))))</f>
        <v>#N/A</v>
      </c>
      <c r="V84" s="54" t="e">
        <f aca="false">IF(OR($E84&lt;=V$29,V$39&lt;=V$22),0,IF(AND($E84=V$29+1,$E84&lt;V$30+1),V$32,IF($E84&lt;=V$30,0.5*V$9*$B$83*(2*$E84-2*V$21-1)/(V$22-V$21),IF($E84=V$30+1,V$45,IF($E84&lt;=V$36,V$50*V$31^($E84-V$22-1),IF($E84=V$36+1,V$48,IF($E84&lt;=V$40,V$51*V$38^($E84-V$35-1),IF($E84=V$40+1,V$49,0))))))))</f>
        <v>#N/A</v>
      </c>
      <c r="W84" s="54" t="e">
        <f aca="false">IF(OR($E84&lt;=W$29,W$39&lt;=W$22),0,IF(AND($E84=W$29+1,$E84&lt;W$30+1),W$32,IF($E84&lt;=W$30,0.5*W$9*$B$83*(2*$E84-2*W$21-1)/(W$22-W$21),IF($E84=W$30+1,W$45,IF($E84&lt;=W$36,W$50*W$31^($E84-W$22-1),IF($E84=W$36+1,W$48,IF($E84&lt;=W$40,W$51*W$38^($E84-W$35-1),IF($E84=W$40+1,W$49,0))))))))</f>
        <v>#N/A</v>
      </c>
      <c r="X84" s="54" t="e">
        <f aca="false">IF(OR($E84&lt;=X$29,X$39&lt;=X$22),0,IF(AND($E84=X$29+1,$E84&lt;X$30+1),X$32,IF($E84&lt;=X$30,0.5*X$9*$B$83*(2*$E84-2*X$21-1)/(X$22-X$21),IF($E84=X$30+1,X$45,IF($E84&lt;=X$36,X$50*X$31^($E84-X$22-1),IF($E84=X$36+1,X$48,IF($E84&lt;=X$40,X$51*X$38^($E84-X$35-1),IF($E84=X$40+1,X$49,0))))))))</f>
        <v>#N/A</v>
      </c>
      <c r="Y84" s="54" t="e">
        <f aca="false">IF(OR($E84&lt;=Y$29,Y$39&lt;=Y$22),0,IF(AND($E84=Y$29+1,$E84&lt;Y$30+1),Y$32,IF($E84&lt;=Y$30,0.5*Y$9*$B$83*(2*$E84-2*Y$21-1)/(Y$22-Y$21),IF($E84=Y$30+1,Y$45,IF($E84&lt;=Y$36,Y$50*Y$31^($E84-Y$22-1),IF($E84=Y$36+1,Y$48,IF($E84&lt;=Y$40,Y$51*Y$38^($E84-Y$35-1),IF($E84=Y$40+1,Y$49,0))))))))</f>
        <v>#N/A</v>
      </c>
      <c r="Z84" s="54" t="e">
        <f aca="false">IF(OR($E84&lt;=Z$29,Z$39&lt;=Z$22),0,IF(AND($E84=Z$29+1,$E84&lt;Z$30+1),Z$32,IF($E84&lt;=Z$30,0.5*Z$9*$B$83*(2*$E84-2*Z$21-1)/(Z$22-Z$21),IF($E84=Z$30+1,Z$45,IF($E84&lt;=Z$36,Z$50*Z$31^($E84-Z$22-1),IF($E84=Z$36+1,Z$48,IF($E84&lt;=Z$40,Z$51*Z$38^($E84-Z$35-1),IF($E84=Z$40+1,Z$49,0))))))))</f>
        <v>#N/A</v>
      </c>
      <c r="AA84" s="54" t="e">
        <f aca="false">SUM(F84:Z84)</f>
        <v>#VALUE!</v>
      </c>
    </row>
    <row r="85" customFormat="false" ht="11.25" hidden="false" customHeight="false" outlineLevel="0" collapsed="false">
      <c r="A85" s="5" t="s">
        <v>131</v>
      </c>
      <c r="B85" s="12"/>
      <c r="C85" s="12"/>
      <c r="D85" s="12"/>
      <c r="E85" s="5" t="n">
        <f aca="false">+E84+1</f>
        <v>31</v>
      </c>
      <c r="F85" s="54" t="e">
        <f aca="false">(IF(OR($E85&lt;=F$29,F$39&lt;=F$22),0,IF(AND($E85=F$29+1,$E85&lt;F$30+1),F$32,IF($E85&lt;=F$30,0.5*F$9*$B$83*(2*$E85-2*F$21-1)/(F$22-F$21),IF($E85=F$30+1,F$45,IF($E85&lt;=F$36,F$50*F$31^($E85-F$22-1),IF($E85=F$36+1,F$48,IF($E85&lt;=F$40,F$51*F$38^($E85-F$35-1),IF($E85=F$40+1,F$49,0)))))))))</f>
        <v>#VALUE!</v>
      </c>
      <c r="G85" s="54" t="e">
        <f aca="false">IF(OR($E85&lt;=G$29,G$39&lt;=G$22),0,IF(AND($E85=G$29+1,$E85&lt;G$30+1),G$32,IF($E85&lt;=G$30,0.5*G$9*$B$83*(2*$E85-2*G$21-1)/(G$22-G$21),IF($E85=G$30+1,G$45,IF($E85&lt;=G$36,G$50*G$31^($E85-G$22-1),IF($E85=G$36+1,G$48,IF($E85&lt;=G$40,G$51*G$38^($E85-G$35-1),IF($E85=G$40+1,G$49,0))))))))</f>
        <v>#VALUE!</v>
      </c>
      <c r="H85" s="54" t="e">
        <f aca="false">IF(OR($E85&lt;=H$29,H$39&lt;=H$22),0,IF(AND($E85=H$29+1,$E85&lt;H$30+1),H$32,IF($E85&lt;=H$30,0.5*H$9*$B$83*(2*$E85-2*H$21-1)/(H$22-H$21),IF($E85=H$30+1,H$45,IF($E85&lt;=H$36,H$50*H$31^($E85-H$22-1),IF($E85=H$36+1,H$48,IF($E85&lt;=H$40,H$51*H$38^($E85-H$35-1),IF($E85=H$40+1,H$49,0))))))))</f>
        <v>#N/A</v>
      </c>
      <c r="I85" s="54" t="e">
        <f aca="false">IF(OR($E85&lt;=I$29,I$39&lt;=I$22),0,IF(AND($E85=I$29+1,$E85&lt;I$30+1),I$32,IF($E85&lt;=I$30,0.5*I$9*$B$83*(2*$E85-2*I$21-1)/(I$22-I$21),IF($E85=I$30+1,I$45,IF($E85&lt;=I$36,I$50*I$31^($E85-I$22-1),IF($E85=I$36+1,I$48,IF($E85&lt;=I$40,I$51*I$38^($E85-I$35-1),IF($E85=I$40+1,I$49,0))))))))</f>
        <v>#N/A</v>
      </c>
      <c r="J85" s="54" t="e">
        <f aca="false">IF(OR($E85&lt;=J$29,J$39&lt;=J$22),0,IF(AND($E85=J$29+1,$E85&lt;J$30+1),J$32,IF($E85&lt;=J$30,0.5*J$9*$B$83*(2*$E85-2*J$21-1)/(J$22-J$21),IF($E85=J$30+1,J$45,IF($E85&lt;=J$36,J$50*J$31^($E85-J$22-1),IF($E85=J$36+1,J$48,IF($E85&lt;=J$40,J$51*J$38^($E85-J$35-1),IF($E85=J$40+1,J$49,0))))))))</f>
        <v>#N/A</v>
      </c>
      <c r="K85" s="54" t="e">
        <f aca="false">IF(OR($E85&lt;=K$29,K$39&lt;=K$22),0,IF(AND($E85=K$29+1,$E85&lt;K$30+1),K$32,IF($E85&lt;=K$30,0.5*K$9*$B$83*(2*$E85-2*K$21-1)/(K$22-K$21),IF($E85=K$30+1,K$45,IF($E85&lt;=K$36,K$50*K$31^($E85-K$22-1),IF($E85=K$36+1,K$48,IF($E85&lt;=K$40,K$51*K$38^($E85-K$35-1),IF($E85=K$40+1,K$49,0))))))))</f>
        <v>#N/A</v>
      </c>
      <c r="L85" s="54" t="e">
        <f aca="false">IF(OR($E85&lt;=L$29,L$39&lt;=L$22),0,IF(AND($E85=L$29+1,$E85&lt;L$30+1),L$32,IF($E85&lt;=L$30,0.5*L$9*$B$83*(2*$E85-2*L$21-1)/(L$22-L$21),IF($E85=L$30+1,L$45,IF($E85&lt;=L$36,L$50*L$31^($E85-L$22-1),IF($E85=L$36+1,L$48,IF($E85&lt;=L$40,L$51*L$38^($E85-L$35-1),IF($E85=L$40+1,L$49,0))))))))</f>
        <v>#N/A</v>
      </c>
      <c r="M85" s="54" t="e">
        <f aca="false">IF(OR($E85&lt;=M$29,M$39&lt;=M$22),0,IF(AND($E85=M$29+1,$E85&lt;M$30+1),M$32,IF($E85&lt;=M$30,0.5*M$9*$B$83*(2*$E85-2*M$21-1)/(M$22-M$21),IF($E85=M$30+1,M$45,IF($E85&lt;=M$36,M$50*M$31^($E85-M$22-1),IF($E85=M$36+1,M$48,IF($E85&lt;=M$40,M$51*M$38^($E85-M$35-1),IF($E85=M$40+1,M$49,0))))))))</f>
        <v>#N/A</v>
      </c>
      <c r="N85" s="54" t="e">
        <f aca="false">IF(OR($E85&lt;=N$29,N$39&lt;=N$22),0,IF(AND($E85=N$29+1,$E85&lt;N$30+1),N$32,IF($E85&lt;=N$30,0.5*N$9*$B$83*(2*$E85-2*N$21-1)/(N$22-N$21),IF($E85=N$30+1,N$45,IF($E85&lt;=N$36,N$50*N$31^($E85-N$22-1),IF($E85=N$36+1,N$48,IF($E85&lt;=N$40,N$51*N$38^($E85-N$35-1),IF($E85=N$40+1,N$49,0))))))))</f>
        <v>#N/A</v>
      </c>
      <c r="O85" s="54" t="e">
        <f aca="false">IF(OR($E85&lt;=O$29,O$39&lt;=O$22),0,IF(AND($E85=O$29+1,$E85&lt;O$30+1),O$32,IF($E85&lt;=O$30,0.5*O$9*$B$83*(2*$E85-2*O$21-1)/(O$22-O$21),IF($E85=O$30+1,O$45,IF($E85&lt;=O$36,O$50*O$31^($E85-O$22-1),IF($E85=O$36+1,O$48,IF($E85&lt;=O$40,O$51*O$38^($E85-O$35-1),IF($E85=O$40+1,O$49,0))))))))</f>
        <v>#N/A</v>
      </c>
      <c r="P85" s="54" t="e">
        <f aca="false">IF(OR($E85&lt;=P$29,P$39&lt;=P$22),0,IF(AND($E85=P$29+1,$E85&lt;P$30+1),P$32,IF($E85&lt;=P$30,0.5*P$9*$B$83*(2*$E85-2*P$21-1)/(P$22-P$21),IF($E85=P$30+1,P$45,IF($E85&lt;=P$36,P$50*P$31^($E85-P$22-1),IF($E85=P$36+1,P$48,IF($E85&lt;=P$40,P$51*P$38^($E85-P$35-1),IF($E85=P$40+1,P$49,0))))))))</f>
        <v>#N/A</v>
      </c>
      <c r="Q85" s="54" t="e">
        <f aca="false">IF(OR($E85&lt;=Q$29,Q$39&lt;=Q$22),0,IF(AND($E85=Q$29+1,$E85&lt;Q$30+1),Q$32,IF($E85&lt;=Q$30,0.5*Q$9*$B$83*(2*$E85-2*Q$21-1)/(Q$22-Q$21),IF($E85=Q$30+1,Q$45,IF($E85&lt;=Q$36,Q$50*Q$31^($E85-Q$22-1),IF($E85=Q$36+1,Q$48,IF($E85&lt;=Q$40,Q$51*Q$38^($E85-Q$35-1),IF($E85=Q$40+1,Q$49,0))))))))</f>
        <v>#N/A</v>
      </c>
      <c r="R85" s="54" t="e">
        <f aca="false">IF(OR($E85&lt;=R$29,R$39&lt;=R$22),0,IF(AND($E85=R$29+1,$E85&lt;R$30+1),R$32,IF($E85&lt;=R$30,0.5*R$9*$B$83*(2*$E85-2*R$21-1)/(R$22-R$21),IF($E85=R$30+1,R$45,IF($E85&lt;=R$36,R$50*R$31^($E85-R$22-1),IF($E85=R$36+1,R$48,IF($E85&lt;=R$40,R$51*R$38^($E85-R$35-1),IF($E85=R$40+1,R$49,0))))))))</f>
        <v>#N/A</v>
      </c>
      <c r="S85" s="54" t="e">
        <f aca="false">IF(OR($E85&lt;=S$29,S$39&lt;=S$22),0,IF(AND($E85=S$29+1,$E85&lt;S$30+1),S$32,IF($E85&lt;=S$30,0.5*S$9*$B$83*(2*$E85-2*S$21-1)/(S$22-S$21),IF($E85=S$30+1,S$45,IF($E85&lt;=S$36,S$50*S$31^($E85-S$22-1),IF($E85=S$36+1,S$48,IF($E85&lt;=S$40,S$51*S$38^($E85-S$35-1),IF($E85=S$40+1,S$49,0))))))))</f>
        <v>#N/A</v>
      </c>
      <c r="T85" s="54" t="e">
        <f aca="false">IF(OR($E85&lt;=T$29,T$39&lt;=T$22),0,IF(AND($E85=T$29+1,$E85&lt;T$30+1),T$32,IF($E85&lt;=T$30,0.5*T$9*$B$83*(2*$E85-2*T$21-1)/(T$22-T$21),IF($E85=T$30+1,T$45,IF($E85&lt;=T$36,T$50*T$31^($E85-T$22-1),IF($E85=T$36+1,T$48,IF($E85&lt;=T$40,T$51*T$38^($E85-T$35-1),IF($E85=T$40+1,T$49,0))))))))</f>
        <v>#N/A</v>
      </c>
      <c r="U85" s="54" t="e">
        <f aca="false">IF(OR($E85&lt;=U$29,U$39&lt;=U$22),0,IF(AND($E85=U$29+1,$E85&lt;U$30+1),U$32,IF($E85&lt;=U$30,0.5*U$9*$B$83*(2*$E85-2*U$21-1)/(U$22-U$21),IF($E85=U$30+1,U$45,IF($E85&lt;=U$36,U$50*U$31^($E85-U$22-1),IF($E85=U$36+1,U$48,IF($E85&lt;=U$40,U$51*U$38^($E85-U$35-1),IF($E85=U$40+1,U$49,0))))))))</f>
        <v>#N/A</v>
      </c>
      <c r="V85" s="54" t="e">
        <f aca="false">IF(OR($E85&lt;=V$29,V$39&lt;=V$22),0,IF(AND($E85=V$29+1,$E85&lt;V$30+1),V$32,IF($E85&lt;=V$30,0.5*V$9*$B$83*(2*$E85-2*V$21-1)/(V$22-V$21),IF($E85=V$30+1,V$45,IF($E85&lt;=V$36,V$50*V$31^($E85-V$22-1),IF($E85=V$36+1,V$48,IF($E85&lt;=V$40,V$51*V$38^($E85-V$35-1),IF($E85=V$40+1,V$49,0))))))))</f>
        <v>#N/A</v>
      </c>
      <c r="W85" s="54" t="e">
        <f aca="false">IF(OR($E85&lt;=W$29,W$39&lt;=W$22),0,IF(AND($E85=W$29+1,$E85&lt;W$30+1),W$32,IF($E85&lt;=W$30,0.5*W$9*$B$83*(2*$E85-2*W$21-1)/(W$22-W$21),IF($E85=W$30+1,W$45,IF($E85&lt;=W$36,W$50*W$31^($E85-W$22-1),IF($E85=W$36+1,W$48,IF($E85&lt;=W$40,W$51*W$38^($E85-W$35-1),IF($E85=W$40+1,W$49,0))))))))</f>
        <v>#N/A</v>
      </c>
      <c r="X85" s="54" t="e">
        <f aca="false">IF(OR($E85&lt;=X$29,X$39&lt;=X$22),0,IF(AND($E85=X$29+1,$E85&lt;X$30+1),X$32,IF($E85&lt;=X$30,0.5*X$9*$B$83*(2*$E85-2*X$21-1)/(X$22-X$21),IF($E85=X$30+1,X$45,IF($E85&lt;=X$36,X$50*X$31^($E85-X$22-1),IF($E85=X$36+1,X$48,IF($E85&lt;=X$40,X$51*X$38^($E85-X$35-1),IF($E85=X$40+1,X$49,0))))))))</f>
        <v>#N/A</v>
      </c>
      <c r="Y85" s="54" t="e">
        <f aca="false">IF(OR($E85&lt;=Y$29,Y$39&lt;=Y$22),0,IF(AND($E85=Y$29+1,$E85&lt;Y$30+1),Y$32,IF($E85&lt;=Y$30,0.5*Y$9*$B$83*(2*$E85-2*Y$21-1)/(Y$22-Y$21),IF($E85=Y$30+1,Y$45,IF($E85&lt;=Y$36,Y$50*Y$31^($E85-Y$22-1),IF($E85=Y$36+1,Y$48,IF($E85&lt;=Y$40,Y$51*Y$38^($E85-Y$35-1),IF($E85=Y$40+1,Y$49,0))))))))</f>
        <v>#N/A</v>
      </c>
      <c r="Z85" s="54" t="e">
        <f aca="false">IF(OR($E85&lt;=Z$29,Z$39&lt;=Z$22),0,IF(AND($E85=Z$29+1,$E85&lt;Z$30+1),Z$32,IF($E85&lt;=Z$30,0.5*Z$9*$B$83*(2*$E85-2*Z$21-1)/(Z$22-Z$21),IF($E85=Z$30+1,Z$45,IF($E85&lt;=Z$36,Z$50*Z$31^($E85-Z$22-1),IF($E85=Z$36+1,Z$48,IF($E85&lt;=Z$40,Z$51*Z$38^($E85-Z$35-1),IF($E85=Z$40+1,Z$49,0))))))))</f>
        <v>#N/A</v>
      </c>
      <c r="AA85" s="54" t="e">
        <f aca="false">SUM(F85:Z85)</f>
        <v>#VALUE!</v>
      </c>
    </row>
    <row r="86" customFormat="false" ht="11.25" hidden="false" customHeight="false" outlineLevel="0" collapsed="false">
      <c r="A86" s="5" t="s">
        <v>132</v>
      </c>
      <c r="B86" s="12"/>
      <c r="C86" s="12"/>
      <c r="D86" s="12"/>
      <c r="E86" s="5" t="n">
        <f aca="false">+E85+1</f>
        <v>32</v>
      </c>
      <c r="F86" s="54" t="e">
        <f aca="false">(IF(OR($E86&lt;=F$29,F$39&lt;=F$22),0,IF(AND($E86=F$29+1,$E86&lt;F$30+1),F$32,IF($E86&lt;=F$30,0.5*F$9*$B$83*(2*$E86-2*F$21-1)/(F$22-F$21),IF($E86=F$30+1,F$45,IF($E86&lt;=F$36,F$50*F$31^($E86-F$22-1),IF($E86=F$36+1,F$48,IF($E86&lt;=F$40,F$51*F$38^($E86-F$35-1),IF($E86=F$40+1,F$49,0)))))))))</f>
        <v>#VALUE!</v>
      </c>
      <c r="G86" s="54" t="e">
        <f aca="false">IF(OR($E86&lt;=G$29,G$39&lt;=G$22),0,IF(AND($E86=G$29+1,$E86&lt;G$30+1),G$32,IF($E86&lt;=G$30,0.5*G$9*$B$83*(2*$E86-2*G$21-1)/(G$22-G$21),IF($E86=G$30+1,G$45,IF($E86&lt;=G$36,G$50*G$31^($E86-G$22-1),IF($E86=G$36+1,G$48,IF($E86&lt;=G$40,G$51*G$38^($E86-G$35-1),IF($E86=G$40+1,G$49,0))))))))</f>
        <v>#VALUE!</v>
      </c>
      <c r="H86" s="54" t="e">
        <f aca="false">IF(OR($E86&lt;=H$29,H$39&lt;=H$22),0,IF(AND($E86=H$29+1,$E86&lt;H$30+1),H$32,IF($E86&lt;=H$30,0.5*H$9*$B$83*(2*$E86-2*H$21-1)/(H$22-H$21),IF($E86=H$30+1,H$45,IF($E86&lt;=H$36,H$50*H$31^($E86-H$22-1),IF($E86=H$36+1,H$48,IF($E86&lt;=H$40,H$51*H$38^($E86-H$35-1),IF($E86=H$40+1,H$49,0))))))))</f>
        <v>#N/A</v>
      </c>
      <c r="I86" s="54" t="e">
        <f aca="false">IF(OR($E86&lt;=I$29,I$39&lt;=I$22),0,IF(AND($E86=I$29+1,$E86&lt;I$30+1),I$32,IF($E86&lt;=I$30,0.5*I$9*$B$83*(2*$E86-2*I$21-1)/(I$22-I$21),IF($E86=I$30+1,I$45,IF($E86&lt;=I$36,I$50*I$31^($E86-I$22-1),IF($E86=I$36+1,I$48,IF($E86&lt;=I$40,I$51*I$38^($E86-I$35-1),IF($E86=I$40+1,I$49,0))))))))</f>
        <v>#N/A</v>
      </c>
      <c r="J86" s="54" t="e">
        <f aca="false">IF(OR($E86&lt;=J$29,J$39&lt;=J$22),0,IF(AND($E86=J$29+1,$E86&lt;J$30+1),J$32,IF($E86&lt;=J$30,0.5*J$9*$B$83*(2*$E86-2*J$21-1)/(J$22-J$21),IF($E86=J$30+1,J$45,IF($E86&lt;=J$36,J$50*J$31^($E86-J$22-1),IF($E86=J$36+1,J$48,IF($E86&lt;=J$40,J$51*J$38^($E86-J$35-1),IF($E86=J$40+1,J$49,0))))))))</f>
        <v>#N/A</v>
      </c>
      <c r="K86" s="54" t="e">
        <f aca="false">IF(OR($E86&lt;=K$29,K$39&lt;=K$22),0,IF(AND($E86=K$29+1,$E86&lt;K$30+1),K$32,IF($E86&lt;=K$30,0.5*K$9*$B$83*(2*$E86-2*K$21-1)/(K$22-K$21),IF($E86=K$30+1,K$45,IF($E86&lt;=K$36,K$50*K$31^($E86-K$22-1),IF($E86=K$36+1,K$48,IF($E86&lt;=K$40,K$51*K$38^($E86-K$35-1),IF($E86=K$40+1,K$49,0))))))))</f>
        <v>#N/A</v>
      </c>
      <c r="L86" s="54" t="e">
        <f aca="false">IF(OR($E86&lt;=L$29,L$39&lt;=L$22),0,IF(AND($E86=L$29+1,$E86&lt;L$30+1),L$32,IF($E86&lt;=L$30,0.5*L$9*$B$83*(2*$E86-2*L$21-1)/(L$22-L$21),IF($E86=L$30+1,L$45,IF($E86&lt;=L$36,L$50*L$31^($E86-L$22-1),IF($E86=L$36+1,L$48,IF($E86&lt;=L$40,L$51*L$38^($E86-L$35-1),IF($E86=L$40+1,L$49,0))))))))</f>
        <v>#N/A</v>
      </c>
      <c r="M86" s="54" t="e">
        <f aca="false">IF(OR($E86&lt;=M$29,M$39&lt;=M$22),0,IF(AND($E86=M$29+1,$E86&lt;M$30+1),M$32,IF($E86&lt;=M$30,0.5*M$9*$B$83*(2*$E86-2*M$21-1)/(M$22-M$21),IF($E86=M$30+1,M$45,IF($E86&lt;=M$36,M$50*M$31^($E86-M$22-1),IF($E86=M$36+1,M$48,IF($E86&lt;=M$40,M$51*M$38^($E86-M$35-1),IF($E86=M$40+1,M$49,0))))))))</f>
        <v>#N/A</v>
      </c>
      <c r="N86" s="54" t="e">
        <f aca="false">IF(OR($E86&lt;=N$29,N$39&lt;=N$22),0,IF(AND($E86=N$29+1,$E86&lt;N$30+1),N$32,IF($E86&lt;=N$30,0.5*N$9*$B$83*(2*$E86-2*N$21-1)/(N$22-N$21),IF($E86=N$30+1,N$45,IF($E86&lt;=N$36,N$50*N$31^($E86-N$22-1),IF($E86=N$36+1,N$48,IF($E86&lt;=N$40,N$51*N$38^($E86-N$35-1),IF($E86=N$40+1,N$49,0))))))))</f>
        <v>#N/A</v>
      </c>
      <c r="O86" s="54" t="e">
        <f aca="false">IF(OR($E86&lt;=O$29,O$39&lt;=O$22),0,IF(AND($E86=O$29+1,$E86&lt;O$30+1),O$32,IF($E86&lt;=O$30,0.5*O$9*$B$83*(2*$E86-2*O$21-1)/(O$22-O$21),IF($E86=O$30+1,O$45,IF($E86&lt;=O$36,O$50*O$31^($E86-O$22-1),IF($E86=O$36+1,O$48,IF($E86&lt;=O$40,O$51*O$38^($E86-O$35-1),IF($E86=O$40+1,O$49,0))))))))</f>
        <v>#N/A</v>
      </c>
      <c r="P86" s="54" t="e">
        <f aca="false">IF(OR($E86&lt;=P$29,P$39&lt;=P$22),0,IF(AND($E86=P$29+1,$E86&lt;P$30+1),P$32,IF($E86&lt;=P$30,0.5*P$9*$B$83*(2*$E86-2*P$21-1)/(P$22-P$21),IF($E86=P$30+1,P$45,IF($E86&lt;=P$36,P$50*P$31^($E86-P$22-1),IF($E86=P$36+1,P$48,IF($E86&lt;=P$40,P$51*P$38^($E86-P$35-1),IF($E86=P$40+1,P$49,0))))))))</f>
        <v>#N/A</v>
      </c>
      <c r="Q86" s="54" t="e">
        <f aca="false">IF(OR($E86&lt;=Q$29,Q$39&lt;=Q$22),0,IF(AND($E86=Q$29+1,$E86&lt;Q$30+1),Q$32,IF($E86&lt;=Q$30,0.5*Q$9*$B$83*(2*$E86-2*Q$21-1)/(Q$22-Q$21),IF($E86=Q$30+1,Q$45,IF($E86&lt;=Q$36,Q$50*Q$31^($E86-Q$22-1),IF($E86=Q$36+1,Q$48,IF($E86&lt;=Q$40,Q$51*Q$38^($E86-Q$35-1),IF($E86=Q$40+1,Q$49,0))))))))</f>
        <v>#N/A</v>
      </c>
      <c r="R86" s="54" t="e">
        <f aca="false">IF(OR($E86&lt;=R$29,R$39&lt;=R$22),0,IF(AND($E86=R$29+1,$E86&lt;R$30+1),R$32,IF($E86&lt;=R$30,0.5*R$9*$B$83*(2*$E86-2*R$21-1)/(R$22-R$21),IF($E86=R$30+1,R$45,IF($E86&lt;=R$36,R$50*R$31^($E86-R$22-1),IF($E86=R$36+1,R$48,IF($E86&lt;=R$40,R$51*R$38^($E86-R$35-1),IF($E86=R$40+1,R$49,0))))))))</f>
        <v>#N/A</v>
      </c>
      <c r="S86" s="54" t="e">
        <f aca="false">IF(OR($E86&lt;=S$29,S$39&lt;=S$22),0,IF(AND($E86=S$29+1,$E86&lt;S$30+1),S$32,IF($E86&lt;=S$30,0.5*S$9*$B$83*(2*$E86-2*S$21-1)/(S$22-S$21),IF($E86=S$30+1,S$45,IF($E86&lt;=S$36,S$50*S$31^($E86-S$22-1),IF($E86=S$36+1,S$48,IF($E86&lt;=S$40,S$51*S$38^($E86-S$35-1),IF($E86=S$40+1,S$49,0))))))))</f>
        <v>#N/A</v>
      </c>
      <c r="T86" s="54" t="e">
        <f aca="false">IF(OR($E86&lt;=T$29,T$39&lt;=T$22),0,IF(AND($E86=T$29+1,$E86&lt;T$30+1),T$32,IF($E86&lt;=T$30,0.5*T$9*$B$83*(2*$E86-2*T$21-1)/(T$22-T$21),IF($E86=T$30+1,T$45,IF($E86&lt;=T$36,T$50*T$31^($E86-T$22-1),IF($E86=T$36+1,T$48,IF($E86&lt;=T$40,T$51*T$38^($E86-T$35-1),IF($E86=T$40+1,T$49,0))))))))</f>
        <v>#N/A</v>
      </c>
      <c r="U86" s="54" t="e">
        <f aca="false">IF(OR($E86&lt;=U$29,U$39&lt;=U$22),0,IF(AND($E86=U$29+1,$E86&lt;U$30+1),U$32,IF($E86&lt;=U$30,0.5*U$9*$B$83*(2*$E86-2*U$21-1)/(U$22-U$21),IF($E86=U$30+1,U$45,IF($E86&lt;=U$36,U$50*U$31^($E86-U$22-1),IF($E86=U$36+1,U$48,IF($E86&lt;=U$40,U$51*U$38^($E86-U$35-1),IF($E86=U$40+1,U$49,0))))))))</f>
        <v>#N/A</v>
      </c>
      <c r="V86" s="54" t="e">
        <f aca="false">IF(OR($E86&lt;=V$29,V$39&lt;=V$22),0,IF(AND($E86=V$29+1,$E86&lt;V$30+1),V$32,IF($E86&lt;=V$30,0.5*V$9*$B$83*(2*$E86-2*V$21-1)/(V$22-V$21),IF($E86=V$30+1,V$45,IF($E86&lt;=V$36,V$50*V$31^($E86-V$22-1),IF($E86=V$36+1,V$48,IF($E86&lt;=V$40,V$51*V$38^($E86-V$35-1),IF($E86=V$40+1,V$49,0))))))))</f>
        <v>#N/A</v>
      </c>
      <c r="W86" s="54" t="e">
        <f aca="false">IF(OR($E86&lt;=W$29,W$39&lt;=W$22),0,IF(AND($E86=W$29+1,$E86&lt;W$30+1),W$32,IF($E86&lt;=W$30,0.5*W$9*$B$83*(2*$E86-2*W$21-1)/(W$22-W$21),IF($E86=W$30+1,W$45,IF($E86&lt;=W$36,W$50*W$31^($E86-W$22-1),IF($E86=W$36+1,W$48,IF($E86&lt;=W$40,W$51*W$38^($E86-W$35-1),IF($E86=W$40+1,W$49,0))))))))</f>
        <v>#N/A</v>
      </c>
      <c r="X86" s="54" t="e">
        <f aca="false">IF(OR($E86&lt;=X$29,X$39&lt;=X$22),0,IF(AND($E86=X$29+1,$E86&lt;X$30+1),X$32,IF($E86&lt;=X$30,0.5*X$9*$B$83*(2*$E86-2*X$21-1)/(X$22-X$21),IF($E86=X$30+1,X$45,IF($E86&lt;=X$36,X$50*X$31^($E86-X$22-1),IF($E86=X$36+1,X$48,IF($E86&lt;=X$40,X$51*X$38^($E86-X$35-1),IF($E86=X$40+1,X$49,0))))))))</f>
        <v>#N/A</v>
      </c>
      <c r="Y86" s="54" t="e">
        <f aca="false">IF(OR($E86&lt;=Y$29,Y$39&lt;=Y$22),0,IF(AND($E86=Y$29+1,$E86&lt;Y$30+1),Y$32,IF($E86&lt;=Y$30,0.5*Y$9*$B$83*(2*$E86-2*Y$21-1)/(Y$22-Y$21),IF($E86=Y$30+1,Y$45,IF($E86&lt;=Y$36,Y$50*Y$31^($E86-Y$22-1),IF($E86=Y$36+1,Y$48,IF($E86&lt;=Y$40,Y$51*Y$38^($E86-Y$35-1),IF($E86=Y$40+1,Y$49,0))))))))</f>
        <v>#N/A</v>
      </c>
      <c r="Z86" s="54" t="e">
        <f aca="false">IF(OR($E86&lt;=Z$29,Z$39&lt;=Z$22),0,IF(AND($E86=Z$29+1,$E86&lt;Z$30+1),Z$32,IF($E86&lt;=Z$30,0.5*Z$9*$B$83*(2*$E86-2*Z$21-1)/(Z$22-Z$21),IF($E86=Z$30+1,Z$45,IF($E86&lt;=Z$36,Z$50*Z$31^($E86-Z$22-1),IF($E86=Z$36+1,Z$48,IF($E86&lt;=Z$40,Z$51*Z$38^($E86-Z$35-1),IF($E86=Z$40+1,Z$49,0))))))))</f>
        <v>#N/A</v>
      </c>
      <c r="AA86" s="54" t="e">
        <f aca="false">SUM(F86:Z86)</f>
        <v>#VALUE!</v>
      </c>
    </row>
    <row r="87" customFormat="false" ht="11.25" hidden="false" customHeight="false" outlineLevel="0" collapsed="false">
      <c r="A87" s="12"/>
      <c r="B87" s="12"/>
      <c r="C87" s="12"/>
      <c r="D87" s="12"/>
      <c r="E87" s="5" t="n">
        <f aca="false">+E86+1</f>
        <v>33</v>
      </c>
      <c r="F87" s="54" t="e">
        <f aca="false">(IF(OR($E87&lt;=F$29,F$39&lt;=F$22),0,IF(AND($E87=F$29+1,$E87&lt;F$30+1),F$32,IF($E87&lt;=F$30,0.5*F$9*$B$83*(2*$E87-2*F$21-1)/(F$22-F$21),IF($E87=F$30+1,F$45,IF($E87&lt;=F$36,F$50*F$31^($E87-F$22-1),IF($E87=F$36+1,F$48,IF($E87&lt;=F$40,F$51*F$38^($E87-F$35-1),IF($E87=F$40+1,F$49,0)))))))))</f>
        <v>#VALUE!</v>
      </c>
      <c r="G87" s="54" t="e">
        <f aca="false">IF(OR($E87&lt;=G$29,G$39&lt;=G$22),0,IF(AND($E87=G$29+1,$E87&lt;G$30+1),G$32,IF($E87&lt;=G$30,0.5*G$9*$B$83*(2*$E87-2*G$21-1)/(G$22-G$21),IF($E87=G$30+1,G$45,IF($E87&lt;=G$36,G$50*G$31^($E87-G$22-1),IF($E87=G$36+1,G$48,IF($E87&lt;=G$40,G$51*G$38^($E87-G$35-1),IF($E87=G$40+1,G$49,0))))))))</f>
        <v>#VALUE!</v>
      </c>
      <c r="H87" s="54" t="e">
        <f aca="false">IF(OR($E87&lt;=H$29,H$39&lt;=H$22),0,IF(AND($E87=H$29+1,$E87&lt;H$30+1),H$32,IF($E87&lt;=H$30,0.5*H$9*$B$83*(2*$E87-2*H$21-1)/(H$22-H$21),IF($E87=H$30+1,H$45,IF($E87&lt;=H$36,H$50*H$31^($E87-H$22-1),IF($E87=H$36+1,H$48,IF($E87&lt;=H$40,H$51*H$38^($E87-H$35-1),IF($E87=H$40+1,H$49,0))))))))</f>
        <v>#N/A</v>
      </c>
      <c r="I87" s="54" t="e">
        <f aca="false">IF(OR($E87&lt;=I$29,I$39&lt;=I$22),0,IF(AND($E87=I$29+1,$E87&lt;I$30+1),I$32,IF($E87&lt;=I$30,0.5*I$9*$B$83*(2*$E87-2*I$21-1)/(I$22-I$21),IF($E87=I$30+1,I$45,IF($E87&lt;=I$36,I$50*I$31^($E87-I$22-1),IF($E87=I$36+1,I$48,IF($E87&lt;=I$40,I$51*I$38^($E87-I$35-1),IF($E87=I$40+1,I$49,0))))))))</f>
        <v>#N/A</v>
      </c>
      <c r="J87" s="54" t="e">
        <f aca="false">IF(OR($E87&lt;=J$29,J$39&lt;=J$22),0,IF(AND($E87=J$29+1,$E87&lt;J$30+1),J$32,IF($E87&lt;=J$30,0.5*J$9*$B$83*(2*$E87-2*J$21-1)/(J$22-J$21),IF($E87=J$30+1,J$45,IF($E87&lt;=J$36,J$50*J$31^($E87-J$22-1),IF($E87=J$36+1,J$48,IF($E87&lt;=J$40,J$51*J$38^($E87-J$35-1),IF($E87=J$40+1,J$49,0))))))))</f>
        <v>#N/A</v>
      </c>
      <c r="K87" s="54" t="e">
        <f aca="false">IF(OR($E87&lt;=K$29,K$39&lt;=K$22),0,IF(AND($E87=K$29+1,$E87&lt;K$30+1),K$32,IF($E87&lt;=K$30,0.5*K$9*$B$83*(2*$E87-2*K$21-1)/(K$22-K$21),IF($E87=K$30+1,K$45,IF($E87&lt;=K$36,K$50*K$31^($E87-K$22-1),IF($E87=K$36+1,K$48,IF($E87&lt;=K$40,K$51*K$38^($E87-K$35-1),IF($E87=K$40+1,K$49,0))))))))</f>
        <v>#N/A</v>
      </c>
      <c r="L87" s="54" t="e">
        <f aca="false">IF(OR($E87&lt;=L$29,L$39&lt;=L$22),0,IF(AND($E87=L$29+1,$E87&lt;L$30+1),L$32,IF($E87&lt;=L$30,0.5*L$9*$B$83*(2*$E87-2*L$21-1)/(L$22-L$21),IF($E87=L$30+1,L$45,IF($E87&lt;=L$36,L$50*L$31^($E87-L$22-1),IF($E87=L$36+1,L$48,IF($E87&lt;=L$40,L$51*L$38^($E87-L$35-1),IF($E87=L$40+1,L$49,0))))))))</f>
        <v>#N/A</v>
      </c>
      <c r="M87" s="54" t="e">
        <f aca="false">IF(OR($E87&lt;=M$29,M$39&lt;=M$22),0,IF(AND($E87=M$29+1,$E87&lt;M$30+1),M$32,IF($E87&lt;=M$30,0.5*M$9*$B$83*(2*$E87-2*M$21-1)/(M$22-M$21),IF($E87=M$30+1,M$45,IF($E87&lt;=M$36,M$50*M$31^($E87-M$22-1),IF($E87=M$36+1,M$48,IF($E87&lt;=M$40,M$51*M$38^($E87-M$35-1),IF($E87=M$40+1,M$49,0))))))))</f>
        <v>#N/A</v>
      </c>
      <c r="N87" s="54" t="e">
        <f aca="false">IF(OR($E87&lt;=N$29,N$39&lt;=N$22),0,IF(AND($E87=N$29+1,$E87&lt;N$30+1),N$32,IF($E87&lt;=N$30,0.5*N$9*$B$83*(2*$E87-2*N$21-1)/(N$22-N$21),IF($E87=N$30+1,N$45,IF($E87&lt;=N$36,N$50*N$31^($E87-N$22-1),IF($E87=N$36+1,N$48,IF($E87&lt;=N$40,N$51*N$38^($E87-N$35-1),IF($E87=N$40+1,N$49,0))))))))</f>
        <v>#N/A</v>
      </c>
      <c r="O87" s="54" t="e">
        <f aca="false">IF(OR($E87&lt;=O$29,O$39&lt;=O$22),0,IF(AND($E87=O$29+1,$E87&lt;O$30+1),O$32,IF($E87&lt;=O$30,0.5*O$9*$B$83*(2*$E87-2*O$21-1)/(O$22-O$21),IF($E87=O$30+1,O$45,IF($E87&lt;=O$36,O$50*O$31^($E87-O$22-1),IF($E87=O$36+1,O$48,IF($E87&lt;=O$40,O$51*O$38^($E87-O$35-1),IF($E87=O$40+1,O$49,0))))))))</f>
        <v>#N/A</v>
      </c>
      <c r="P87" s="54" t="e">
        <f aca="false">IF(OR($E87&lt;=P$29,P$39&lt;=P$22),0,IF(AND($E87=P$29+1,$E87&lt;P$30+1),P$32,IF($E87&lt;=P$30,0.5*P$9*$B$83*(2*$E87-2*P$21-1)/(P$22-P$21),IF($E87=P$30+1,P$45,IF($E87&lt;=P$36,P$50*P$31^($E87-P$22-1),IF($E87=P$36+1,P$48,IF($E87&lt;=P$40,P$51*P$38^($E87-P$35-1),IF($E87=P$40+1,P$49,0))))))))</f>
        <v>#N/A</v>
      </c>
      <c r="Q87" s="54" t="e">
        <f aca="false">IF(OR($E87&lt;=Q$29,Q$39&lt;=Q$22),0,IF(AND($E87=Q$29+1,$E87&lt;Q$30+1),Q$32,IF($E87&lt;=Q$30,0.5*Q$9*$B$83*(2*$E87-2*Q$21-1)/(Q$22-Q$21),IF($E87=Q$30+1,Q$45,IF($E87&lt;=Q$36,Q$50*Q$31^($E87-Q$22-1),IF($E87=Q$36+1,Q$48,IF($E87&lt;=Q$40,Q$51*Q$38^($E87-Q$35-1),IF($E87=Q$40+1,Q$49,0))))))))</f>
        <v>#N/A</v>
      </c>
      <c r="R87" s="54" t="e">
        <f aca="false">IF(OR($E87&lt;=R$29,R$39&lt;=R$22),0,IF(AND($E87=R$29+1,$E87&lt;R$30+1),R$32,IF($E87&lt;=R$30,0.5*R$9*$B$83*(2*$E87-2*R$21-1)/(R$22-R$21),IF($E87=R$30+1,R$45,IF($E87&lt;=R$36,R$50*R$31^($E87-R$22-1),IF($E87=R$36+1,R$48,IF($E87&lt;=R$40,R$51*R$38^($E87-R$35-1),IF($E87=R$40+1,R$49,0))))))))</f>
        <v>#N/A</v>
      </c>
      <c r="S87" s="54" t="e">
        <f aca="false">IF(OR($E87&lt;=S$29,S$39&lt;=S$22),0,IF(AND($E87=S$29+1,$E87&lt;S$30+1),S$32,IF($E87&lt;=S$30,0.5*S$9*$B$83*(2*$E87-2*S$21-1)/(S$22-S$21),IF($E87=S$30+1,S$45,IF($E87&lt;=S$36,S$50*S$31^($E87-S$22-1),IF($E87=S$36+1,S$48,IF($E87&lt;=S$40,S$51*S$38^($E87-S$35-1),IF($E87=S$40+1,S$49,0))))))))</f>
        <v>#N/A</v>
      </c>
      <c r="T87" s="54" t="e">
        <f aca="false">IF(OR($E87&lt;=T$29,T$39&lt;=T$22),0,IF(AND($E87=T$29+1,$E87&lt;T$30+1),T$32,IF($E87&lt;=T$30,0.5*T$9*$B$83*(2*$E87-2*T$21-1)/(T$22-T$21),IF($E87=T$30+1,T$45,IF($E87&lt;=T$36,T$50*T$31^($E87-T$22-1),IF($E87=T$36+1,T$48,IF($E87&lt;=T$40,T$51*T$38^($E87-T$35-1),IF($E87=T$40+1,T$49,0))))))))</f>
        <v>#N/A</v>
      </c>
      <c r="U87" s="54" t="e">
        <f aca="false">IF(OR($E87&lt;=U$29,U$39&lt;=U$22),0,IF(AND($E87=U$29+1,$E87&lt;U$30+1),U$32,IF($E87&lt;=U$30,0.5*U$9*$B$83*(2*$E87-2*U$21-1)/(U$22-U$21),IF($E87=U$30+1,U$45,IF($E87&lt;=U$36,U$50*U$31^($E87-U$22-1),IF($E87=U$36+1,U$48,IF($E87&lt;=U$40,U$51*U$38^($E87-U$35-1),IF($E87=U$40+1,U$49,0))))))))</f>
        <v>#N/A</v>
      </c>
      <c r="V87" s="54" t="e">
        <f aca="false">IF(OR($E87&lt;=V$29,V$39&lt;=V$22),0,IF(AND($E87=V$29+1,$E87&lt;V$30+1),V$32,IF($E87&lt;=V$30,0.5*V$9*$B$83*(2*$E87-2*V$21-1)/(V$22-V$21),IF($E87=V$30+1,V$45,IF($E87&lt;=V$36,V$50*V$31^($E87-V$22-1),IF($E87=V$36+1,V$48,IF($E87&lt;=V$40,V$51*V$38^($E87-V$35-1),IF($E87=V$40+1,V$49,0))))))))</f>
        <v>#N/A</v>
      </c>
      <c r="W87" s="54" t="e">
        <f aca="false">IF(OR($E87&lt;=W$29,W$39&lt;=W$22),0,IF(AND($E87=W$29+1,$E87&lt;W$30+1),W$32,IF($E87&lt;=W$30,0.5*W$9*$B$83*(2*$E87-2*W$21-1)/(W$22-W$21),IF($E87=W$30+1,W$45,IF($E87&lt;=W$36,W$50*W$31^($E87-W$22-1),IF($E87=W$36+1,W$48,IF($E87&lt;=W$40,W$51*W$38^($E87-W$35-1),IF($E87=W$40+1,W$49,0))))))))</f>
        <v>#N/A</v>
      </c>
      <c r="X87" s="54" t="e">
        <f aca="false">IF(OR($E87&lt;=X$29,X$39&lt;=X$22),0,IF(AND($E87=X$29+1,$E87&lt;X$30+1),X$32,IF($E87&lt;=X$30,0.5*X$9*$B$83*(2*$E87-2*X$21-1)/(X$22-X$21),IF($E87=X$30+1,X$45,IF($E87&lt;=X$36,X$50*X$31^($E87-X$22-1),IF($E87=X$36+1,X$48,IF($E87&lt;=X$40,X$51*X$38^($E87-X$35-1),IF($E87=X$40+1,X$49,0))))))))</f>
        <v>#N/A</v>
      </c>
      <c r="Y87" s="54" t="e">
        <f aca="false">IF(OR($E87&lt;=Y$29,Y$39&lt;=Y$22),0,IF(AND($E87=Y$29+1,$E87&lt;Y$30+1),Y$32,IF($E87&lt;=Y$30,0.5*Y$9*$B$83*(2*$E87-2*Y$21-1)/(Y$22-Y$21),IF($E87=Y$30+1,Y$45,IF($E87&lt;=Y$36,Y$50*Y$31^($E87-Y$22-1),IF($E87=Y$36+1,Y$48,IF($E87&lt;=Y$40,Y$51*Y$38^($E87-Y$35-1),IF($E87=Y$40+1,Y$49,0))))))))</f>
        <v>#N/A</v>
      </c>
      <c r="Z87" s="54" t="e">
        <f aca="false">IF(OR($E87&lt;=Z$29,Z$39&lt;=Z$22),0,IF(AND($E87=Z$29+1,$E87&lt;Z$30+1),Z$32,IF($E87&lt;=Z$30,0.5*Z$9*$B$83*(2*$E87-2*Z$21-1)/(Z$22-Z$21),IF($E87=Z$30+1,Z$45,IF($E87&lt;=Z$36,Z$50*Z$31^($E87-Z$22-1),IF($E87=Z$36+1,Z$48,IF($E87&lt;=Z$40,Z$51*Z$38^($E87-Z$35-1),IF($E87=Z$40+1,Z$49,0))))))))</f>
        <v>#N/A</v>
      </c>
      <c r="AA87" s="54" t="e">
        <f aca="false">SUM(F87:Z87)</f>
        <v>#VALUE!</v>
      </c>
    </row>
    <row r="88" customFormat="false" ht="11.25" hidden="false" customHeight="false" outlineLevel="0" collapsed="false">
      <c r="A88" s="12"/>
      <c r="B88" s="12"/>
      <c r="C88" s="12"/>
      <c r="D88" s="12"/>
      <c r="E88" s="5" t="n">
        <f aca="false">+E87+1</f>
        <v>34</v>
      </c>
      <c r="F88" s="54" t="e">
        <f aca="false">(IF(OR($E88&lt;=F$29,F$39&lt;=F$22),0,IF(AND($E88=F$29+1,$E88&lt;F$30+1),F$32,IF($E88&lt;=F$30,0.5*F$9*$B$83*(2*$E88-2*F$21-1)/(F$22-F$21),IF($E88=F$30+1,F$45,IF($E88&lt;=F$36,F$50*F$31^($E88-F$22-1),IF($E88=F$36+1,F$48,IF($E88&lt;=F$40,F$51*F$38^($E88-F$35-1),IF($E88=F$40+1,F$49,0)))))))))</f>
        <v>#VALUE!</v>
      </c>
      <c r="G88" s="54" t="e">
        <f aca="false">IF(OR($E88&lt;=G$29,G$39&lt;=G$22),0,IF(AND($E88=G$29+1,$E88&lt;G$30+1),G$32,IF($E88&lt;=G$30,0.5*G$9*$B$83*(2*$E88-2*G$21-1)/(G$22-G$21),IF($E88=G$30+1,G$45,IF($E88&lt;=G$36,G$50*G$31^($E88-G$22-1),IF($E88=G$36+1,G$48,IF($E88&lt;=G$40,G$51*G$38^($E88-G$35-1),IF($E88=G$40+1,G$49,0))))))))</f>
        <v>#VALUE!</v>
      </c>
      <c r="H88" s="54" t="e">
        <f aca="false">IF(OR($E88&lt;=H$29,H$39&lt;=H$22),0,IF(AND($E88=H$29+1,$E88&lt;H$30+1),H$32,IF($E88&lt;=H$30,0.5*H$9*$B$83*(2*$E88-2*H$21-1)/(H$22-H$21),IF($E88=H$30+1,H$45,IF($E88&lt;=H$36,H$50*H$31^($E88-H$22-1),IF($E88=H$36+1,H$48,IF($E88&lt;=H$40,H$51*H$38^($E88-H$35-1),IF($E88=H$40+1,H$49,0))))))))</f>
        <v>#N/A</v>
      </c>
      <c r="I88" s="54" t="e">
        <f aca="false">IF(OR($E88&lt;=I$29,I$39&lt;=I$22),0,IF(AND($E88=I$29+1,$E88&lt;I$30+1),I$32,IF($E88&lt;=I$30,0.5*I$9*$B$83*(2*$E88-2*I$21-1)/(I$22-I$21),IF($E88=I$30+1,I$45,IF($E88&lt;=I$36,I$50*I$31^($E88-I$22-1),IF($E88=I$36+1,I$48,IF($E88&lt;=I$40,I$51*I$38^($E88-I$35-1),IF($E88=I$40+1,I$49,0))))))))</f>
        <v>#N/A</v>
      </c>
      <c r="J88" s="54" t="e">
        <f aca="false">IF(OR($E88&lt;=J$29,J$39&lt;=J$22),0,IF(AND($E88=J$29+1,$E88&lt;J$30+1),J$32,IF($E88&lt;=J$30,0.5*J$9*$B$83*(2*$E88-2*J$21-1)/(J$22-J$21),IF($E88=J$30+1,J$45,IF($E88&lt;=J$36,J$50*J$31^($E88-J$22-1),IF($E88=J$36+1,J$48,IF($E88&lt;=J$40,J$51*J$38^($E88-J$35-1),IF($E88=J$40+1,J$49,0))))))))</f>
        <v>#N/A</v>
      </c>
      <c r="K88" s="54" t="e">
        <f aca="false">IF(OR($E88&lt;=K$29,K$39&lt;=K$22),0,IF(AND($E88=K$29+1,$E88&lt;K$30+1),K$32,IF($E88&lt;=K$30,0.5*K$9*$B$83*(2*$E88-2*K$21-1)/(K$22-K$21),IF($E88=K$30+1,K$45,IF($E88&lt;=K$36,K$50*K$31^($E88-K$22-1),IF($E88=K$36+1,K$48,IF($E88&lt;=K$40,K$51*K$38^($E88-K$35-1),IF($E88=K$40+1,K$49,0))))))))</f>
        <v>#N/A</v>
      </c>
      <c r="L88" s="54" t="e">
        <f aca="false">IF(OR($E88&lt;=L$29,L$39&lt;=L$22),0,IF(AND($E88=L$29+1,$E88&lt;L$30+1),L$32,IF($E88&lt;=L$30,0.5*L$9*$B$83*(2*$E88-2*L$21-1)/(L$22-L$21),IF($E88=L$30+1,L$45,IF($E88&lt;=L$36,L$50*L$31^($E88-L$22-1),IF($E88=L$36+1,L$48,IF($E88&lt;=L$40,L$51*L$38^($E88-L$35-1),IF($E88=L$40+1,L$49,0))))))))</f>
        <v>#N/A</v>
      </c>
      <c r="M88" s="54" t="e">
        <f aca="false">IF(OR($E88&lt;=M$29,M$39&lt;=M$22),0,IF(AND($E88=M$29+1,$E88&lt;M$30+1),M$32,IF($E88&lt;=M$30,0.5*M$9*$B$83*(2*$E88-2*M$21-1)/(M$22-M$21),IF($E88=M$30+1,M$45,IF($E88&lt;=M$36,M$50*M$31^($E88-M$22-1),IF($E88=M$36+1,M$48,IF($E88&lt;=M$40,M$51*M$38^($E88-M$35-1),IF($E88=M$40+1,M$49,0))))))))</f>
        <v>#N/A</v>
      </c>
      <c r="N88" s="54" t="e">
        <f aca="false">IF(OR($E88&lt;=N$29,N$39&lt;=N$22),0,IF(AND($E88=N$29+1,$E88&lt;N$30+1),N$32,IF($E88&lt;=N$30,0.5*N$9*$B$83*(2*$E88-2*N$21-1)/(N$22-N$21),IF($E88=N$30+1,N$45,IF($E88&lt;=N$36,N$50*N$31^($E88-N$22-1),IF($E88=N$36+1,N$48,IF($E88&lt;=N$40,N$51*N$38^($E88-N$35-1),IF($E88=N$40+1,N$49,0))))))))</f>
        <v>#N/A</v>
      </c>
      <c r="O88" s="54" t="e">
        <f aca="false">IF(OR($E88&lt;=O$29,O$39&lt;=O$22),0,IF(AND($E88=O$29+1,$E88&lt;O$30+1),O$32,IF($E88&lt;=O$30,0.5*O$9*$B$83*(2*$E88-2*O$21-1)/(O$22-O$21),IF($E88=O$30+1,O$45,IF($E88&lt;=O$36,O$50*O$31^($E88-O$22-1),IF($E88=O$36+1,O$48,IF($E88&lt;=O$40,O$51*O$38^($E88-O$35-1),IF($E88=O$40+1,O$49,0))))))))</f>
        <v>#N/A</v>
      </c>
      <c r="P88" s="54" t="e">
        <f aca="false">IF(OR($E88&lt;=P$29,P$39&lt;=P$22),0,IF(AND($E88=P$29+1,$E88&lt;P$30+1),P$32,IF($E88&lt;=P$30,0.5*P$9*$B$83*(2*$E88-2*P$21-1)/(P$22-P$21),IF($E88=P$30+1,P$45,IF($E88&lt;=P$36,P$50*P$31^($E88-P$22-1),IF($E88=P$36+1,P$48,IF($E88&lt;=P$40,P$51*P$38^($E88-P$35-1),IF($E88=P$40+1,P$49,0))))))))</f>
        <v>#N/A</v>
      </c>
      <c r="Q88" s="54" t="e">
        <f aca="false">IF(OR($E88&lt;=Q$29,Q$39&lt;=Q$22),0,IF(AND($E88=Q$29+1,$E88&lt;Q$30+1),Q$32,IF($E88&lt;=Q$30,0.5*Q$9*$B$83*(2*$E88-2*Q$21-1)/(Q$22-Q$21),IF($E88=Q$30+1,Q$45,IF($E88&lt;=Q$36,Q$50*Q$31^($E88-Q$22-1),IF($E88=Q$36+1,Q$48,IF($E88&lt;=Q$40,Q$51*Q$38^($E88-Q$35-1),IF($E88=Q$40+1,Q$49,0))))))))</f>
        <v>#N/A</v>
      </c>
      <c r="R88" s="54" t="e">
        <f aca="false">IF(OR($E88&lt;=R$29,R$39&lt;=R$22),0,IF(AND($E88=R$29+1,$E88&lt;R$30+1),R$32,IF($E88&lt;=R$30,0.5*R$9*$B$83*(2*$E88-2*R$21-1)/(R$22-R$21),IF($E88=R$30+1,R$45,IF($E88&lt;=R$36,R$50*R$31^($E88-R$22-1),IF($E88=R$36+1,R$48,IF($E88&lt;=R$40,R$51*R$38^($E88-R$35-1),IF($E88=R$40+1,R$49,0))))))))</f>
        <v>#N/A</v>
      </c>
      <c r="S88" s="54" t="e">
        <f aca="false">IF(OR($E88&lt;=S$29,S$39&lt;=S$22),0,IF(AND($E88=S$29+1,$E88&lt;S$30+1),S$32,IF($E88&lt;=S$30,0.5*S$9*$B$83*(2*$E88-2*S$21-1)/(S$22-S$21),IF($E88=S$30+1,S$45,IF($E88&lt;=S$36,S$50*S$31^($E88-S$22-1),IF($E88=S$36+1,S$48,IF($E88&lt;=S$40,S$51*S$38^($E88-S$35-1),IF($E88=S$40+1,S$49,0))))))))</f>
        <v>#N/A</v>
      </c>
      <c r="T88" s="54" t="e">
        <f aca="false">IF(OR($E88&lt;=T$29,T$39&lt;=T$22),0,IF(AND($E88=T$29+1,$E88&lt;T$30+1),T$32,IF($E88&lt;=T$30,0.5*T$9*$B$83*(2*$E88-2*T$21-1)/(T$22-T$21),IF($E88=T$30+1,T$45,IF($E88&lt;=T$36,T$50*T$31^($E88-T$22-1),IF($E88=T$36+1,T$48,IF($E88&lt;=T$40,T$51*T$38^($E88-T$35-1),IF($E88=T$40+1,T$49,0))))))))</f>
        <v>#N/A</v>
      </c>
      <c r="U88" s="54" t="e">
        <f aca="false">IF(OR($E88&lt;=U$29,U$39&lt;=U$22),0,IF(AND($E88=U$29+1,$E88&lt;U$30+1),U$32,IF($E88&lt;=U$30,0.5*U$9*$B$83*(2*$E88-2*U$21-1)/(U$22-U$21),IF($E88=U$30+1,U$45,IF($E88&lt;=U$36,U$50*U$31^($E88-U$22-1),IF($E88=U$36+1,U$48,IF($E88&lt;=U$40,U$51*U$38^($E88-U$35-1),IF($E88=U$40+1,U$49,0))))))))</f>
        <v>#N/A</v>
      </c>
      <c r="V88" s="54" t="e">
        <f aca="false">IF(OR($E88&lt;=V$29,V$39&lt;=V$22),0,IF(AND($E88=V$29+1,$E88&lt;V$30+1),V$32,IF($E88&lt;=V$30,0.5*V$9*$B$83*(2*$E88-2*V$21-1)/(V$22-V$21),IF($E88=V$30+1,V$45,IF($E88&lt;=V$36,V$50*V$31^($E88-V$22-1),IF($E88=V$36+1,V$48,IF($E88&lt;=V$40,V$51*V$38^($E88-V$35-1),IF($E88=V$40+1,V$49,0))))))))</f>
        <v>#N/A</v>
      </c>
      <c r="W88" s="54" t="e">
        <f aca="false">IF(OR($E88&lt;=W$29,W$39&lt;=W$22),0,IF(AND($E88=W$29+1,$E88&lt;W$30+1),W$32,IF($E88&lt;=W$30,0.5*W$9*$B$83*(2*$E88-2*W$21-1)/(W$22-W$21),IF($E88=W$30+1,W$45,IF($E88&lt;=W$36,W$50*W$31^($E88-W$22-1),IF($E88=W$36+1,W$48,IF($E88&lt;=W$40,W$51*W$38^($E88-W$35-1),IF($E88=W$40+1,W$49,0))))))))</f>
        <v>#N/A</v>
      </c>
      <c r="X88" s="54" t="e">
        <f aca="false">IF(OR($E88&lt;=X$29,X$39&lt;=X$22),0,IF(AND($E88=X$29+1,$E88&lt;X$30+1),X$32,IF($E88&lt;=X$30,0.5*X$9*$B$83*(2*$E88-2*X$21-1)/(X$22-X$21),IF($E88=X$30+1,X$45,IF($E88&lt;=X$36,X$50*X$31^($E88-X$22-1),IF($E88=X$36+1,X$48,IF($E88&lt;=X$40,X$51*X$38^($E88-X$35-1),IF($E88=X$40+1,X$49,0))))))))</f>
        <v>#N/A</v>
      </c>
      <c r="Y88" s="54" t="e">
        <f aca="false">IF(OR($E88&lt;=Y$29,Y$39&lt;=Y$22),0,IF(AND($E88=Y$29+1,$E88&lt;Y$30+1),Y$32,IF($E88&lt;=Y$30,0.5*Y$9*$B$83*(2*$E88-2*Y$21-1)/(Y$22-Y$21),IF($E88=Y$30+1,Y$45,IF($E88&lt;=Y$36,Y$50*Y$31^($E88-Y$22-1),IF($E88=Y$36+1,Y$48,IF($E88&lt;=Y$40,Y$51*Y$38^($E88-Y$35-1),IF($E88=Y$40+1,Y$49,0))))))))</f>
        <v>#N/A</v>
      </c>
      <c r="Z88" s="54" t="e">
        <f aca="false">IF(OR($E88&lt;=Z$29,Z$39&lt;=Z$22),0,IF(AND($E88=Z$29+1,$E88&lt;Z$30+1),Z$32,IF($E88&lt;=Z$30,0.5*Z$9*$B$83*(2*$E88-2*Z$21-1)/(Z$22-Z$21),IF($E88=Z$30+1,Z$45,IF($E88&lt;=Z$36,Z$50*Z$31^($E88-Z$22-1),IF($E88=Z$36+1,Z$48,IF($E88&lt;=Z$40,Z$51*Z$38^($E88-Z$35-1),IF($E88=Z$40+1,Z$49,0))))))))</f>
        <v>#N/A</v>
      </c>
      <c r="AA88" s="54" t="e">
        <f aca="false">SUM(F88:Z88)</f>
        <v>#VALUE!</v>
      </c>
    </row>
    <row r="89" customFormat="false" ht="11.25" hidden="false" customHeight="false" outlineLevel="0" collapsed="false">
      <c r="A89" s="12"/>
      <c r="B89" s="12"/>
      <c r="C89" s="12"/>
      <c r="D89" s="12"/>
      <c r="E89" s="5" t="n">
        <f aca="false">+E88+1</f>
        <v>35</v>
      </c>
      <c r="F89" s="54" t="e">
        <f aca="false">(IF(OR($E89&lt;=F$29,F$39&lt;=F$22),0,IF(AND($E89=F$29+1,$E89&lt;F$30+1),F$32,IF($E89&lt;=F$30,0.5*F$9*$B$83*(2*$E89-2*F$21-1)/(F$22-F$21),IF($E89=F$30+1,F$45,IF($E89&lt;=F$36,F$50*F$31^($E89-F$22-1),IF($E89=F$36+1,F$48,IF($E89&lt;=F$40,F$51*F$38^($E89-F$35-1),IF($E89=F$40+1,F$49,0)))))))))</f>
        <v>#VALUE!</v>
      </c>
      <c r="G89" s="54" t="e">
        <f aca="false">IF(OR($E89&lt;=G$29,G$39&lt;=G$22),0,IF(AND($E89=G$29+1,$E89&lt;G$30+1),G$32,IF($E89&lt;=G$30,0.5*G$9*$B$83*(2*$E89-2*G$21-1)/(G$22-G$21),IF($E89=G$30+1,G$45,IF($E89&lt;=G$36,G$50*G$31^($E89-G$22-1),IF($E89=G$36+1,G$48,IF($E89&lt;=G$40,G$51*G$38^($E89-G$35-1),IF($E89=G$40+1,G$49,0))))))))</f>
        <v>#VALUE!</v>
      </c>
      <c r="H89" s="54" t="e">
        <f aca="false">IF(OR($E89&lt;=H$29,H$39&lt;=H$22),0,IF(AND($E89=H$29+1,$E89&lt;H$30+1),H$32,IF($E89&lt;=H$30,0.5*H$9*$B$83*(2*$E89-2*H$21-1)/(H$22-H$21),IF($E89=H$30+1,H$45,IF($E89&lt;=H$36,H$50*H$31^($E89-H$22-1),IF($E89=H$36+1,H$48,IF($E89&lt;=H$40,H$51*H$38^($E89-H$35-1),IF($E89=H$40+1,H$49,0))))))))</f>
        <v>#N/A</v>
      </c>
      <c r="I89" s="54" t="e">
        <f aca="false">IF(OR($E89&lt;=I$29,I$39&lt;=I$22),0,IF(AND($E89=I$29+1,$E89&lt;I$30+1),I$32,IF($E89&lt;=I$30,0.5*I$9*$B$83*(2*$E89-2*I$21-1)/(I$22-I$21),IF($E89=I$30+1,I$45,IF($E89&lt;=I$36,I$50*I$31^($E89-I$22-1),IF($E89=I$36+1,I$48,IF($E89&lt;=I$40,I$51*I$38^($E89-I$35-1),IF($E89=I$40+1,I$49,0))))))))</f>
        <v>#N/A</v>
      </c>
      <c r="J89" s="54" t="e">
        <f aca="false">IF(OR($E89&lt;=J$29,J$39&lt;=J$22),0,IF(AND($E89=J$29+1,$E89&lt;J$30+1),J$32,IF($E89&lt;=J$30,0.5*J$9*$B$83*(2*$E89-2*J$21-1)/(J$22-J$21),IF($E89=J$30+1,J$45,IF($E89&lt;=J$36,J$50*J$31^($E89-J$22-1),IF($E89=J$36+1,J$48,IF($E89&lt;=J$40,J$51*J$38^($E89-J$35-1),IF($E89=J$40+1,J$49,0))))))))</f>
        <v>#N/A</v>
      </c>
      <c r="K89" s="54" t="e">
        <f aca="false">IF(OR($E89&lt;=K$29,K$39&lt;=K$22),0,IF(AND($E89=K$29+1,$E89&lt;K$30+1),K$32,IF($E89&lt;=K$30,0.5*K$9*$B$83*(2*$E89-2*K$21-1)/(K$22-K$21),IF($E89=K$30+1,K$45,IF($E89&lt;=K$36,K$50*K$31^($E89-K$22-1),IF($E89=K$36+1,K$48,IF($E89&lt;=K$40,K$51*K$38^($E89-K$35-1),IF($E89=K$40+1,K$49,0))))))))</f>
        <v>#N/A</v>
      </c>
      <c r="L89" s="54" t="e">
        <f aca="false">IF(OR($E89&lt;=L$29,L$39&lt;=L$22),0,IF(AND($E89=L$29+1,$E89&lt;L$30+1),L$32,IF($E89&lt;=L$30,0.5*L$9*$B$83*(2*$E89-2*L$21-1)/(L$22-L$21),IF($E89=L$30+1,L$45,IF($E89&lt;=L$36,L$50*L$31^($E89-L$22-1),IF($E89=L$36+1,L$48,IF($E89&lt;=L$40,L$51*L$38^($E89-L$35-1),IF($E89=L$40+1,L$49,0))))))))</f>
        <v>#N/A</v>
      </c>
      <c r="M89" s="54" t="e">
        <f aca="false">IF(OR($E89&lt;=M$29,M$39&lt;=M$22),0,IF(AND($E89=M$29+1,$E89&lt;M$30+1),M$32,IF($E89&lt;=M$30,0.5*M$9*$B$83*(2*$E89-2*M$21-1)/(M$22-M$21),IF($E89=M$30+1,M$45,IF($E89&lt;=M$36,M$50*M$31^($E89-M$22-1),IF($E89=M$36+1,M$48,IF($E89&lt;=M$40,M$51*M$38^($E89-M$35-1),IF($E89=M$40+1,M$49,0))))))))</f>
        <v>#N/A</v>
      </c>
      <c r="N89" s="54" t="e">
        <f aca="false">IF(OR($E89&lt;=N$29,N$39&lt;=N$22),0,IF(AND($E89=N$29+1,$E89&lt;N$30+1),N$32,IF($E89&lt;=N$30,0.5*N$9*$B$83*(2*$E89-2*N$21-1)/(N$22-N$21),IF($E89=N$30+1,N$45,IF($E89&lt;=N$36,N$50*N$31^($E89-N$22-1),IF($E89=N$36+1,N$48,IF($E89&lt;=N$40,N$51*N$38^($E89-N$35-1),IF($E89=N$40+1,N$49,0))))))))</f>
        <v>#N/A</v>
      </c>
      <c r="O89" s="54" t="e">
        <f aca="false">IF(OR($E89&lt;=O$29,O$39&lt;=O$22),0,IF(AND($E89=O$29+1,$E89&lt;O$30+1),O$32,IF($E89&lt;=O$30,0.5*O$9*$B$83*(2*$E89-2*O$21-1)/(O$22-O$21),IF($E89=O$30+1,O$45,IF($E89&lt;=O$36,O$50*O$31^($E89-O$22-1),IF($E89=O$36+1,O$48,IF($E89&lt;=O$40,O$51*O$38^($E89-O$35-1),IF($E89=O$40+1,O$49,0))))))))</f>
        <v>#N/A</v>
      </c>
      <c r="P89" s="54" t="e">
        <f aca="false">IF(OR($E89&lt;=P$29,P$39&lt;=P$22),0,IF(AND($E89=P$29+1,$E89&lt;P$30+1),P$32,IF($E89&lt;=P$30,0.5*P$9*$B$83*(2*$E89-2*P$21-1)/(P$22-P$21),IF($E89=P$30+1,P$45,IF($E89&lt;=P$36,P$50*P$31^($E89-P$22-1),IF($E89=P$36+1,P$48,IF($E89&lt;=P$40,P$51*P$38^($E89-P$35-1),IF($E89=P$40+1,P$49,0))))))))</f>
        <v>#N/A</v>
      </c>
      <c r="Q89" s="54" t="e">
        <f aca="false">IF(OR($E89&lt;=Q$29,Q$39&lt;=Q$22),0,IF(AND($E89=Q$29+1,$E89&lt;Q$30+1),Q$32,IF($E89&lt;=Q$30,0.5*Q$9*$B$83*(2*$E89-2*Q$21-1)/(Q$22-Q$21),IF($E89=Q$30+1,Q$45,IF($E89&lt;=Q$36,Q$50*Q$31^($E89-Q$22-1),IF($E89=Q$36+1,Q$48,IF($E89&lt;=Q$40,Q$51*Q$38^($E89-Q$35-1),IF($E89=Q$40+1,Q$49,0))))))))</f>
        <v>#N/A</v>
      </c>
      <c r="R89" s="54" t="e">
        <f aca="false">IF(OR($E89&lt;=R$29,R$39&lt;=R$22),0,IF(AND($E89=R$29+1,$E89&lt;R$30+1),R$32,IF($E89&lt;=R$30,0.5*R$9*$B$83*(2*$E89-2*R$21-1)/(R$22-R$21),IF($E89=R$30+1,R$45,IF($E89&lt;=R$36,R$50*R$31^($E89-R$22-1),IF($E89=R$36+1,R$48,IF($E89&lt;=R$40,R$51*R$38^($E89-R$35-1),IF($E89=R$40+1,R$49,0))))))))</f>
        <v>#N/A</v>
      </c>
      <c r="S89" s="54" t="e">
        <f aca="false">IF(OR($E89&lt;=S$29,S$39&lt;=S$22),0,IF(AND($E89=S$29+1,$E89&lt;S$30+1),S$32,IF($E89&lt;=S$30,0.5*S$9*$B$83*(2*$E89-2*S$21-1)/(S$22-S$21),IF($E89=S$30+1,S$45,IF($E89&lt;=S$36,S$50*S$31^($E89-S$22-1),IF($E89=S$36+1,S$48,IF($E89&lt;=S$40,S$51*S$38^($E89-S$35-1),IF($E89=S$40+1,S$49,0))))))))</f>
        <v>#N/A</v>
      </c>
      <c r="T89" s="54" t="e">
        <f aca="false">IF(OR($E89&lt;=T$29,T$39&lt;=T$22),0,IF(AND($E89=T$29+1,$E89&lt;T$30+1),T$32,IF($E89&lt;=T$30,0.5*T$9*$B$83*(2*$E89-2*T$21-1)/(T$22-T$21),IF($E89=T$30+1,T$45,IF($E89&lt;=T$36,T$50*T$31^($E89-T$22-1),IF($E89=T$36+1,T$48,IF($E89&lt;=T$40,T$51*T$38^($E89-T$35-1),IF($E89=T$40+1,T$49,0))))))))</f>
        <v>#N/A</v>
      </c>
      <c r="U89" s="54" t="e">
        <f aca="false">IF(OR($E89&lt;=U$29,U$39&lt;=U$22),0,IF(AND($E89=U$29+1,$E89&lt;U$30+1),U$32,IF($E89&lt;=U$30,0.5*U$9*$B$83*(2*$E89-2*U$21-1)/(U$22-U$21),IF($E89=U$30+1,U$45,IF($E89&lt;=U$36,U$50*U$31^($E89-U$22-1),IF($E89=U$36+1,U$48,IF($E89&lt;=U$40,U$51*U$38^($E89-U$35-1),IF($E89=U$40+1,U$49,0))))))))</f>
        <v>#N/A</v>
      </c>
      <c r="V89" s="54" t="e">
        <f aca="false">IF(OR($E89&lt;=V$29,V$39&lt;=V$22),0,IF(AND($E89=V$29+1,$E89&lt;V$30+1),V$32,IF($E89&lt;=V$30,0.5*V$9*$B$83*(2*$E89-2*V$21-1)/(V$22-V$21),IF($E89=V$30+1,V$45,IF($E89&lt;=V$36,V$50*V$31^($E89-V$22-1),IF($E89=V$36+1,V$48,IF($E89&lt;=V$40,V$51*V$38^($E89-V$35-1),IF($E89=V$40+1,V$49,0))))))))</f>
        <v>#N/A</v>
      </c>
      <c r="W89" s="54" t="e">
        <f aca="false">IF(OR($E89&lt;=W$29,W$39&lt;=W$22),0,IF(AND($E89=W$29+1,$E89&lt;W$30+1),W$32,IF($E89&lt;=W$30,0.5*W$9*$B$83*(2*$E89-2*W$21-1)/(W$22-W$21),IF($E89=W$30+1,W$45,IF($E89&lt;=W$36,W$50*W$31^($E89-W$22-1),IF($E89=W$36+1,W$48,IF($E89&lt;=W$40,W$51*W$38^($E89-W$35-1),IF($E89=W$40+1,W$49,0))))))))</f>
        <v>#N/A</v>
      </c>
      <c r="X89" s="54" t="e">
        <f aca="false">IF(OR($E89&lt;=X$29,X$39&lt;=X$22),0,IF(AND($E89=X$29+1,$E89&lt;X$30+1),X$32,IF($E89&lt;=X$30,0.5*X$9*$B$83*(2*$E89-2*X$21-1)/(X$22-X$21),IF($E89=X$30+1,X$45,IF($E89&lt;=X$36,X$50*X$31^($E89-X$22-1),IF($E89=X$36+1,X$48,IF($E89&lt;=X$40,X$51*X$38^($E89-X$35-1),IF($E89=X$40+1,X$49,0))))))))</f>
        <v>#N/A</v>
      </c>
      <c r="Y89" s="54" t="e">
        <f aca="false">IF(OR($E89&lt;=Y$29,Y$39&lt;=Y$22),0,IF(AND($E89=Y$29+1,$E89&lt;Y$30+1),Y$32,IF($E89&lt;=Y$30,0.5*Y$9*$B$83*(2*$E89-2*Y$21-1)/(Y$22-Y$21),IF($E89=Y$30+1,Y$45,IF($E89&lt;=Y$36,Y$50*Y$31^($E89-Y$22-1),IF($E89=Y$36+1,Y$48,IF($E89&lt;=Y$40,Y$51*Y$38^($E89-Y$35-1),IF($E89=Y$40+1,Y$49,0))))))))</f>
        <v>#N/A</v>
      </c>
      <c r="Z89" s="54" t="e">
        <f aca="false">IF(OR($E89&lt;=Z$29,Z$39&lt;=Z$22),0,IF(AND($E89=Z$29+1,$E89&lt;Z$30+1),Z$32,IF($E89&lt;=Z$30,0.5*Z$9*$B$83*(2*$E89-2*Z$21-1)/(Z$22-Z$21),IF($E89=Z$30+1,Z$45,IF($E89&lt;=Z$36,Z$50*Z$31^($E89-Z$22-1),IF($E89=Z$36+1,Z$48,IF($E89&lt;=Z$40,Z$51*Z$38^($E89-Z$35-1),IF($E89=Z$40+1,Z$49,0))))))))</f>
        <v>#N/A</v>
      </c>
      <c r="AA89" s="54" t="e">
        <f aca="false">SUM(F89:Z89)</f>
        <v>#VALUE!</v>
      </c>
    </row>
    <row r="90" customFormat="false" ht="11.25" hidden="false" customHeight="false" outlineLevel="0" collapsed="false">
      <c r="A90" s="12"/>
      <c r="B90" s="12"/>
      <c r="C90" s="12"/>
      <c r="D90" s="12"/>
      <c r="E90" s="5" t="n">
        <f aca="false">+E89+1</f>
        <v>36</v>
      </c>
      <c r="F90" s="54" t="e">
        <f aca="false">(IF(OR($E90&lt;=F$29,F$39&lt;=F$22),0,IF(AND($E90=F$29+1,$E90&lt;F$30+1),F$32,IF($E90&lt;=F$30,0.5*F$9*$B$83*(2*$E90-2*F$21-1)/(F$22-F$21),IF($E90=F$30+1,F$45,IF($E90&lt;=F$36,F$50*F$31^($E90-F$22-1),IF($E90=F$36+1,F$48,IF($E90&lt;=F$40,F$51*F$38^($E90-F$35-1),IF($E90=F$40+1,F$49,0)))))))))</f>
        <v>#VALUE!</v>
      </c>
      <c r="G90" s="54" t="e">
        <f aca="false">IF(OR($E90&lt;=G$29,G$39&lt;=G$22),0,IF(AND($E90=G$29+1,$E90&lt;G$30+1),G$32,IF($E90&lt;=G$30,0.5*G$9*$B$83*(2*$E90-2*G$21-1)/(G$22-G$21),IF($E90=G$30+1,G$45,IF($E90&lt;=G$36,G$50*G$31^($E90-G$22-1),IF($E90=G$36+1,G$48,IF($E90&lt;=G$40,G$51*G$38^($E90-G$35-1),IF($E90=G$40+1,G$49,0))))))))</f>
        <v>#VALUE!</v>
      </c>
      <c r="H90" s="54" t="e">
        <f aca="false">IF(OR($E90&lt;=H$29,H$39&lt;=H$22),0,IF(AND($E90=H$29+1,$E90&lt;H$30+1),H$32,IF($E90&lt;=H$30,0.5*H$9*$B$83*(2*$E90-2*H$21-1)/(H$22-H$21),IF($E90=H$30+1,H$45,IF($E90&lt;=H$36,H$50*H$31^($E90-H$22-1),IF($E90=H$36+1,H$48,IF($E90&lt;=H$40,H$51*H$38^($E90-H$35-1),IF($E90=H$40+1,H$49,0))))))))</f>
        <v>#N/A</v>
      </c>
      <c r="I90" s="54" t="e">
        <f aca="false">IF(OR($E90&lt;=I$29,I$39&lt;=I$22),0,IF(AND($E90=I$29+1,$E90&lt;I$30+1),I$32,IF($E90&lt;=I$30,0.5*I$9*$B$83*(2*$E90-2*I$21-1)/(I$22-I$21),IF($E90=I$30+1,I$45,IF($E90&lt;=I$36,I$50*I$31^($E90-I$22-1),IF($E90=I$36+1,I$48,IF($E90&lt;=I$40,I$51*I$38^($E90-I$35-1),IF($E90=I$40+1,I$49,0))))))))</f>
        <v>#N/A</v>
      </c>
      <c r="J90" s="54" t="e">
        <f aca="false">IF(OR($E90&lt;=J$29,J$39&lt;=J$22),0,IF(AND($E90=J$29+1,$E90&lt;J$30+1),J$32,IF($E90&lt;=J$30,0.5*J$9*$B$83*(2*$E90-2*J$21-1)/(J$22-J$21),IF($E90=J$30+1,J$45,IF($E90&lt;=J$36,J$50*J$31^($E90-J$22-1),IF($E90=J$36+1,J$48,IF($E90&lt;=J$40,J$51*J$38^($E90-J$35-1),IF($E90=J$40+1,J$49,0))))))))</f>
        <v>#N/A</v>
      </c>
      <c r="K90" s="54" t="e">
        <f aca="false">IF(OR($E90&lt;=K$29,K$39&lt;=K$22),0,IF(AND($E90=K$29+1,$E90&lt;K$30+1),K$32,IF($E90&lt;=K$30,0.5*K$9*$B$83*(2*$E90-2*K$21-1)/(K$22-K$21),IF($E90=K$30+1,K$45,IF($E90&lt;=K$36,K$50*K$31^($E90-K$22-1),IF($E90=K$36+1,K$48,IF($E90&lt;=K$40,K$51*K$38^($E90-K$35-1),IF($E90=K$40+1,K$49,0))))))))</f>
        <v>#N/A</v>
      </c>
      <c r="L90" s="54" t="e">
        <f aca="false">IF(OR($E90&lt;=L$29,L$39&lt;=L$22),0,IF(AND($E90=L$29+1,$E90&lt;L$30+1),L$32,IF($E90&lt;=L$30,0.5*L$9*$B$83*(2*$E90-2*L$21-1)/(L$22-L$21),IF($E90=L$30+1,L$45,IF($E90&lt;=L$36,L$50*L$31^($E90-L$22-1),IF($E90=L$36+1,L$48,IF($E90&lt;=L$40,L$51*L$38^($E90-L$35-1),IF($E90=L$40+1,L$49,0))))))))</f>
        <v>#N/A</v>
      </c>
      <c r="M90" s="54" t="e">
        <f aca="false">IF(OR($E90&lt;=M$29,M$39&lt;=M$22),0,IF(AND($E90=M$29+1,$E90&lt;M$30+1),M$32,IF($E90&lt;=M$30,0.5*M$9*$B$83*(2*$E90-2*M$21-1)/(M$22-M$21),IF($E90=M$30+1,M$45,IF($E90&lt;=M$36,M$50*M$31^($E90-M$22-1),IF($E90=M$36+1,M$48,IF($E90&lt;=M$40,M$51*M$38^($E90-M$35-1),IF($E90=M$40+1,M$49,0))))))))</f>
        <v>#N/A</v>
      </c>
      <c r="N90" s="54" t="e">
        <f aca="false">IF(OR($E90&lt;=N$29,N$39&lt;=N$22),0,IF(AND($E90=N$29+1,$E90&lt;N$30+1),N$32,IF($E90&lt;=N$30,0.5*N$9*$B$83*(2*$E90-2*N$21-1)/(N$22-N$21),IF($E90=N$30+1,N$45,IF($E90&lt;=N$36,N$50*N$31^($E90-N$22-1),IF($E90=N$36+1,N$48,IF($E90&lt;=N$40,N$51*N$38^($E90-N$35-1),IF($E90=N$40+1,N$49,0))))))))</f>
        <v>#N/A</v>
      </c>
      <c r="O90" s="54" t="e">
        <f aca="false">IF(OR($E90&lt;=O$29,O$39&lt;=O$22),0,IF(AND($E90=O$29+1,$E90&lt;O$30+1),O$32,IF($E90&lt;=O$30,0.5*O$9*$B$83*(2*$E90-2*O$21-1)/(O$22-O$21),IF($E90=O$30+1,O$45,IF($E90&lt;=O$36,O$50*O$31^($E90-O$22-1),IF($E90=O$36+1,O$48,IF($E90&lt;=O$40,O$51*O$38^($E90-O$35-1),IF($E90=O$40+1,O$49,0))))))))</f>
        <v>#N/A</v>
      </c>
      <c r="P90" s="54" t="e">
        <f aca="false">IF(OR($E90&lt;=P$29,P$39&lt;=P$22),0,IF(AND($E90=P$29+1,$E90&lt;P$30+1),P$32,IF($E90&lt;=P$30,0.5*P$9*$B$83*(2*$E90-2*P$21-1)/(P$22-P$21),IF($E90=P$30+1,P$45,IF($E90&lt;=P$36,P$50*P$31^($E90-P$22-1),IF($E90=P$36+1,P$48,IF($E90&lt;=P$40,P$51*P$38^($E90-P$35-1),IF($E90=P$40+1,P$49,0))))))))</f>
        <v>#N/A</v>
      </c>
      <c r="Q90" s="54" t="e">
        <f aca="false">IF(OR($E90&lt;=Q$29,Q$39&lt;=Q$22),0,IF(AND($E90=Q$29+1,$E90&lt;Q$30+1),Q$32,IF($E90&lt;=Q$30,0.5*Q$9*$B$83*(2*$E90-2*Q$21-1)/(Q$22-Q$21),IF($E90=Q$30+1,Q$45,IF($E90&lt;=Q$36,Q$50*Q$31^($E90-Q$22-1),IF($E90=Q$36+1,Q$48,IF($E90&lt;=Q$40,Q$51*Q$38^($E90-Q$35-1),IF($E90=Q$40+1,Q$49,0))))))))</f>
        <v>#N/A</v>
      </c>
      <c r="R90" s="54" t="e">
        <f aca="false">IF(OR($E90&lt;=R$29,R$39&lt;=R$22),0,IF(AND($E90=R$29+1,$E90&lt;R$30+1),R$32,IF($E90&lt;=R$30,0.5*R$9*$B$83*(2*$E90-2*R$21-1)/(R$22-R$21),IF($E90=R$30+1,R$45,IF($E90&lt;=R$36,R$50*R$31^($E90-R$22-1),IF($E90=R$36+1,R$48,IF($E90&lt;=R$40,R$51*R$38^($E90-R$35-1),IF($E90=R$40+1,R$49,0))))))))</f>
        <v>#N/A</v>
      </c>
      <c r="S90" s="54" t="e">
        <f aca="false">IF(OR($E90&lt;=S$29,S$39&lt;=S$22),0,IF(AND($E90=S$29+1,$E90&lt;S$30+1),S$32,IF($E90&lt;=S$30,0.5*S$9*$B$83*(2*$E90-2*S$21-1)/(S$22-S$21),IF($E90=S$30+1,S$45,IF($E90&lt;=S$36,S$50*S$31^($E90-S$22-1),IF($E90=S$36+1,S$48,IF($E90&lt;=S$40,S$51*S$38^($E90-S$35-1),IF($E90=S$40+1,S$49,0))))))))</f>
        <v>#N/A</v>
      </c>
      <c r="T90" s="54" t="e">
        <f aca="false">IF(OR($E90&lt;=T$29,T$39&lt;=T$22),0,IF(AND($E90=T$29+1,$E90&lt;T$30+1),T$32,IF($E90&lt;=T$30,0.5*T$9*$B$83*(2*$E90-2*T$21-1)/(T$22-T$21),IF($E90=T$30+1,T$45,IF($E90&lt;=T$36,T$50*T$31^($E90-T$22-1),IF($E90=T$36+1,T$48,IF($E90&lt;=T$40,T$51*T$38^($E90-T$35-1),IF($E90=T$40+1,T$49,0))))))))</f>
        <v>#N/A</v>
      </c>
      <c r="U90" s="54" t="e">
        <f aca="false">IF(OR($E90&lt;=U$29,U$39&lt;=U$22),0,IF(AND($E90=U$29+1,$E90&lt;U$30+1),U$32,IF($E90&lt;=U$30,0.5*U$9*$B$83*(2*$E90-2*U$21-1)/(U$22-U$21),IF($E90=U$30+1,U$45,IF($E90&lt;=U$36,U$50*U$31^($E90-U$22-1),IF($E90=U$36+1,U$48,IF($E90&lt;=U$40,U$51*U$38^($E90-U$35-1),IF($E90=U$40+1,U$49,0))))))))</f>
        <v>#N/A</v>
      </c>
      <c r="V90" s="54" t="e">
        <f aca="false">IF(OR($E90&lt;=V$29,V$39&lt;=V$22),0,IF(AND($E90=V$29+1,$E90&lt;V$30+1),V$32,IF($E90&lt;=V$30,0.5*V$9*$B$83*(2*$E90-2*V$21-1)/(V$22-V$21),IF($E90=V$30+1,V$45,IF($E90&lt;=V$36,V$50*V$31^($E90-V$22-1),IF($E90=V$36+1,V$48,IF($E90&lt;=V$40,V$51*V$38^($E90-V$35-1),IF($E90=V$40+1,V$49,0))))))))</f>
        <v>#N/A</v>
      </c>
      <c r="W90" s="54" t="e">
        <f aca="false">IF(OR($E90&lt;=W$29,W$39&lt;=W$22),0,IF(AND($E90=W$29+1,$E90&lt;W$30+1),W$32,IF($E90&lt;=W$30,0.5*W$9*$B$83*(2*$E90-2*W$21-1)/(W$22-W$21),IF($E90=W$30+1,W$45,IF($E90&lt;=W$36,W$50*W$31^($E90-W$22-1),IF($E90=W$36+1,W$48,IF($E90&lt;=W$40,W$51*W$38^($E90-W$35-1),IF($E90=W$40+1,W$49,0))))))))</f>
        <v>#N/A</v>
      </c>
      <c r="X90" s="54" t="e">
        <f aca="false">IF(OR($E90&lt;=X$29,X$39&lt;=X$22),0,IF(AND($E90=X$29+1,$E90&lt;X$30+1),X$32,IF($E90&lt;=X$30,0.5*X$9*$B$83*(2*$E90-2*X$21-1)/(X$22-X$21),IF($E90=X$30+1,X$45,IF($E90&lt;=X$36,X$50*X$31^($E90-X$22-1),IF($E90=X$36+1,X$48,IF($E90&lt;=X$40,X$51*X$38^($E90-X$35-1),IF($E90=X$40+1,X$49,0))))))))</f>
        <v>#N/A</v>
      </c>
      <c r="Y90" s="54" t="e">
        <f aca="false">IF(OR($E90&lt;=Y$29,Y$39&lt;=Y$22),0,IF(AND($E90=Y$29+1,$E90&lt;Y$30+1),Y$32,IF($E90&lt;=Y$30,0.5*Y$9*$B$83*(2*$E90-2*Y$21-1)/(Y$22-Y$21),IF($E90=Y$30+1,Y$45,IF($E90&lt;=Y$36,Y$50*Y$31^($E90-Y$22-1),IF($E90=Y$36+1,Y$48,IF($E90&lt;=Y$40,Y$51*Y$38^($E90-Y$35-1),IF($E90=Y$40+1,Y$49,0))))))))</f>
        <v>#N/A</v>
      </c>
      <c r="Z90" s="54" t="e">
        <f aca="false">IF(OR($E90&lt;=Z$29,Z$39&lt;=Z$22),0,IF(AND($E90=Z$29+1,$E90&lt;Z$30+1),Z$32,IF($E90&lt;=Z$30,0.5*Z$9*$B$83*(2*$E90-2*Z$21-1)/(Z$22-Z$21),IF($E90=Z$30+1,Z$45,IF($E90&lt;=Z$36,Z$50*Z$31^($E90-Z$22-1),IF($E90=Z$36+1,Z$48,IF($E90&lt;=Z$40,Z$51*Z$38^($E90-Z$35-1),IF($E90=Z$40+1,Z$49,0))))))))</f>
        <v>#N/A</v>
      </c>
      <c r="AA90" s="54" t="e">
        <f aca="false">SUM(F90:Z90)</f>
        <v>#VALUE!</v>
      </c>
    </row>
    <row r="91" customFormat="false" ht="11.25" hidden="false" customHeight="false" outlineLevel="0" collapsed="false">
      <c r="A91" s="12"/>
      <c r="B91" s="12"/>
      <c r="C91" s="12"/>
      <c r="D91" s="12"/>
      <c r="E91" s="5" t="n">
        <f aca="false">+E90+1</f>
        <v>37</v>
      </c>
      <c r="F91" s="54" t="e">
        <f aca="false">(IF(OR($E91&lt;=F$29,F$39&lt;=F$22),0,IF(AND($E91=F$29+1,$E91&lt;F$30+1),F$32,IF($E91&lt;=F$30,0.5*F$9*$B$83*(2*$E91-2*F$21-1)/(F$22-F$21),IF($E91=F$30+1,F$45,IF($E91&lt;=F$36,F$50*F$31^($E91-F$22-1),IF($E91=F$36+1,F$48,IF($E91&lt;=F$40,F$51*F$38^($E91-F$35-1),IF($E91=F$40+1,F$49,0)))))))))</f>
        <v>#VALUE!</v>
      </c>
      <c r="G91" s="54" t="e">
        <f aca="false">IF(OR($E91&lt;=G$29,G$39&lt;=G$22),0,IF(AND($E91=G$29+1,$E91&lt;G$30+1),G$32,IF($E91&lt;=G$30,0.5*G$9*$B$83*(2*$E91-2*G$21-1)/(G$22-G$21),IF($E91=G$30+1,G$45,IF($E91&lt;=G$36,G$50*G$31^($E91-G$22-1),IF($E91=G$36+1,G$48,IF($E91&lt;=G$40,G$51*G$38^($E91-G$35-1),IF($E91=G$40+1,G$49,0))))))))</f>
        <v>#VALUE!</v>
      </c>
      <c r="H91" s="54" t="e">
        <f aca="false">IF(OR($E91&lt;=H$29,H$39&lt;=H$22),0,IF(AND($E91=H$29+1,$E91&lt;H$30+1),H$32,IF($E91&lt;=H$30,0.5*H$9*$B$83*(2*$E91-2*H$21-1)/(H$22-H$21),IF($E91=H$30+1,H$45,IF($E91&lt;=H$36,H$50*H$31^($E91-H$22-1),IF($E91=H$36+1,H$48,IF($E91&lt;=H$40,H$51*H$38^($E91-H$35-1),IF($E91=H$40+1,H$49,0))))))))</f>
        <v>#N/A</v>
      </c>
      <c r="I91" s="54" t="e">
        <f aca="false">IF(OR($E91&lt;=I$29,I$39&lt;=I$22),0,IF(AND($E91=I$29+1,$E91&lt;I$30+1),I$32,IF($E91&lt;=I$30,0.5*I$9*$B$83*(2*$E91-2*I$21-1)/(I$22-I$21),IF($E91=I$30+1,I$45,IF($E91&lt;=I$36,I$50*I$31^($E91-I$22-1),IF($E91=I$36+1,I$48,IF($E91&lt;=I$40,I$51*I$38^($E91-I$35-1),IF($E91=I$40+1,I$49,0))))))))</f>
        <v>#N/A</v>
      </c>
      <c r="J91" s="54" t="e">
        <f aca="false">IF(OR($E91&lt;=J$29,J$39&lt;=J$22),0,IF(AND($E91=J$29+1,$E91&lt;J$30+1),J$32,IF($E91&lt;=J$30,0.5*J$9*$B$83*(2*$E91-2*J$21-1)/(J$22-J$21),IF($E91=J$30+1,J$45,IF($E91&lt;=J$36,J$50*J$31^($E91-J$22-1),IF($E91=J$36+1,J$48,IF($E91&lt;=J$40,J$51*J$38^($E91-J$35-1),IF($E91=J$40+1,J$49,0))))))))</f>
        <v>#N/A</v>
      </c>
      <c r="K91" s="54" t="e">
        <f aca="false">IF(OR($E91&lt;=K$29,K$39&lt;=K$22),0,IF(AND($E91=K$29+1,$E91&lt;K$30+1),K$32,IF($E91&lt;=K$30,0.5*K$9*$B$83*(2*$E91-2*K$21-1)/(K$22-K$21),IF($E91=K$30+1,K$45,IF($E91&lt;=K$36,K$50*K$31^($E91-K$22-1),IF($E91=K$36+1,K$48,IF($E91&lt;=K$40,K$51*K$38^($E91-K$35-1),IF($E91=K$40+1,K$49,0))))))))</f>
        <v>#N/A</v>
      </c>
      <c r="L91" s="54" t="e">
        <f aca="false">IF(OR($E91&lt;=L$29,L$39&lt;=L$22),0,IF(AND($E91=L$29+1,$E91&lt;L$30+1),L$32,IF($E91&lt;=L$30,0.5*L$9*$B$83*(2*$E91-2*L$21-1)/(L$22-L$21),IF($E91=L$30+1,L$45,IF($E91&lt;=L$36,L$50*L$31^($E91-L$22-1),IF($E91=L$36+1,L$48,IF($E91&lt;=L$40,L$51*L$38^($E91-L$35-1),IF($E91=L$40+1,L$49,0))))))))</f>
        <v>#N/A</v>
      </c>
      <c r="M91" s="54" t="e">
        <f aca="false">IF(OR($E91&lt;=M$29,M$39&lt;=M$22),0,IF(AND($E91=M$29+1,$E91&lt;M$30+1),M$32,IF($E91&lt;=M$30,0.5*M$9*$B$83*(2*$E91-2*M$21-1)/(M$22-M$21),IF($E91=M$30+1,M$45,IF($E91&lt;=M$36,M$50*M$31^($E91-M$22-1),IF($E91=M$36+1,M$48,IF($E91&lt;=M$40,M$51*M$38^($E91-M$35-1),IF($E91=M$40+1,M$49,0))))))))</f>
        <v>#N/A</v>
      </c>
      <c r="N91" s="54" t="e">
        <f aca="false">IF(OR($E91&lt;=N$29,N$39&lt;=N$22),0,IF(AND($E91=N$29+1,$E91&lt;N$30+1),N$32,IF($E91&lt;=N$30,0.5*N$9*$B$83*(2*$E91-2*N$21-1)/(N$22-N$21),IF($E91=N$30+1,N$45,IF($E91&lt;=N$36,N$50*N$31^($E91-N$22-1),IF($E91=N$36+1,N$48,IF($E91&lt;=N$40,N$51*N$38^($E91-N$35-1),IF($E91=N$40+1,N$49,0))))))))</f>
        <v>#N/A</v>
      </c>
      <c r="O91" s="54" t="e">
        <f aca="false">IF(OR($E91&lt;=O$29,O$39&lt;=O$22),0,IF(AND($E91=O$29+1,$E91&lt;O$30+1),O$32,IF($E91&lt;=O$30,0.5*O$9*$B$83*(2*$E91-2*O$21-1)/(O$22-O$21),IF($E91=O$30+1,O$45,IF($E91&lt;=O$36,O$50*O$31^($E91-O$22-1),IF($E91=O$36+1,O$48,IF($E91&lt;=O$40,O$51*O$38^($E91-O$35-1),IF($E91=O$40+1,O$49,0))))))))</f>
        <v>#N/A</v>
      </c>
      <c r="P91" s="54" t="e">
        <f aca="false">IF(OR($E91&lt;=P$29,P$39&lt;=P$22),0,IF(AND($E91=P$29+1,$E91&lt;P$30+1),P$32,IF($E91&lt;=P$30,0.5*P$9*$B$83*(2*$E91-2*P$21-1)/(P$22-P$21),IF($E91=P$30+1,P$45,IF($E91&lt;=P$36,P$50*P$31^($E91-P$22-1),IF($E91=P$36+1,P$48,IF($E91&lt;=P$40,P$51*P$38^($E91-P$35-1),IF($E91=P$40+1,P$49,0))))))))</f>
        <v>#N/A</v>
      </c>
      <c r="Q91" s="54" t="e">
        <f aca="false">IF(OR($E91&lt;=Q$29,Q$39&lt;=Q$22),0,IF(AND($E91=Q$29+1,$E91&lt;Q$30+1),Q$32,IF($E91&lt;=Q$30,0.5*Q$9*$B$83*(2*$E91-2*Q$21-1)/(Q$22-Q$21),IF($E91=Q$30+1,Q$45,IF($E91&lt;=Q$36,Q$50*Q$31^($E91-Q$22-1),IF($E91=Q$36+1,Q$48,IF($E91&lt;=Q$40,Q$51*Q$38^($E91-Q$35-1),IF($E91=Q$40+1,Q$49,0))))))))</f>
        <v>#N/A</v>
      </c>
      <c r="R91" s="54" t="e">
        <f aca="false">IF(OR($E91&lt;=R$29,R$39&lt;=R$22),0,IF(AND($E91=R$29+1,$E91&lt;R$30+1),R$32,IF($E91&lt;=R$30,0.5*R$9*$B$83*(2*$E91-2*R$21-1)/(R$22-R$21),IF($E91=R$30+1,R$45,IF($E91&lt;=R$36,R$50*R$31^($E91-R$22-1),IF($E91=R$36+1,R$48,IF($E91&lt;=R$40,R$51*R$38^($E91-R$35-1),IF($E91=R$40+1,R$49,0))))))))</f>
        <v>#N/A</v>
      </c>
      <c r="S91" s="54" t="e">
        <f aca="false">IF(OR($E91&lt;=S$29,S$39&lt;=S$22),0,IF(AND($E91=S$29+1,$E91&lt;S$30+1),S$32,IF($E91&lt;=S$30,0.5*S$9*$B$83*(2*$E91-2*S$21-1)/(S$22-S$21),IF($E91=S$30+1,S$45,IF($E91&lt;=S$36,S$50*S$31^($E91-S$22-1),IF($E91=S$36+1,S$48,IF($E91&lt;=S$40,S$51*S$38^($E91-S$35-1),IF($E91=S$40+1,S$49,0))))))))</f>
        <v>#N/A</v>
      </c>
      <c r="T91" s="54" t="e">
        <f aca="false">IF(OR($E91&lt;=T$29,T$39&lt;=T$22),0,IF(AND($E91=T$29+1,$E91&lt;T$30+1),T$32,IF($E91&lt;=T$30,0.5*T$9*$B$83*(2*$E91-2*T$21-1)/(T$22-T$21),IF($E91=T$30+1,T$45,IF($E91&lt;=T$36,T$50*T$31^($E91-T$22-1),IF($E91=T$36+1,T$48,IF($E91&lt;=T$40,T$51*T$38^($E91-T$35-1),IF($E91=T$40+1,T$49,0))))))))</f>
        <v>#N/A</v>
      </c>
      <c r="U91" s="54" t="e">
        <f aca="false">IF(OR($E91&lt;=U$29,U$39&lt;=U$22),0,IF(AND($E91=U$29+1,$E91&lt;U$30+1),U$32,IF($E91&lt;=U$30,0.5*U$9*$B$83*(2*$E91-2*U$21-1)/(U$22-U$21),IF($E91=U$30+1,U$45,IF($E91&lt;=U$36,U$50*U$31^($E91-U$22-1),IF($E91=U$36+1,U$48,IF($E91&lt;=U$40,U$51*U$38^($E91-U$35-1),IF($E91=U$40+1,U$49,0))))))))</f>
        <v>#N/A</v>
      </c>
      <c r="V91" s="54" t="e">
        <f aca="false">IF(OR($E91&lt;=V$29,V$39&lt;=V$22),0,IF(AND($E91=V$29+1,$E91&lt;V$30+1),V$32,IF($E91&lt;=V$30,0.5*V$9*$B$83*(2*$E91-2*V$21-1)/(V$22-V$21),IF($E91=V$30+1,V$45,IF($E91&lt;=V$36,V$50*V$31^($E91-V$22-1),IF($E91=V$36+1,V$48,IF($E91&lt;=V$40,V$51*V$38^($E91-V$35-1),IF($E91=V$40+1,V$49,0))))))))</f>
        <v>#N/A</v>
      </c>
      <c r="W91" s="54" t="e">
        <f aca="false">IF(OR($E91&lt;=W$29,W$39&lt;=W$22),0,IF(AND($E91=W$29+1,$E91&lt;W$30+1),W$32,IF($E91&lt;=W$30,0.5*W$9*$B$83*(2*$E91-2*W$21-1)/(W$22-W$21),IF($E91=W$30+1,W$45,IF($E91&lt;=W$36,W$50*W$31^($E91-W$22-1),IF($E91=W$36+1,W$48,IF($E91&lt;=W$40,W$51*W$38^($E91-W$35-1),IF($E91=W$40+1,W$49,0))))))))</f>
        <v>#N/A</v>
      </c>
      <c r="X91" s="54" t="e">
        <f aca="false">IF(OR($E91&lt;=X$29,X$39&lt;=X$22),0,IF(AND($E91=X$29+1,$E91&lt;X$30+1),X$32,IF($E91&lt;=X$30,0.5*X$9*$B$83*(2*$E91-2*X$21-1)/(X$22-X$21),IF($E91=X$30+1,X$45,IF($E91&lt;=X$36,X$50*X$31^($E91-X$22-1),IF($E91=X$36+1,X$48,IF($E91&lt;=X$40,X$51*X$38^($E91-X$35-1),IF($E91=X$40+1,X$49,0))))))))</f>
        <v>#N/A</v>
      </c>
      <c r="Y91" s="54" t="e">
        <f aca="false">IF(OR($E91&lt;=Y$29,Y$39&lt;=Y$22),0,IF(AND($E91=Y$29+1,$E91&lt;Y$30+1),Y$32,IF($E91&lt;=Y$30,0.5*Y$9*$B$83*(2*$E91-2*Y$21-1)/(Y$22-Y$21),IF($E91=Y$30+1,Y$45,IF($E91&lt;=Y$36,Y$50*Y$31^($E91-Y$22-1),IF($E91=Y$36+1,Y$48,IF($E91&lt;=Y$40,Y$51*Y$38^($E91-Y$35-1),IF($E91=Y$40+1,Y$49,0))))))))</f>
        <v>#N/A</v>
      </c>
      <c r="Z91" s="54" t="e">
        <f aca="false">IF(OR($E91&lt;=Z$29,Z$39&lt;=Z$22),0,IF(AND($E91=Z$29+1,$E91&lt;Z$30+1),Z$32,IF($E91&lt;=Z$30,0.5*Z$9*$B$83*(2*$E91-2*Z$21-1)/(Z$22-Z$21),IF($E91=Z$30+1,Z$45,IF($E91&lt;=Z$36,Z$50*Z$31^($E91-Z$22-1),IF($E91=Z$36+1,Z$48,IF($E91&lt;=Z$40,Z$51*Z$38^($E91-Z$35-1),IF($E91=Z$40+1,Z$49,0))))))))</f>
        <v>#N/A</v>
      </c>
      <c r="AA91" s="54" t="e">
        <f aca="false">SUM(F91:Z91)</f>
        <v>#VALUE!</v>
      </c>
    </row>
    <row r="92" customFormat="false" ht="11.25" hidden="false" customHeight="false" outlineLevel="0" collapsed="false">
      <c r="A92" s="12"/>
      <c r="B92" s="12"/>
      <c r="C92" s="12"/>
      <c r="D92" s="12"/>
      <c r="E92" s="5" t="n">
        <f aca="false">+E91+1</f>
        <v>38</v>
      </c>
      <c r="F92" s="54" t="e">
        <f aca="false">(IF(OR($E92&lt;=F$29,F$39&lt;=F$22),0,IF(AND($E92=F$29+1,$E92&lt;F$30+1),F$32,IF($E92&lt;=F$30,0.5*F$9*$B$83*(2*$E92-2*F$21-1)/(F$22-F$21),IF($E92=F$30+1,F$45,IF($E92&lt;=F$36,F$50*F$31^($E92-F$22-1),IF($E92=F$36+1,F$48,IF($E92&lt;=F$40,F$51*F$38^($E92-F$35-1),IF($E92=F$40+1,F$49,0)))))))))</f>
        <v>#VALUE!</v>
      </c>
      <c r="G92" s="54" t="e">
        <f aca="false">IF(OR($E92&lt;=G$29,G$39&lt;=G$22),0,IF(AND($E92=G$29+1,$E92&lt;G$30+1),G$32,IF($E92&lt;=G$30,0.5*G$9*$B$83*(2*$E92-2*G$21-1)/(G$22-G$21),IF($E92=G$30+1,G$45,IF($E92&lt;=G$36,G$50*G$31^($E92-G$22-1),IF($E92=G$36+1,G$48,IF($E92&lt;=G$40,G$51*G$38^($E92-G$35-1),IF($E92=G$40+1,G$49,0))))))))</f>
        <v>#VALUE!</v>
      </c>
      <c r="H92" s="54" t="e">
        <f aca="false">IF(OR($E92&lt;=H$29,H$39&lt;=H$22),0,IF(AND($E92=H$29+1,$E92&lt;H$30+1),H$32,IF($E92&lt;=H$30,0.5*H$9*$B$83*(2*$E92-2*H$21-1)/(H$22-H$21),IF($E92=H$30+1,H$45,IF($E92&lt;=H$36,H$50*H$31^($E92-H$22-1),IF($E92=H$36+1,H$48,IF($E92&lt;=H$40,H$51*H$38^($E92-H$35-1),IF($E92=H$40+1,H$49,0))))))))</f>
        <v>#N/A</v>
      </c>
      <c r="I92" s="54" t="e">
        <f aca="false">IF(OR($E92&lt;=I$29,I$39&lt;=I$22),0,IF(AND($E92=I$29+1,$E92&lt;I$30+1),I$32,IF($E92&lt;=I$30,0.5*I$9*$B$83*(2*$E92-2*I$21-1)/(I$22-I$21),IF($E92=I$30+1,I$45,IF($E92&lt;=I$36,I$50*I$31^($E92-I$22-1),IF($E92=I$36+1,I$48,IF($E92&lt;=I$40,I$51*I$38^($E92-I$35-1),IF($E92=I$40+1,I$49,0))))))))</f>
        <v>#N/A</v>
      </c>
      <c r="J92" s="54" t="e">
        <f aca="false">IF(OR($E92&lt;=J$29,J$39&lt;=J$22),0,IF(AND($E92=J$29+1,$E92&lt;J$30+1),J$32,IF($E92&lt;=J$30,0.5*J$9*$B$83*(2*$E92-2*J$21-1)/(J$22-J$21),IF($E92=J$30+1,J$45,IF($E92&lt;=J$36,J$50*J$31^($E92-J$22-1),IF($E92=J$36+1,J$48,IF($E92&lt;=J$40,J$51*J$38^($E92-J$35-1),IF($E92=J$40+1,J$49,0))))))))</f>
        <v>#N/A</v>
      </c>
      <c r="K92" s="54" t="e">
        <f aca="false">IF(OR($E92&lt;=K$29,K$39&lt;=K$22),0,IF(AND($E92=K$29+1,$E92&lt;K$30+1),K$32,IF($E92&lt;=K$30,0.5*K$9*$B$83*(2*$E92-2*K$21-1)/(K$22-K$21),IF($E92=K$30+1,K$45,IF($E92&lt;=K$36,K$50*K$31^($E92-K$22-1),IF($E92=K$36+1,K$48,IF($E92&lt;=K$40,K$51*K$38^($E92-K$35-1),IF($E92=K$40+1,K$49,0))))))))</f>
        <v>#N/A</v>
      </c>
      <c r="L92" s="54" t="e">
        <f aca="false">IF(OR($E92&lt;=L$29,L$39&lt;=L$22),0,IF(AND($E92=L$29+1,$E92&lt;L$30+1),L$32,IF($E92&lt;=L$30,0.5*L$9*$B$83*(2*$E92-2*L$21-1)/(L$22-L$21),IF($E92=L$30+1,L$45,IF($E92&lt;=L$36,L$50*L$31^($E92-L$22-1),IF($E92=L$36+1,L$48,IF($E92&lt;=L$40,L$51*L$38^($E92-L$35-1),IF($E92=L$40+1,L$49,0))))))))</f>
        <v>#N/A</v>
      </c>
      <c r="M92" s="54" t="e">
        <f aca="false">IF(OR($E92&lt;=M$29,M$39&lt;=M$22),0,IF(AND($E92=M$29+1,$E92&lt;M$30+1),M$32,IF($E92&lt;=M$30,0.5*M$9*$B$83*(2*$E92-2*M$21-1)/(M$22-M$21),IF($E92=M$30+1,M$45,IF($E92&lt;=M$36,M$50*M$31^($E92-M$22-1),IF($E92=M$36+1,M$48,IF($E92&lt;=M$40,M$51*M$38^($E92-M$35-1),IF($E92=M$40+1,M$49,0))))))))</f>
        <v>#N/A</v>
      </c>
      <c r="N92" s="54" t="e">
        <f aca="false">IF(OR($E92&lt;=N$29,N$39&lt;=N$22),0,IF(AND($E92=N$29+1,$E92&lt;N$30+1),N$32,IF($E92&lt;=N$30,0.5*N$9*$B$83*(2*$E92-2*N$21-1)/(N$22-N$21),IF($E92=N$30+1,N$45,IF($E92&lt;=N$36,N$50*N$31^($E92-N$22-1),IF($E92=N$36+1,N$48,IF($E92&lt;=N$40,N$51*N$38^($E92-N$35-1),IF($E92=N$40+1,N$49,0))))))))</f>
        <v>#N/A</v>
      </c>
      <c r="O92" s="54" t="e">
        <f aca="false">IF(OR($E92&lt;=O$29,O$39&lt;=O$22),0,IF(AND($E92=O$29+1,$E92&lt;O$30+1),O$32,IF($E92&lt;=O$30,0.5*O$9*$B$83*(2*$E92-2*O$21-1)/(O$22-O$21),IF($E92=O$30+1,O$45,IF($E92&lt;=O$36,O$50*O$31^($E92-O$22-1),IF($E92=O$36+1,O$48,IF($E92&lt;=O$40,O$51*O$38^($E92-O$35-1),IF($E92=O$40+1,O$49,0))))))))</f>
        <v>#N/A</v>
      </c>
      <c r="P92" s="54" t="e">
        <f aca="false">IF(OR($E92&lt;=P$29,P$39&lt;=P$22),0,IF(AND($E92=P$29+1,$E92&lt;P$30+1),P$32,IF($E92&lt;=P$30,0.5*P$9*$B$83*(2*$E92-2*P$21-1)/(P$22-P$21),IF($E92=P$30+1,P$45,IF($E92&lt;=P$36,P$50*P$31^($E92-P$22-1),IF($E92=P$36+1,P$48,IF($E92&lt;=P$40,P$51*P$38^($E92-P$35-1),IF($E92=P$40+1,P$49,0))))))))</f>
        <v>#N/A</v>
      </c>
      <c r="Q92" s="54" t="e">
        <f aca="false">IF(OR($E92&lt;=Q$29,Q$39&lt;=Q$22),0,IF(AND($E92=Q$29+1,$E92&lt;Q$30+1),Q$32,IF($E92&lt;=Q$30,0.5*Q$9*$B$83*(2*$E92-2*Q$21-1)/(Q$22-Q$21),IF($E92=Q$30+1,Q$45,IF($E92&lt;=Q$36,Q$50*Q$31^($E92-Q$22-1),IF($E92=Q$36+1,Q$48,IF($E92&lt;=Q$40,Q$51*Q$38^($E92-Q$35-1),IF($E92=Q$40+1,Q$49,0))))))))</f>
        <v>#N/A</v>
      </c>
      <c r="R92" s="54" t="e">
        <f aca="false">IF(OR($E92&lt;=R$29,R$39&lt;=R$22),0,IF(AND($E92=R$29+1,$E92&lt;R$30+1),R$32,IF($E92&lt;=R$30,0.5*R$9*$B$83*(2*$E92-2*R$21-1)/(R$22-R$21),IF($E92=R$30+1,R$45,IF($E92&lt;=R$36,R$50*R$31^($E92-R$22-1),IF($E92=R$36+1,R$48,IF($E92&lt;=R$40,R$51*R$38^($E92-R$35-1),IF($E92=R$40+1,R$49,0))))))))</f>
        <v>#N/A</v>
      </c>
      <c r="S92" s="54" t="e">
        <f aca="false">IF(OR($E92&lt;=S$29,S$39&lt;=S$22),0,IF(AND($E92=S$29+1,$E92&lt;S$30+1),S$32,IF($E92&lt;=S$30,0.5*S$9*$B$83*(2*$E92-2*S$21-1)/(S$22-S$21),IF($E92=S$30+1,S$45,IF($E92&lt;=S$36,S$50*S$31^($E92-S$22-1),IF($E92=S$36+1,S$48,IF($E92&lt;=S$40,S$51*S$38^($E92-S$35-1),IF($E92=S$40+1,S$49,0))))))))</f>
        <v>#N/A</v>
      </c>
      <c r="T92" s="54" t="e">
        <f aca="false">IF(OR($E92&lt;=T$29,T$39&lt;=T$22),0,IF(AND($E92=T$29+1,$E92&lt;T$30+1),T$32,IF($E92&lt;=T$30,0.5*T$9*$B$83*(2*$E92-2*T$21-1)/(T$22-T$21),IF($E92=T$30+1,T$45,IF($E92&lt;=T$36,T$50*T$31^($E92-T$22-1),IF($E92=T$36+1,T$48,IF($E92&lt;=T$40,T$51*T$38^($E92-T$35-1),IF($E92=T$40+1,T$49,0))))))))</f>
        <v>#N/A</v>
      </c>
      <c r="U92" s="54" t="e">
        <f aca="false">IF(OR($E92&lt;=U$29,U$39&lt;=U$22),0,IF(AND($E92=U$29+1,$E92&lt;U$30+1),U$32,IF($E92&lt;=U$30,0.5*U$9*$B$83*(2*$E92-2*U$21-1)/(U$22-U$21),IF($E92=U$30+1,U$45,IF($E92&lt;=U$36,U$50*U$31^($E92-U$22-1),IF($E92=U$36+1,U$48,IF($E92&lt;=U$40,U$51*U$38^($E92-U$35-1),IF($E92=U$40+1,U$49,0))))))))</f>
        <v>#N/A</v>
      </c>
      <c r="V92" s="54" t="e">
        <f aca="false">IF(OR($E92&lt;=V$29,V$39&lt;=V$22),0,IF(AND($E92=V$29+1,$E92&lt;V$30+1),V$32,IF($E92&lt;=V$30,0.5*V$9*$B$83*(2*$E92-2*V$21-1)/(V$22-V$21),IF($E92=V$30+1,V$45,IF($E92&lt;=V$36,V$50*V$31^($E92-V$22-1),IF($E92=V$36+1,V$48,IF($E92&lt;=V$40,V$51*V$38^($E92-V$35-1),IF($E92=V$40+1,V$49,0))))))))</f>
        <v>#N/A</v>
      </c>
      <c r="W92" s="54" t="e">
        <f aca="false">IF(OR($E92&lt;=W$29,W$39&lt;=W$22),0,IF(AND($E92=W$29+1,$E92&lt;W$30+1),W$32,IF($E92&lt;=W$30,0.5*W$9*$B$83*(2*$E92-2*W$21-1)/(W$22-W$21),IF($E92=W$30+1,W$45,IF($E92&lt;=W$36,W$50*W$31^($E92-W$22-1),IF($E92=W$36+1,W$48,IF($E92&lt;=W$40,W$51*W$38^($E92-W$35-1),IF($E92=W$40+1,W$49,0))))))))</f>
        <v>#N/A</v>
      </c>
      <c r="X92" s="54" t="e">
        <f aca="false">IF(OR($E92&lt;=X$29,X$39&lt;=X$22),0,IF(AND($E92=X$29+1,$E92&lt;X$30+1),X$32,IF($E92&lt;=X$30,0.5*X$9*$B$83*(2*$E92-2*X$21-1)/(X$22-X$21),IF($E92=X$30+1,X$45,IF($E92&lt;=X$36,X$50*X$31^($E92-X$22-1),IF($E92=X$36+1,X$48,IF($E92&lt;=X$40,X$51*X$38^($E92-X$35-1),IF($E92=X$40+1,X$49,0))))))))</f>
        <v>#N/A</v>
      </c>
      <c r="Y92" s="54" t="e">
        <f aca="false">IF(OR($E92&lt;=Y$29,Y$39&lt;=Y$22),0,IF(AND($E92=Y$29+1,$E92&lt;Y$30+1),Y$32,IF($E92&lt;=Y$30,0.5*Y$9*$B$83*(2*$E92-2*Y$21-1)/(Y$22-Y$21),IF($E92=Y$30+1,Y$45,IF($E92&lt;=Y$36,Y$50*Y$31^($E92-Y$22-1),IF($E92=Y$36+1,Y$48,IF($E92&lt;=Y$40,Y$51*Y$38^($E92-Y$35-1),IF($E92=Y$40+1,Y$49,0))))))))</f>
        <v>#N/A</v>
      </c>
      <c r="Z92" s="54" t="e">
        <f aca="false">IF(OR($E92&lt;=Z$29,Z$39&lt;=Z$22),0,IF(AND($E92=Z$29+1,$E92&lt;Z$30+1),Z$32,IF($E92&lt;=Z$30,0.5*Z$9*$B$83*(2*$E92-2*Z$21-1)/(Z$22-Z$21),IF($E92=Z$30+1,Z$45,IF($E92&lt;=Z$36,Z$50*Z$31^($E92-Z$22-1),IF($E92=Z$36+1,Z$48,IF($E92&lt;=Z$40,Z$51*Z$38^($E92-Z$35-1),IF($E92=Z$40+1,Z$49,0))))))))</f>
        <v>#N/A</v>
      </c>
      <c r="AA92" s="54" t="e">
        <f aca="false">SUM(F92:Z92)</f>
        <v>#VALUE!</v>
      </c>
    </row>
    <row r="93" customFormat="false" ht="11.25" hidden="false" customHeight="false" outlineLevel="0" collapsed="false">
      <c r="A93" s="12"/>
      <c r="B93" s="12"/>
      <c r="C93" s="12"/>
      <c r="D93" s="12"/>
      <c r="E93" s="5" t="n">
        <f aca="false">+E92+1</f>
        <v>39</v>
      </c>
      <c r="F93" s="54" t="e">
        <f aca="false">(IF(OR($E93&lt;=F$29,F$39&lt;=F$22),0,IF(AND($E93=F$29+1,$E93&lt;F$30+1),F$32,IF($E93&lt;=F$30,0.5*F$9*$B$83*(2*$E93-2*F$21-1)/(F$22-F$21),IF($E93=F$30+1,F$45,IF($E93&lt;=F$36,F$50*F$31^($E93-F$22-1),IF($E93=F$36+1,F$48,IF($E93&lt;=F$40,F$51*F$38^($E93-F$35-1),IF($E93=F$40+1,F$49,0)))))))))</f>
        <v>#VALUE!</v>
      </c>
      <c r="G93" s="54" t="e">
        <f aca="false">IF(OR($E93&lt;=G$29,G$39&lt;=G$22),0,IF(AND($E93=G$29+1,$E93&lt;G$30+1),G$32,IF($E93&lt;=G$30,0.5*G$9*$B$83*(2*$E93-2*G$21-1)/(G$22-G$21),IF($E93=G$30+1,G$45,IF($E93&lt;=G$36,G$50*G$31^($E93-G$22-1),IF($E93=G$36+1,G$48,IF($E93&lt;=G$40,G$51*G$38^($E93-G$35-1),IF($E93=G$40+1,G$49,0))))))))</f>
        <v>#VALUE!</v>
      </c>
      <c r="H93" s="54" t="e">
        <f aca="false">IF(OR($E93&lt;=H$29,H$39&lt;=H$22),0,IF(AND($E93=H$29+1,$E93&lt;H$30+1),H$32,IF($E93&lt;=H$30,0.5*H$9*$B$83*(2*$E93-2*H$21-1)/(H$22-H$21),IF($E93=H$30+1,H$45,IF($E93&lt;=H$36,H$50*H$31^($E93-H$22-1),IF($E93=H$36+1,H$48,IF($E93&lt;=H$40,H$51*H$38^($E93-H$35-1),IF($E93=H$40+1,H$49,0))))))))</f>
        <v>#N/A</v>
      </c>
      <c r="I93" s="54" t="e">
        <f aca="false">IF(OR($E93&lt;=I$29,I$39&lt;=I$22),0,IF(AND($E93=I$29+1,$E93&lt;I$30+1),I$32,IF($E93&lt;=I$30,0.5*I$9*$B$83*(2*$E93-2*I$21-1)/(I$22-I$21),IF($E93=I$30+1,I$45,IF($E93&lt;=I$36,I$50*I$31^($E93-I$22-1),IF($E93=I$36+1,I$48,IF($E93&lt;=I$40,I$51*I$38^($E93-I$35-1),IF($E93=I$40+1,I$49,0))))))))</f>
        <v>#N/A</v>
      </c>
      <c r="J93" s="54" t="e">
        <f aca="false">IF(OR($E93&lt;=J$29,J$39&lt;=J$22),0,IF(AND($E93=J$29+1,$E93&lt;J$30+1),J$32,IF($E93&lt;=J$30,0.5*J$9*$B$83*(2*$E93-2*J$21-1)/(J$22-J$21),IF($E93=J$30+1,J$45,IF($E93&lt;=J$36,J$50*J$31^($E93-J$22-1),IF($E93=J$36+1,J$48,IF($E93&lt;=J$40,J$51*J$38^($E93-J$35-1),IF($E93=J$40+1,J$49,0))))))))</f>
        <v>#N/A</v>
      </c>
      <c r="K93" s="54" t="e">
        <f aca="false">IF(OR($E93&lt;=K$29,K$39&lt;=K$22),0,IF(AND($E93=K$29+1,$E93&lt;K$30+1),K$32,IF($E93&lt;=K$30,0.5*K$9*$B$83*(2*$E93-2*K$21-1)/(K$22-K$21),IF($E93=K$30+1,K$45,IF($E93&lt;=K$36,K$50*K$31^($E93-K$22-1),IF($E93=K$36+1,K$48,IF($E93&lt;=K$40,K$51*K$38^($E93-K$35-1),IF($E93=K$40+1,K$49,0))))))))</f>
        <v>#N/A</v>
      </c>
      <c r="L93" s="54" t="e">
        <f aca="false">IF(OR($E93&lt;=L$29,L$39&lt;=L$22),0,IF(AND($E93=L$29+1,$E93&lt;L$30+1),L$32,IF($E93&lt;=L$30,0.5*L$9*$B$83*(2*$E93-2*L$21-1)/(L$22-L$21),IF($E93=L$30+1,L$45,IF($E93&lt;=L$36,L$50*L$31^($E93-L$22-1),IF($E93=L$36+1,L$48,IF($E93&lt;=L$40,L$51*L$38^($E93-L$35-1),IF($E93=L$40+1,L$49,0))))))))</f>
        <v>#N/A</v>
      </c>
      <c r="M93" s="54" t="e">
        <f aca="false">IF(OR($E93&lt;=M$29,M$39&lt;=M$22),0,IF(AND($E93=M$29+1,$E93&lt;M$30+1),M$32,IF($E93&lt;=M$30,0.5*M$9*$B$83*(2*$E93-2*M$21-1)/(M$22-M$21),IF($E93=M$30+1,M$45,IF($E93&lt;=M$36,M$50*M$31^($E93-M$22-1),IF($E93=M$36+1,M$48,IF($E93&lt;=M$40,M$51*M$38^($E93-M$35-1),IF($E93=M$40+1,M$49,0))))))))</f>
        <v>#N/A</v>
      </c>
      <c r="N93" s="54" t="e">
        <f aca="false">IF(OR($E93&lt;=N$29,N$39&lt;=N$22),0,IF(AND($E93=N$29+1,$E93&lt;N$30+1),N$32,IF($E93&lt;=N$30,0.5*N$9*$B$83*(2*$E93-2*N$21-1)/(N$22-N$21),IF($E93=N$30+1,N$45,IF($E93&lt;=N$36,N$50*N$31^($E93-N$22-1),IF($E93=N$36+1,N$48,IF($E93&lt;=N$40,N$51*N$38^($E93-N$35-1),IF($E93=N$40+1,N$49,0))))))))</f>
        <v>#N/A</v>
      </c>
      <c r="O93" s="54" t="e">
        <f aca="false">IF(OR($E93&lt;=O$29,O$39&lt;=O$22),0,IF(AND($E93=O$29+1,$E93&lt;O$30+1),O$32,IF($E93&lt;=O$30,0.5*O$9*$B$83*(2*$E93-2*O$21-1)/(O$22-O$21),IF($E93=O$30+1,O$45,IF($E93&lt;=O$36,O$50*O$31^($E93-O$22-1),IF($E93=O$36+1,O$48,IF($E93&lt;=O$40,O$51*O$38^($E93-O$35-1),IF($E93=O$40+1,O$49,0))))))))</f>
        <v>#N/A</v>
      </c>
      <c r="P93" s="54" t="e">
        <f aca="false">IF(OR($E93&lt;=P$29,P$39&lt;=P$22),0,IF(AND($E93=P$29+1,$E93&lt;P$30+1),P$32,IF($E93&lt;=P$30,0.5*P$9*$B$83*(2*$E93-2*P$21-1)/(P$22-P$21),IF($E93=P$30+1,P$45,IF($E93&lt;=P$36,P$50*P$31^($E93-P$22-1),IF($E93=P$36+1,P$48,IF($E93&lt;=P$40,P$51*P$38^($E93-P$35-1),IF($E93=P$40+1,P$49,0))))))))</f>
        <v>#N/A</v>
      </c>
      <c r="Q93" s="54" t="e">
        <f aca="false">IF(OR($E93&lt;=Q$29,Q$39&lt;=Q$22),0,IF(AND($E93=Q$29+1,$E93&lt;Q$30+1),Q$32,IF($E93&lt;=Q$30,0.5*Q$9*$B$83*(2*$E93-2*Q$21-1)/(Q$22-Q$21),IF($E93=Q$30+1,Q$45,IF($E93&lt;=Q$36,Q$50*Q$31^($E93-Q$22-1),IF($E93=Q$36+1,Q$48,IF($E93&lt;=Q$40,Q$51*Q$38^($E93-Q$35-1),IF($E93=Q$40+1,Q$49,0))))))))</f>
        <v>#N/A</v>
      </c>
      <c r="R93" s="54" t="e">
        <f aca="false">IF(OR($E93&lt;=R$29,R$39&lt;=R$22),0,IF(AND($E93=R$29+1,$E93&lt;R$30+1),R$32,IF($E93&lt;=R$30,0.5*R$9*$B$83*(2*$E93-2*R$21-1)/(R$22-R$21),IF($E93=R$30+1,R$45,IF($E93&lt;=R$36,R$50*R$31^($E93-R$22-1),IF($E93=R$36+1,R$48,IF($E93&lt;=R$40,R$51*R$38^($E93-R$35-1),IF($E93=R$40+1,R$49,0))))))))</f>
        <v>#N/A</v>
      </c>
      <c r="S93" s="54" t="e">
        <f aca="false">IF(OR($E93&lt;=S$29,S$39&lt;=S$22),0,IF(AND($E93=S$29+1,$E93&lt;S$30+1),S$32,IF($E93&lt;=S$30,0.5*S$9*$B$83*(2*$E93-2*S$21-1)/(S$22-S$21),IF($E93=S$30+1,S$45,IF($E93&lt;=S$36,S$50*S$31^($E93-S$22-1),IF($E93=S$36+1,S$48,IF($E93&lt;=S$40,S$51*S$38^($E93-S$35-1),IF($E93=S$40+1,S$49,0))))))))</f>
        <v>#N/A</v>
      </c>
      <c r="T93" s="54" t="e">
        <f aca="false">IF(OR($E93&lt;=T$29,T$39&lt;=T$22),0,IF(AND($E93=T$29+1,$E93&lt;T$30+1),T$32,IF($E93&lt;=T$30,0.5*T$9*$B$83*(2*$E93-2*T$21-1)/(T$22-T$21),IF($E93=T$30+1,T$45,IF($E93&lt;=T$36,T$50*T$31^($E93-T$22-1),IF($E93=T$36+1,T$48,IF($E93&lt;=T$40,T$51*T$38^($E93-T$35-1),IF($E93=T$40+1,T$49,0))))))))</f>
        <v>#N/A</v>
      </c>
      <c r="U93" s="54" t="e">
        <f aca="false">IF(OR($E93&lt;=U$29,U$39&lt;=U$22),0,IF(AND($E93=U$29+1,$E93&lt;U$30+1),U$32,IF($E93&lt;=U$30,0.5*U$9*$B$83*(2*$E93-2*U$21-1)/(U$22-U$21),IF($E93=U$30+1,U$45,IF($E93&lt;=U$36,U$50*U$31^($E93-U$22-1),IF($E93=U$36+1,U$48,IF($E93&lt;=U$40,U$51*U$38^($E93-U$35-1),IF($E93=U$40+1,U$49,0))))))))</f>
        <v>#N/A</v>
      </c>
      <c r="V93" s="54" t="e">
        <f aca="false">IF(OR($E93&lt;=V$29,V$39&lt;=V$22),0,IF(AND($E93=V$29+1,$E93&lt;V$30+1),V$32,IF($E93&lt;=V$30,0.5*V$9*$B$83*(2*$E93-2*V$21-1)/(V$22-V$21),IF($E93=V$30+1,V$45,IF($E93&lt;=V$36,V$50*V$31^($E93-V$22-1),IF($E93=V$36+1,V$48,IF($E93&lt;=V$40,V$51*V$38^($E93-V$35-1),IF($E93=V$40+1,V$49,0))))))))</f>
        <v>#N/A</v>
      </c>
      <c r="W93" s="54" t="e">
        <f aca="false">IF(OR($E93&lt;=W$29,W$39&lt;=W$22),0,IF(AND($E93=W$29+1,$E93&lt;W$30+1),W$32,IF($E93&lt;=W$30,0.5*W$9*$B$83*(2*$E93-2*W$21-1)/(W$22-W$21),IF($E93=W$30+1,W$45,IF($E93&lt;=W$36,W$50*W$31^($E93-W$22-1),IF($E93=W$36+1,W$48,IF($E93&lt;=W$40,W$51*W$38^($E93-W$35-1),IF($E93=W$40+1,W$49,0))))))))</f>
        <v>#N/A</v>
      </c>
      <c r="X93" s="54" t="e">
        <f aca="false">IF(OR($E93&lt;=X$29,X$39&lt;=X$22),0,IF(AND($E93=X$29+1,$E93&lt;X$30+1),X$32,IF($E93&lt;=X$30,0.5*X$9*$B$83*(2*$E93-2*X$21-1)/(X$22-X$21),IF($E93=X$30+1,X$45,IF($E93&lt;=X$36,X$50*X$31^($E93-X$22-1),IF($E93=X$36+1,X$48,IF($E93&lt;=X$40,X$51*X$38^($E93-X$35-1),IF($E93=X$40+1,X$49,0))))))))</f>
        <v>#N/A</v>
      </c>
      <c r="Y93" s="54" t="e">
        <f aca="false">IF(OR($E93&lt;=Y$29,Y$39&lt;=Y$22),0,IF(AND($E93=Y$29+1,$E93&lt;Y$30+1),Y$32,IF($E93&lt;=Y$30,0.5*Y$9*$B$83*(2*$E93-2*Y$21-1)/(Y$22-Y$21),IF($E93=Y$30+1,Y$45,IF($E93&lt;=Y$36,Y$50*Y$31^($E93-Y$22-1),IF($E93=Y$36+1,Y$48,IF($E93&lt;=Y$40,Y$51*Y$38^($E93-Y$35-1),IF($E93=Y$40+1,Y$49,0))))))))</f>
        <v>#N/A</v>
      </c>
      <c r="Z93" s="54" t="e">
        <f aca="false">IF(OR($E93&lt;=Z$29,Z$39&lt;=Z$22),0,IF(AND($E93=Z$29+1,$E93&lt;Z$30+1),Z$32,IF($E93&lt;=Z$30,0.5*Z$9*$B$83*(2*$E93-2*Z$21-1)/(Z$22-Z$21),IF($E93=Z$30+1,Z$45,IF($E93&lt;=Z$36,Z$50*Z$31^($E93-Z$22-1),IF($E93=Z$36+1,Z$48,IF($E93&lt;=Z$40,Z$51*Z$38^($E93-Z$35-1),IF($E93=Z$40+1,Z$49,0))))))))</f>
        <v>#N/A</v>
      </c>
      <c r="AA93" s="54" t="e">
        <f aca="false">SUM(F93:Z93)</f>
        <v>#VALUE!</v>
      </c>
    </row>
    <row r="94" customFormat="false" ht="11.25" hidden="false" customHeight="false" outlineLevel="0" collapsed="false">
      <c r="A94" s="12"/>
      <c r="B94" s="12"/>
      <c r="C94" s="12"/>
      <c r="D94" s="12"/>
      <c r="E94" s="5" t="n">
        <f aca="false">+E93+1</f>
        <v>40</v>
      </c>
      <c r="F94" s="54" t="e">
        <f aca="false">(IF(OR($E94&lt;=F$29,F$39&lt;=F$22),0,IF(AND($E94=F$29+1,$E94&lt;F$30+1),F$32,IF($E94&lt;=F$30,0.5*F$9*$B$83*(2*$E94-2*F$21-1)/(F$22-F$21),IF($E94=F$30+1,F$45,IF($E94&lt;=F$36,F$50*F$31^($E94-F$22-1),IF($E94=F$36+1,F$48,IF($E94&lt;=F$40,F$51*F$38^($E94-F$35-1),IF($E94=F$40+1,F$49,0)))))))))</f>
        <v>#VALUE!</v>
      </c>
      <c r="G94" s="54" t="e">
        <f aca="false">IF(OR($E94&lt;=G$29,G$39&lt;=G$22),0,IF(AND($E94=G$29+1,$E94&lt;G$30+1),G$32,IF($E94&lt;=G$30,0.5*G$9*$B$83*(2*$E94-2*G$21-1)/(G$22-G$21),IF($E94=G$30+1,G$45,IF($E94&lt;=G$36,G$50*G$31^($E94-G$22-1),IF($E94=G$36+1,G$48,IF($E94&lt;=G$40,G$51*G$38^($E94-G$35-1),IF($E94=G$40+1,G$49,0))))))))</f>
        <v>#VALUE!</v>
      </c>
      <c r="H94" s="54" t="e">
        <f aca="false">IF(OR($E94&lt;=H$29,H$39&lt;=H$22),0,IF(AND($E94=H$29+1,$E94&lt;H$30+1),H$32,IF($E94&lt;=H$30,0.5*H$9*$B$83*(2*$E94-2*H$21-1)/(H$22-H$21),IF($E94=H$30+1,H$45,IF($E94&lt;=H$36,H$50*H$31^($E94-H$22-1),IF($E94=H$36+1,H$48,IF($E94&lt;=H$40,H$51*H$38^($E94-H$35-1),IF($E94=H$40+1,H$49,0))))))))</f>
        <v>#N/A</v>
      </c>
      <c r="I94" s="54" t="e">
        <f aca="false">IF(OR($E94&lt;=I$29,I$39&lt;=I$22),0,IF(AND($E94=I$29+1,$E94&lt;I$30+1),I$32,IF($E94&lt;=I$30,0.5*I$9*$B$83*(2*$E94-2*I$21-1)/(I$22-I$21),IF($E94=I$30+1,I$45,IF($E94&lt;=I$36,I$50*I$31^($E94-I$22-1),IF($E94=I$36+1,I$48,IF($E94&lt;=I$40,I$51*I$38^($E94-I$35-1),IF($E94=I$40+1,I$49,0))))))))</f>
        <v>#N/A</v>
      </c>
      <c r="J94" s="54" t="e">
        <f aca="false">IF(OR($E94&lt;=J$29,J$39&lt;=J$22),0,IF(AND($E94=J$29+1,$E94&lt;J$30+1),J$32,IF($E94&lt;=J$30,0.5*J$9*$B$83*(2*$E94-2*J$21-1)/(J$22-J$21),IF($E94=J$30+1,J$45,IF($E94&lt;=J$36,J$50*J$31^($E94-J$22-1),IF($E94=J$36+1,J$48,IF($E94&lt;=J$40,J$51*J$38^($E94-J$35-1),IF($E94=J$40+1,J$49,0))))))))</f>
        <v>#N/A</v>
      </c>
      <c r="K94" s="54" t="e">
        <f aca="false">IF(OR($E94&lt;=K$29,K$39&lt;=K$22),0,IF(AND($E94=K$29+1,$E94&lt;K$30+1),K$32,IF($E94&lt;=K$30,0.5*K$9*$B$83*(2*$E94-2*K$21-1)/(K$22-K$21),IF($E94=K$30+1,K$45,IF($E94&lt;=K$36,K$50*K$31^($E94-K$22-1),IF($E94=K$36+1,K$48,IF($E94&lt;=K$40,K$51*K$38^($E94-K$35-1),IF($E94=K$40+1,K$49,0))))))))</f>
        <v>#N/A</v>
      </c>
      <c r="L94" s="54" t="e">
        <f aca="false">IF(OR($E94&lt;=L$29,L$39&lt;=L$22),0,IF(AND($E94=L$29+1,$E94&lt;L$30+1),L$32,IF($E94&lt;=L$30,0.5*L$9*$B$83*(2*$E94-2*L$21-1)/(L$22-L$21),IF($E94=L$30+1,L$45,IF($E94&lt;=L$36,L$50*L$31^($E94-L$22-1),IF($E94=L$36+1,L$48,IF($E94&lt;=L$40,L$51*L$38^($E94-L$35-1),IF($E94=L$40+1,L$49,0))))))))</f>
        <v>#N/A</v>
      </c>
      <c r="M94" s="54" t="e">
        <f aca="false">IF(OR($E94&lt;=M$29,M$39&lt;=M$22),0,IF(AND($E94=M$29+1,$E94&lt;M$30+1),M$32,IF($E94&lt;=M$30,0.5*M$9*$B$83*(2*$E94-2*M$21-1)/(M$22-M$21),IF($E94=M$30+1,M$45,IF($E94&lt;=M$36,M$50*M$31^($E94-M$22-1),IF($E94=M$36+1,M$48,IF($E94&lt;=M$40,M$51*M$38^($E94-M$35-1),IF($E94=M$40+1,M$49,0))))))))</f>
        <v>#N/A</v>
      </c>
      <c r="N94" s="54" t="e">
        <f aca="false">IF(OR($E94&lt;=N$29,N$39&lt;=N$22),0,IF(AND($E94=N$29+1,$E94&lt;N$30+1),N$32,IF($E94&lt;=N$30,0.5*N$9*$B$83*(2*$E94-2*N$21-1)/(N$22-N$21),IF($E94=N$30+1,N$45,IF($E94&lt;=N$36,N$50*N$31^($E94-N$22-1),IF($E94=N$36+1,N$48,IF($E94&lt;=N$40,N$51*N$38^($E94-N$35-1),IF($E94=N$40+1,N$49,0))))))))</f>
        <v>#N/A</v>
      </c>
      <c r="O94" s="54" t="e">
        <f aca="false">IF(OR($E94&lt;=O$29,O$39&lt;=O$22),0,IF(AND($E94=O$29+1,$E94&lt;O$30+1),O$32,IF($E94&lt;=O$30,0.5*O$9*$B$83*(2*$E94-2*O$21-1)/(O$22-O$21),IF($E94=O$30+1,O$45,IF($E94&lt;=O$36,O$50*O$31^($E94-O$22-1),IF($E94=O$36+1,O$48,IF($E94&lt;=O$40,O$51*O$38^($E94-O$35-1),IF($E94=O$40+1,O$49,0))))))))</f>
        <v>#N/A</v>
      </c>
      <c r="P94" s="54" t="e">
        <f aca="false">IF(OR($E94&lt;=P$29,P$39&lt;=P$22),0,IF(AND($E94=P$29+1,$E94&lt;P$30+1),P$32,IF($E94&lt;=P$30,0.5*P$9*$B$83*(2*$E94-2*P$21-1)/(P$22-P$21),IF($E94=P$30+1,P$45,IF($E94&lt;=P$36,P$50*P$31^($E94-P$22-1),IF($E94=P$36+1,P$48,IF($E94&lt;=P$40,P$51*P$38^($E94-P$35-1),IF($E94=P$40+1,P$49,0))))))))</f>
        <v>#N/A</v>
      </c>
      <c r="Q94" s="54" t="e">
        <f aca="false">IF(OR($E94&lt;=Q$29,Q$39&lt;=Q$22),0,IF(AND($E94=Q$29+1,$E94&lt;Q$30+1),Q$32,IF($E94&lt;=Q$30,0.5*Q$9*$B$83*(2*$E94-2*Q$21-1)/(Q$22-Q$21),IF($E94=Q$30+1,Q$45,IF($E94&lt;=Q$36,Q$50*Q$31^($E94-Q$22-1),IF($E94=Q$36+1,Q$48,IF($E94&lt;=Q$40,Q$51*Q$38^($E94-Q$35-1),IF($E94=Q$40+1,Q$49,0))))))))</f>
        <v>#N/A</v>
      </c>
      <c r="R94" s="54" t="e">
        <f aca="false">IF(OR($E94&lt;=R$29,R$39&lt;=R$22),0,IF(AND($E94=R$29+1,$E94&lt;R$30+1),R$32,IF($E94&lt;=R$30,0.5*R$9*$B$83*(2*$E94-2*R$21-1)/(R$22-R$21),IF($E94=R$30+1,R$45,IF($E94&lt;=R$36,R$50*R$31^($E94-R$22-1),IF($E94=R$36+1,R$48,IF($E94&lt;=R$40,R$51*R$38^($E94-R$35-1),IF($E94=R$40+1,R$49,0))))))))</f>
        <v>#N/A</v>
      </c>
      <c r="S94" s="54" t="e">
        <f aca="false">IF(OR($E94&lt;=S$29,S$39&lt;=S$22),0,IF(AND($E94=S$29+1,$E94&lt;S$30+1),S$32,IF($E94&lt;=S$30,0.5*S$9*$B$83*(2*$E94-2*S$21-1)/(S$22-S$21),IF($E94=S$30+1,S$45,IF($E94&lt;=S$36,S$50*S$31^($E94-S$22-1),IF($E94=S$36+1,S$48,IF($E94&lt;=S$40,S$51*S$38^($E94-S$35-1),IF($E94=S$40+1,S$49,0))))))))</f>
        <v>#N/A</v>
      </c>
      <c r="T94" s="54" t="e">
        <f aca="false">IF(OR($E94&lt;=T$29,T$39&lt;=T$22),0,IF(AND($E94=T$29+1,$E94&lt;T$30+1),T$32,IF($E94&lt;=T$30,0.5*T$9*$B$83*(2*$E94-2*T$21-1)/(T$22-T$21),IF($E94=T$30+1,T$45,IF($E94&lt;=T$36,T$50*T$31^($E94-T$22-1),IF($E94=T$36+1,T$48,IF($E94&lt;=T$40,T$51*T$38^($E94-T$35-1),IF($E94=T$40+1,T$49,0))))))))</f>
        <v>#N/A</v>
      </c>
      <c r="U94" s="54" t="e">
        <f aca="false">IF(OR($E94&lt;=U$29,U$39&lt;=U$22),0,IF(AND($E94=U$29+1,$E94&lt;U$30+1),U$32,IF($E94&lt;=U$30,0.5*U$9*$B$83*(2*$E94-2*U$21-1)/(U$22-U$21),IF($E94=U$30+1,U$45,IF($E94&lt;=U$36,U$50*U$31^($E94-U$22-1),IF($E94=U$36+1,U$48,IF($E94&lt;=U$40,U$51*U$38^($E94-U$35-1),IF($E94=U$40+1,U$49,0))))))))</f>
        <v>#N/A</v>
      </c>
      <c r="V94" s="54" t="e">
        <f aca="false">IF(OR($E94&lt;=V$29,V$39&lt;=V$22),0,IF(AND($E94=V$29+1,$E94&lt;V$30+1),V$32,IF($E94&lt;=V$30,0.5*V$9*$B$83*(2*$E94-2*V$21-1)/(V$22-V$21),IF($E94=V$30+1,V$45,IF($E94&lt;=V$36,V$50*V$31^($E94-V$22-1),IF($E94=V$36+1,V$48,IF($E94&lt;=V$40,V$51*V$38^($E94-V$35-1),IF($E94=V$40+1,V$49,0))))))))</f>
        <v>#N/A</v>
      </c>
      <c r="W94" s="54" t="e">
        <f aca="false">IF(OR($E94&lt;=W$29,W$39&lt;=W$22),0,IF(AND($E94=W$29+1,$E94&lt;W$30+1),W$32,IF($E94&lt;=W$30,0.5*W$9*$B$83*(2*$E94-2*W$21-1)/(W$22-W$21),IF($E94=W$30+1,W$45,IF($E94&lt;=W$36,W$50*W$31^($E94-W$22-1),IF($E94=W$36+1,W$48,IF($E94&lt;=W$40,W$51*W$38^($E94-W$35-1),IF($E94=W$40+1,W$49,0))))))))</f>
        <v>#N/A</v>
      </c>
      <c r="X94" s="54" t="e">
        <f aca="false">IF(OR($E94&lt;=X$29,X$39&lt;=X$22),0,IF(AND($E94=X$29+1,$E94&lt;X$30+1),X$32,IF($E94&lt;=X$30,0.5*X$9*$B$83*(2*$E94-2*X$21-1)/(X$22-X$21),IF($E94=X$30+1,X$45,IF($E94&lt;=X$36,X$50*X$31^($E94-X$22-1),IF($E94=X$36+1,X$48,IF($E94&lt;=X$40,X$51*X$38^($E94-X$35-1),IF($E94=X$40+1,X$49,0))))))))</f>
        <v>#N/A</v>
      </c>
      <c r="Y94" s="54" t="e">
        <f aca="false">IF(OR($E94&lt;=Y$29,Y$39&lt;=Y$22),0,IF(AND($E94=Y$29+1,$E94&lt;Y$30+1),Y$32,IF($E94&lt;=Y$30,0.5*Y$9*$B$83*(2*$E94-2*Y$21-1)/(Y$22-Y$21),IF($E94=Y$30+1,Y$45,IF($E94&lt;=Y$36,Y$50*Y$31^($E94-Y$22-1),IF($E94=Y$36+1,Y$48,IF($E94&lt;=Y$40,Y$51*Y$38^($E94-Y$35-1),IF($E94=Y$40+1,Y$49,0))))))))</f>
        <v>#N/A</v>
      </c>
      <c r="Z94" s="54" t="e">
        <f aca="false">IF(OR($E94&lt;=Z$29,Z$39&lt;=Z$22),0,IF(AND($E94=Z$29+1,$E94&lt;Z$30+1),Z$32,IF($E94&lt;=Z$30,0.5*Z$9*$B$83*(2*$E94-2*Z$21-1)/(Z$22-Z$21),IF($E94=Z$30+1,Z$45,IF($E94&lt;=Z$36,Z$50*Z$31^($E94-Z$22-1),IF($E94=Z$36+1,Z$48,IF($E94&lt;=Z$40,Z$51*Z$38^($E94-Z$35-1),IF($E94=Z$40+1,Z$49,0))))))))</f>
        <v>#N/A</v>
      </c>
      <c r="AA94" s="54" t="e">
        <f aca="false">SUM(F94:Z94)</f>
        <v>#VALUE!</v>
      </c>
    </row>
    <row r="95" customFormat="false" ht="11.25" hidden="false" customHeight="false" outlineLevel="0" collapsed="false">
      <c r="A95" s="12"/>
      <c r="B95" s="12"/>
      <c r="C95" s="12"/>
      <c r="D95" s="12"/>
      <c r="E95" s="65" t="s">
        <v>133</v>
      </c>
      <c r="F95" s="12" t="e">
        <f aca="false">SUM(F55:F94)</f>
        <v>#N/A</v>
      </c>
      <c r="G95" s="12" t="e">
        <f aca="false">SUM(G55:G94)</f>
        <v>#N/A</v>
      </c>
      <c r="H95" s="12" t="e">
        <f aca="false">SUM(H55:H94)</f>
        <v>#N/A</v>
      </c>
      <c r="I95" s="12" t="e">
        <f aca="false">SUM(I55:I94)</f>
        <v>#N/A</v>
      </c>
      <c r="J95" s="12" t="e">
        <f aca="false">SUM(J55:J94)</f>
        <v>#N/A</v>
      </c>
      <c r="K95" s="12" t="e">
        <f aca="false">SUM(K55:K94)</f>
        <v>#N/A</v>
      </c>
      <c r="L95" s="12" t="e">
        <f aca="false">SUM(L55:L94)</f>
        <v>#N/A</v>
      </c>
      <c r="M95" s="12" t="e">
        <f aca="false">SUM(M55:M94)</f>
        <v>#N/A</v>
      </c>
      <c r="N95" s="12" t="e">
        <f aca="false">SUM(N55:N94)</f>
        <v>#N/A</v>
      </c>
      <c r="O95" s="12" t="e">
        <f aca="false">SUM(O55:O94)</f>
        <v>#N/A</v>
      </c>
      <c r="P95" s="12" t="e">
        <f aca="false">SUM(P55:P94)</f>
        <v>#N/A</v>
      </c>
      <c r="Q95" s="12" t="e">
        <f aca="false">SUM(Q55:Q94)</f>
        <v>#N/A</v>
      </c>
      <c r="R95" s="12" t="e">
        <f aca="false">SUM(R55:R94)</f>
        <v>#N/A</v>
      </c>
      <c r="S95" s="12" t="e">
        <f aca="false">SUM(S55:S94)</f>
        <v>#N/A</v>
      </c>
      <c r="T95" s="12" t="e">
        <f aca="false">SUM(T55:T94)</f>
        <v>#N/A</v>
      </c>
      <c r="U95" s="12" t="e">
        <f aca="false">SUM(U55:U94)</f>
        <v>#N/A</v>
      </c>
      <c r="V95" s="12" t="e">
        <f aca="false">SUM(V55:V94)</f>
        <v>#N/A</v>
      </c>
      <c r="W95" s="12" t="e">
        <f aca="false">SUM(W55:W94)</f>
        <v>#N/A</v>
      </c>
      <c r="X95" s="12" t="e">
        <f aca="false">SUM(X55:X94)</f>
        <v>#N/A</v>
      </c>
      <c r="Y95" s="12" t="e">
        <f aca="false">SUM(Y55:Y94)</f>
        <v>#N/A</v>
      </c>
      <c r="Z95" s="12" t="e">
        <f aca="false">SUM(Z55:Z94)</f>
        <v>#N/A</v>
      </c>
      <c r="AA95" s="12" t="e">
        <f aca="false">SUM(AA55:AA94)</f>
        <v>#N/A</v>
      </c>
      <c r="AB95" s="12" t="s">
        <v>134</v>
      </c>
    </row>
    <row r="96" customFormat="false" ht="11.25" hidden="false" customHeight="false" outlineLevel="0" collapsed="false">
      <c r="A96" s="12"/>
      <c r="B96" s="12"/>
      <c r="C96" s="12"/>
      <c r="D96" s="12"/>
      <c r="E96" s="12"/>
      <c r="F96" s="12"/>
      <c r="G96" s="12"/>
      <c r="H96" s="12"/>
      <c r="I96" s="12"/>
      <c r="J96" s="12"/>
      <c r="K96" s="12"/>
      <c r="L96" s="12"/>
      <c r="M96" s="12"/>
      <c r="N96" s="12"/>
      <c r="O96" s="12"/>
      <c r="P96" s="12"/>
      <c r="Q96" s="12"/>
      <c r="R96" s="12"/>
      <c r="S96" s="12"/>
      <c r="T96" s="12"/>
      <c r="U96" s="12"/>
      <c r="V96" s="12"/>
      <c r="W96" s="12"/>
      <c r="X96" s="12"/>
      <c r="Y96" s="12"/>
      <c r="Z96" s="12"/>
    </row>
    <row r="97" customFormat="false" ht="11.25" hidden="false" customHeight="false" outlineLevel="0" collapsed="false">
      <c r="A97" s="12"/>
      <c r="B97" s="12"/>
      <c r="C97" s="12"/>
      <c r="D97" s="42" t="s">
        <v>135</v>
      </c>
      <c r="E97" s="12"/>
      <c r="F97" s="12"/>
      <c r="G97" s="12"/>
      <c r="H97" s="12"/>
      <c r="I97" s="12"/>
      <c r="J97" s="12"/>
      <c r="K97" s="12"/>
      <c r="L97" s="12"/>
      <c r="M97" s="12"/>
      <c r="N97" s="12"/>
      <c r="O97" s="12"/>
      <c r="P97" s="12"/>
      <c r="Q97" s="12"/>
      <c r="R97" s="12"/>
      <c r="S97" s="12"/>
      <c r="T97" s="12"/>
      <c r="U97" s="12"/>
      <c r="V97" s="12"/>
      <c r="W97" s="12"/>
      <c r="X97" s="12"/>
      <c r="Y97" s="12"/>
      <c r="Z97" s="12"/>
    </row>
    <row r="98" customFormat="false" ht="11.25" hidden="false" customHeight="false" outlineLevel="0" collapsed="false">
      <c r="A98" s="12"/>
      <c r="B98" s="12"/>
      <c r="C98" s="12"/>
      <c r="D98" s="12"/>
      <c r="E98" s="12"/>
      <c r="F98" s="43" t="s">
        <v>136</v>
      </c>
      <c r="G98" s="12"/>
      <c r="H98" s="12"/>
      <c r="I98" s="12"/>
      <c r="J98" s="12"/>
      <c r="K98" s="12"/>
      <c r="L98" s="12"/>
      <c r="M98" s="12"/>
      <c r="N98" s="12"/>
      <c r="O98" s="12"/>
      <c r="P98" s="12"/>
      <c r="Q98" s="12"/>
      <c r="R98" s="12"/>
      <c r="S98" s="12"/>
      <c r="T98" s="12"/>
      <c r="U98" s="12"/>
      <c r="V98" s="12"/>
      <c r="W98" s="12"/>
      <c r="X98" s="12"/>
      <c r="Y98" s="12"/>
      <c r="Z98" s="12"/>
    </row>
    <row r="99" customFormat="false" ht="11.25" hidden="false" customHeight="false" outlineLevel="0" collapsed="false">
      <c r="A99" s="12"/>
      <c r="B99" s="12"/>
      <c r="C99" s="12"/>
      <c r="D99" s="12"/>
      <c r="E99" s="12"/>
      <c r="F99" s="66" t="n">
        <f aca="false">+G99-1</f>
        <v>1999</v>
      </c>
      <c r="G99" s="66" t="n">
        <f aca="false">+G3</f>
        <v>2000</v>
      </c>
      <c r="H99" s="66" t="n">
        <f aca="false">+H3</f>
        <v>2001</v>
      </c>
      <c r="I99" s="66" t="n">
        <f aca="false">+I3</f>
        <v>2002</v>
      </c>
      <c r="J99" s="66" t="n">
        <f aca="false">+J3</f>
        <v>2003</v>
      </c>
      <c r="K99" s="66" t="n">
        <f aca="false">+K3</f>
        <v>2004</v>
      </c>
      <c r="L99" s="66" t="n">
        <f aca="false">+L3</f>
        <v>2005</v>
      </c>
      <c r="M99" s="66" t="n">
        <f aca="false">+M3</f>
        <v>2006</v>
      </c>
      <c r="N99" s="66" t="n">
        <f aca="false">+N3</f>
        <v>2007</v>
      </c>
      <c r="O99" s="66" t="n">
        <f aca="false">+O3</f>
        <v>2008</v>
      </c>
      <c r="P99" s="66" t="n">
        <f aca="false">+P3</f>
        <v>2009</v>
      </c>
      <c r="Q99" s="66" t="n">
        <f aca="false">+Q3</f>
        <v>2010</v>
      </c>
      <c r="R99" s="66" t="n">
        <f aca="false">+R3</f>
        <v>2011</v>
      </c>
      <c r="S99" s="66" t="n">
        <f aca="false">+S3</f>
        <v>2012</v>
      </c>
      <c r="T99" s="66" t="n">
        <f aca="false">+T3</f>
        <v>2013</v>
      </c>
      <c r="U99" s="66" t="n">
        <f aca="false">+U3</f>
        <v>2014</v>
      </c>
      <c r="V99" s="66" t="n">
        <f aca="false">+V3</f>
        <v>2015</v>
      </c>
      <c r="W99" s="66" t="n">
        <f aca="false">+W3</f>
        <v>2016</v>
      </c>
      <c r="X99" s="66" t="n">
        <f aca="false">+X3</f>
        <v>2017</v>
      </c>
      <c r="Y99" s="66" t="n">
        <f aca="false">+Y3</f>
        <v>2018</v>
      </c>
      <c r="Z99" s="66" t="n">
        <f aca="false">+Z3</f>
        <v>2019</v>
      </c>
      <c r="AA99" s="12"/>
      <c r="AB99" s="12"/>
    </row>
    <row r="100" customFormat="false" ht="11.25" hidden="false" customHeight="false" outlineLevel="0" collapsed="false">
      <c r="A100" s="12"/>
      <c r="B100" s="12"/>
      <c r="C100" s="12"/>
      <c r="D100" s="65" t="s">
        <v>137</v>
      </c>
      <c r="E100" s="67" t="n">
        <f aca="false">+G3-1</f>
        <v>1999</v>
      </c>
      <c r="F100" s="12" t="e">
        <f aca="false">TRANSPOSE(F55:F94)</f>
        <v>#N/A</v>
      </c>
      <c r="G100" s="12" t="e">
        <v>#N/A</v>
      </c>
      <c r="H100" s="12" t="e">
        <v>#N/A</v>
      </c>
      <c r="I100" s="12" t="e">
        <v>#N/A</v>
      </c>
      <c r="J100" s="12" t="e">
        <v>#N/A</v>
      </c>
      <c r="K100" s="12" t="e">
        <v>#N/A</v>
      </c>
      <c r="L100" s="12" t="e">
        <v>#N/A</v>
      </c>
      <c r="M100" s="12" t="e">
        <v>#N/A</v>
      </c>
      <c r="N100" s="12" t="e">
        <v>#N/A</v>
      </c>
      <c r="O100" s="12" t="e">
        <v>#N/A</v>
      </c>
      <c r="P100" s="12" t="e">
        <v>#N/A</v>
      </c>
      <c r="Q100" s="12" t="e">
        <v>#N/A</v>
      </c>
      <c r="R100" s="12" t="e">
        <v>#N/A</v>
      </c>
      <c r="S100" s="12" t="e">
        <v>#N/A</v>
      </c>
      <c r="T100" s="12" t="e">
        <v>#N/A</v>
      </c>
      <c r="U100" s="12" t="e">
        <v>#N/A</v>
      </c>
      <c r="V100" s="12" t="e">
        <v>#N/A</v>
      </c>
      <c r="W100" s="12" t="e">
        <v>#N/A</v>
      </c>
      <c r="X100" s="12" t="e">
        <v>#N/A</v>
      </c>
      <c r="Y100" s="12" t="e">
        <v>#N/A</v>
      </c>
      <c r="Z100" s="12" t="e">
        <v>#N/A</v>
      </c>
      <c r="AB100" s="12"/>
    </row>
    <row r="101" customFormat="false" ht="11.25" hidden="false" customHeight="false" outlineLevel="0" collapsed="false">
      <c r="A101" s="12"/>
      <c r="B101" s="12"/>
      <c r="C101" s="12"/>
      <c r="D101" s="12"/>
      <c r="E101" s="67" t="n">
        <f aca="false">E100+1</f>
        <v>2000</v>
      </c>
      <c r="F101" s="12" t="e">
        <f aca="false">TRANSPOSE(G55:G94)</f>
        <v>#N/A</v>
      </c>
      <c r="G101" s="12" t="e">
        <v>#N/A</v>
      </c>
      <c r="H101" s="12" t="e">
        <v>#N/A</v>
      </c>
      <c r="I101" s="12" t="e">
        <v>#N/A</v>
      </c>
      <c r="J101" s="12" t="e">
        <v>#N/A</v>
      </c>
      <c r="K101" s="12" t="e">
        <v>#N/A</v>
      </c>
      <c r="L101" s="12" t="e">
        <v>#N/A</v>
      </c>
      <c r="M101" s="12" t="e">
        <v>#N/A</v>
      </c>
      <c r="N101" s="12" t="e">
        <v>#N/A</v>
      </c>
      <c r="O101" s="12" t="e">
        <v>#N/A</v>
      </c>
      <c r="P101" s="12" t="e">
        <v>#N/A</v>
      </c>
      <c r="Q101" s="12" t="e">
        <v>#N/A</v>
      </c>
      <c r="R101" s="12" t="e">
        <v>#N/A</v>
      </c>
      <c r="S101" s="12" t="e">
        <v>#N/A</v>
      </c>
      <c r="T101" s="12" t="e">
        <v>#N/A</v>
      </c>
      <c r="U101" s="12" t="e">
        <v>#N/A</v>
      </c>
      <c r="V101" s="12" t="e">
        <v>#N/A</v>
      </c>
      <c r="W101" s="12" t="e">
        <v>#N/A</v>
      </c>
      <c r="X101" s="12" t="e">
        <v>#N/A</v>
      </c>
      <c r="Y101" s="12" t="e">
        <v>#N/A</v>
      </c>
      <c r="Z101" s="12" t="e">
        <v>#N/A</v>
      </c>
      <c r="AB101" s="12"/>
    </row>
    <row r="102" customFormat="false" ht="11.25" hidden="false" customHeight="false" outlineLevel="0" collapsed="false">
      <c r="A102" s="12"/>
      <c r="B102" s="12"/>
      <c r="C102" s="12"/>
      <c r="D102" s="12"/>
      <c r="E102" s="67" t="n">
        <f aca="false">E101+1</f>
        <v>2001</v>
      </c>
      <c r="F102" s="12" t="e">
        <f aca="false" t="array" ref="F102:Z102">TRANSPOSE(H55:H94)</f>
        <v>#N/A</v>
      </c>
      <c r="G102" s="12" t="e">
        <v>#N/A</v>
      </c>
      <c r="H102" s="12" t="e">
        <v>#N/A</v>
      </c>
      <c r="I102" s="12" t="e">
        <v>#N/A</v>
      </c>
      <c r="J102" s="12" t="e">
        <v>#N/A</v>
      </c>
      <c r="K102" s="12" t="e">
        <v>#N/A</v>
      </c>
      <c r="L102" s="12" t="e">
        <v>#N/A</v>
      </c>
      <c r="M102" s="12" t="e">
        <v>#N/A</v>
      </c>
      <c r="N102" s="12" t="e">
        <v>#N/A</v>
      </c>
      <c r="O102" s="12" t="e">
        <v>#N/A</v>
      </c>
      <c r="P102" s="12" t="e">
        <v>#N/A</v>
      </c>
      <c r="Q102" s="12" t="e">
        <v>#N/A</v>
      </c>
      <c r="R102" s="12" t="e">
        <v>#N/A</v>
      </c>
      <c r="S102" s="12" t="e">
        <v>#N/A</v>
      </c>
      <c r="T102" s="12" t="e">
        <v>#N/A</v>
      </c>
      <c r="U102" s="12" t="e">
        <v>#N/A</v>
      </c>
      <c r="V102" s="12" t="e">
        <v>#N/A</v>
      </c>
      <c r="W102" s="12" t="e">
        <v>#N/A</v>
      </c>
      <c r="X102" s="12" t="e">
        <v>#N/A</v>
      </c>
      <c r="Y102" s="12" t="e">
        <v>#N/A</v>
      </c>
      <c r="Z102" s="12" t="e">
        <v>#N/A</v>
      </c>
      <c r="AB102" s="12"/>
    </row>
    <row r="103" customFormat="false" ht="11.25" hidden="false" customHeight="false" outlineLevel="0" collapsed="false">
      <c r="A103" s="12"/>
      <c r="B103" s="12"/>
      <c r="C103" s="12"/>
      <c r="D103" s="12"/>
      <c r="E103" s="67" t="n">
        <f aca="false">E102+1</f>
        <v>2002</v>
      </c>
      <c r="F103" s="12" t="e">
        <f aca="false" t="array" ref="F103:Z103">TRANSPOSE(I55:I94)</f>
        <v>#N/A</v>
      </c>
      <c r="G103" s="12" t="e">
        <v>#N/A</v>
      </c>
      <c r="H103" s="12" t="e">
        <v>#N/A</v>
      </c>
      <c r="I103" s="12" t="e">
        <v>#N/A</v>
      </c>
      <c r="J103" s="12" t="e">
        <v>#N/A</v>
      </c>
      <c r="K103" s="12" t="e">
        <v>#N/A</v>
      </c>
      <c r="L103" s="12" t="e">
        <v>#N/A</v>
      </c>
      <c r="M103" s="12" t="e">
        <v>#N/A</v>
      </c>
      <c r="N103" s="12" t="e">
        <v>#N/A</v>
      </c>
      <c r="O103" s="12" t="e">
        <v>#N/A</v>
      </c>
      <c r="P103" s="12" t="e">
        <v>#N/A</v>
      </c>
      <c r="Q103" s="12" t="e">
        <v>#N/A</v>
      </c>
      <c r="R103" s="12" t="e">
        <v>#N/A</v>
      </c>
      <c r="S103" s="12" t="e">
        <v>#N/A</v>
      </c>
      <c r="T103" s="12" t="e">
        <v>#N/A</v>
      </c>
      <c r="U103" s="12" t="e">
        <v>#N/A</v>
      </c>
      <c r="V103" s="12" t="e">
        <v>#N/A</v>
      </c>
      <c r="W103" s="12" t="e">
        <v>#N/A</v>
      </c>
      <c r="X103" s="12" t="e">
        <v>#N/A</v>
      </c>
      <c r="Y103" s="12" t="e">
        <v>#N/A</v>
      </c>
      <c r="Z103" s="12" t="e">
        <v>#N/A</v>
      </c>
      <c r="AB103" s="12"/>
    </row>
    <row r="104" customFormat="false" ht="11.25" hidden="false" customHeight="false" outlineLevel="0" collapsed="false">
      <c r="A104" s="12"/>
      <c r="B104" s="12"/>
      <c r="C104" s="12"/>
      <c r="D104" s="12"/>
      <c r="E104" s="67" t="n">
        <f aca="false">E103+1</f>
        <v>2003</v>
      </c>
      <c r="F104" s="12" t="e">
        <f aca="false" t="array" ref="F104:Z104">TRANSPOSE(J55:J94)</f>
        <v>#N/A</v>
      </c>
      <c r="G104" s="12" t="e">
        <v>#N/A</v>
      </c>
      <c r="H104" s="12" t="e">
        <v>#N/A</v>
      </c>
      <c r="I104" s="12" t="e">
        <v>#N/A</v>
      </c>
      <c r="J104" s="12" t="e">
        <v>#N/A</v>
      </c>
      <c r="K104" s="12" t="e">
        <v>#N/A</v>
      </c>
      <c r="L104" s="12" t="e">
        <v>#N/A</v>
      </c>
      <c r="M104" s="12" t="e">
        <v>#N/A</v>
      </c>
      <c r="N104" s="12" t="e">
        <v>#N/A</v>
      </c>
      <c r="O104" s="12" t="e">
        <v>#N/A</v>
      </c>
      <c r="P104" s="12" t="e">
        <v>#N/A</v>
      </c>
      <c r="Q104" s="12" t="e">
        <v>#N/A</v>
      </c>
      <c r="R104" s="12" t="e">
        <v>#N/A</v>
      </c>
      <c r="S104" s="12" t="e">
        <v>#N/A</v>
      </c>
      <c r="T104" s="12" t="e">
        <v>#N/A</v>
      </c>
      <c r="U104" s="12" t="e">
        <v>#N/A</v>
      </c>
      <c r="V104" s="12" t="e">
        <v>#N/A</v>
      </c>
      <c r="W104" s="12" t="e">
        <v>#N/A</v>
      </c>
      <c r="X104" s="12" t="e">
        <v>#N/A</v>
      </c>
      <c r="Y104" s="12" t="e">
        <v>#N/A</v>
      </c>
      <c r="Z104" s="12" t="e">
        <v>#N/A</v>
      </c>
      <c r="AB104" s="12"/>
    </row>
    <row r="105" customFormat="false" ht="11.25" hidden="false" customHeight="false" outlineLevel="0" collapsed="false">
      <c r="A105" s="12"/>
      <c r="B105" s="12"/>
      <c r="C105" s="12"/>
      <c r="D105" s="12"/>
      <c r="E105" s="67" t="n">
        <f aca="false">E104+1</f>
        <v>2004</v>
      </c>
      <c r="F105" s="12" t="e">
        <f aca="false" t="array" ref="F105:Z105">TRANSPOSE(K55:K93)</f>
        <v>#N/A</v>
      </c>
      <c r="G105" s="12" t="e">
        <v>#N/A</v>
      </c>
      <c r="H105" s="12" t="e">
        <v>#N/A</v>
      </c>
      <c r="I105" s="12" t="e">
        <v>#N/A</v>
      </c>
      <c r="J105" s="12" t="e">
        <v>#N/A</v>
      </c>
      <c r="K105" s="12" t="e">
        <v>#N/A</v>
      </c>
      <c r="L105" s="12" t="e">
        <v>#N/A</v>
      </c>
      <c r="M105" s="12" t="e">
        <v>#N/A</v>
      </c>
      <c r="N105" s="12" t="e">
        <v>#N/A</v>
      </c>
      <c r="O105" s="12" t="e">
        <v>#N/A</v>
      </c>
      <c r="P105" s="12" t="e">
        <v>#N/A</v>
      </c>
      <c r="Q105" s="12" t="e">
        <v>#N/A</v>
      </c>
      <c r="R105" s="12" t="e">
        <v>#N/A</v>
      </c>
      <c r="S105" s="12" t="e">
        <v>#N/A</v>
      </c>
      <c r="T105" s="12" t="e">
        <v>#N/A</v>
      </c>
      <c r="U105" s="12" t="e">
        <v>#N/A</v>
      </c>
      <c r="V105" s="12" t="e">
        <v>#N/A</v>
      </c>
      <c r="W105" s="12" t="e">
        <v>#N/A</v>
      </c>
      <c r="X105" s="12" t="e">
        <v>#N/A</v>
      </c>
      <c r="Y105" s="12" t="e">
        <v>#N/A</v>
      </c>
      <c r="Z105" s="12" t="e">
        <v>#N/A</v>
      </c>
      <c r="AB105" s="12"/>
    </row>
    <row r="106" customFormat="false" ht="11.25" hidden="false" customHeight="false" outlineLevel="0" collapsed="false">
      <c r="A106" s="12"/>
      <c r="B106" s="12"/>
      <c r="C106" s="12"/>
      <c r="D106" s="12"/>
      <c r="E106" s="67" t="n">
        <f aca="false">E105+1</f>
        <v>2005</v>
      </c>
      <c r="F106" s="12" t="e">
        <f aca="false" t="array" ref="F106:Z106">TRANSPOSE(L55:L94)</f>
        <v>#N/A</v>
      </c>
      <c r="G106" s="12" t="e">
        <v>#N/A</v>
      </c>
      <c r="H106" s="12" t="e">
        <v>#N/A</v>
      </c>
      <c r="I106" s="12" t="e">
        <v>#N/A</v>
      </c>
      <c r="J106" s="12" t="e">
        <v>#N/A</v>
      </c>
      <c r="K106" s="12" t="e">
        <v>#N/A</v>
      </c>
      <c r="L106" s="12" t="e">
        <v>#N/A</v>
      </c>
      <c r="M106" s="12" t="e">
        <v>#N/A</v>
      </c>
      <c r="N106" s="12" t="e">
        <v>#N/A</v>
      </c>
      <c r="O106" s="12" t="e">
        <v>#N/A</v>
      </c>
      <c r="P106" s="12" t="e">
        <v>#N/A</v>
      </c>
      <c r="Q106" s="12" t="e">
        <v>#N/A</v>
      </c>
      <c r="R106" s="12" t="e">
        <v>#N/A</v>
      </c>
      <c r="S106" s="12" t="e">
        <v>#N/A</v>
      </c>
      <c r="T106" s="12" t="e">
        <v>#N/A</v>
      </c>
      <c r="U106" s="12" t="e">
        <v>#N/A</v>
      </c>
      <c r="V106" s="12" t="e">
        <v>#N/A</v>
      </c>
      <c r="W106" s="12" t="e">
        <v>#N/A</v>
      </c>
      <c r="X106" s="12" t="e">
        <v>#N/A</v>
      </c>
      <c r="Y106" s="12" t="e">
        <v>#N/A</v>
      </c>
      <c r="Z106" s="12" t="e">
        <v>#N/A</v>
      </c>
      <c r="AB106" s="12"/>
    </row>
    <row r="107" customFormat="false" ht="11.25" hidden="false" customHeight="false" outlineLevel="0" collapsed="false">
      <c r="A107" s="12"/>
      <c r="B107" s="12"/>
      <c r="C107" s="12"/>
      <c r="D107" s="12"/>
      <c r="E107" s="67" t="n">
        <f aca="false">E106+1</f>
        <v>2006</v>
      </c>
      <c r="F107" s="12" t="e">
        <f aca="false" t="array" ref="F107:Z107">TRANSPOSE(M55:M94)</f>
        <v>#N/A</v>
      </c>
      <c r="G107" s="12" t="e">
        <v>#N/A</v>
      </c>
      <c r="H107" s="12" t="e">
        <v>#N/A</v>
      </c>
      <c r="I107" s="12" t="e">
        <v>#N/A</v>
      </c>
      <c r="J107" s="12" t="e">
        <v>#N/A</v>
      </c>
      <c r="K107" s="12" t="e">
        <v>#N/A</v>
      </c>
      <c r="L107" s="12" t="e">
        <v>#N/A</v>
      </c>
      <c r="M107" s="12" t="e">
        <v>#N/A</v>
      </c>
      <c r="N107" s="12" t="e">
        <v>#N/A</v>
      </c>
      <c r="O107" s="12" t="e">
        <v>#N/A</v>
      </c>
      <c r="P107" s="12" t="e">
        <v>#N/A</v>
      </c>
      <c r="Q107" s="12" t="e">
        <v>#N/A</v>
      </c>
      <c r="R107" s="12" t="e">
        <v>#N/A</v>
      </c>
      <c r="S107" s="12" t="e">
        <v>#N/A</v>
      </c>
      <c r="T107" s="12" t="e">
        <v>#N/A</v>
      </c>
      <c r="U107" s="12" t="e">
        <v>#N/A</v>
      </c>
      <c r="V107" s="12" t="e">
        <v>#N/A</v>
      </c>
      <c r="W107" s="12" t="e">
        <v>#N/A</v>
      </c>
      <c r="X107" s="12" t="e">
        <v>#N/A</v>
      </c>
      <c r="Y107" s="12" t="e">
        <v>#N/A</v>
      </c>
      <c r="Z107" s="12" t="e">
        <v>#N/A</v>
      </c>
      <c r="AB107" s="12"/>
    </row>
    <row r="108" customFormat="false" ht="11.25" hidden="false" customHeight="false" outlineLevel="0" collapsed="false">
      <c r="A108" s="12"/>
      <c r="B108" s="12"/>
      <c r="C108" s="12"/>
      <c r="D108" s="12"/>
      <c r="E108" s="67" t="n">
        <f aca="false">E107+1</f>
        <v>2007</v>
      </c>
      <c r="F108" s="12" t="e">
        <f aca="false" t="array" ref="F108:Z108">TRANSPOSE(N55:N94)</f>
        <v>#N/A</v>
      </c>
      <c r="G108" s="12" t="e">
        <v>#N/A</v>
      </c>
      <c r="H108" s="12" t="e">
        <v>#N/A</v>
      </c>
      <c r="I108" s="12" t="e">
        <v>#N/A</v>
      </c>
      <c r="J108" s="12" t="e">
        <v>#N/A</v>
      </c>
      <c r="K108" s="12" t="e">
        <v>#N/A</v>
      </c>
      <c r="L108" s="12" t="e">
        <v>#N/A</v>
      </c>
      <c r="M108" s="12" t="e">
        <v>#N/A</v>
      </c>
      <c r="N108" s="12" t="e">
        <v>#N/A</v>
      </c>
      <c r="O108" s="12" t="e">
        <v>#N/A</v>
      </c>
      <c r="P108" s="12" t="e">
        <v>#N/A</v>
      </c>
      <c r="Q108" s="12" t="e">
        <v>#N/A</v>
      </c>
      <c r="R108" s="12" t="e">
        <v>#N/A</v>
      </c>
      <c r="S108" s="12" t="e">
        <v>#N/A</v>
      </c>
      <c r="T108" s="12" t="e">
        <v>#N/A</v>
      </c>
      <c r="U108" s="12" t="e">
        <v>#N/A</v>
      </c>
      <c r="V108" s="12" t="e">
        <v>#N/A</v>
      </c>
      <c r="W108" s="12" t="e">
        <v>#N/A</v>
      </c>
      <c r="X108" s="12" t="e">
        <v>#N/A</v>
      </c>
      <c r="Y108" s="12" t="e">
        <v>#N/A</v>
      </c>
      <c r="Z108" s="12" t="e">
        <v>#N/A</v>
      </c>
      <c r="AB108" s="12"/>
    </row>
    <row r="109" customFormat="false" ht="11.25" hidden="false" customHeight="false" outlineLevel="0" collapsed="false">
      <c r="A109" s="12"/>
      <c r="B109" s="12"/>
      <c r="C109" s="12"/>
      <c r="D109" s="12"/>
      <c r="E109" s="67" t="n">
        <f aca="false">E108+1</f>
        <v>2008</v>
      </c>
      <c r="F109" s="12" t="e">
        <f aca="false" t="array" ref="F109:Z109">TRANSPOSE(O55:O94)</f>
        <v>#N/A</v>
      </c>
      <c r="G109" s="12" t="e">
        <v>#N/A</v>
      </c>
      <c r="H109" s="12" t="e">
        <v>#N/A</v>
      </c>
      <c r="I109" s="12" t="e">
        <v>#N/A</v>
      </c>
      <c r="J109" s="12" t="e">
        <v>#N/A</v>
      </c>
      <c r="K109" s="12" t="e">
        <v>#N/A</v>
      </c>
      <c r="L109" s="12" t="e">
        <v>#N/A</v>
      </c>
      <c r="M109" s="12" t="e">
        <v>#N/A</v>
      </c>
      <c r="N109" s="12" t="e">
        <v>#N/A</v>
      </c>
      <c r="O109" s="12" t="e">
        <v>#N/A</v>
      </c>
      <c r="P109" s="12" t="e">
        <v>#N/A</v>
      </c>
      <c r="Q109" s="12" t="e">
        <v>#N/A</v>
      </c>
      <c r="R109" s="12" t="e">
        <v>#N/A</v>
      </c>
      <c r="S109" s="12" t="e">
        <v>#N/A</v>
      </c>
      <c r="T109" s="12" t="e">
        <v>#N/A</v>
      </c>
      <c r="U109" s="12" t="e">
        <v>#N/A</v>
      </c>
      <c r="V109" s="12" t="e">
        <v>#N/A</v>
      </c>
      <c r="W109" s="12" t="e">
        <v>#N/A</v>
      </c>
      <c r="X109" s="12" t="e">
        <v>#N/A</v>
      </c>
      <c r="Y109" s="12" t="e">
        <v>#N/A</v>
      </c>
      <c r="Z109" s="12" t="e">
        <v>#N/A</v>
      </c>
      <c r="AB109" s="12"/>
    </row>
    <row r="110" customFormat="false" ht="11.25" hidden="false" customHeight="false" outlineLevel="0" collapsed="false">
      <c r="A110" s="12"/>
      <c r="B110" s="12"/>
      <c r="C110" s="12"/>
      <c r="D110" s="12"/>
      <c r="E110" s="67" t="n">
        <f aca="false">E109+1</f>
        <v>2009</v>
      </c>
      <c r="F110" s="12" t="e">
        <f aca="false" t="array" ref="F110:Z110">TRANSPOSE(P55:P94)</f>
        <v>#N/A</v>
      </c>
      <c r="G110" s="12" t="e">
        <v>#N/A</v>
      </c>
      <c r="H110" s="12" t="e">
        <v>#N/A</v>
      </c>
      <c r="I110" s="12" t="e">
        <v>#N/A</v>
      </c>
      <c r="J110" s="12" t="e">
        <v>#N/A</v>
      </c>
      <c r="K110" s="12" t="e">
        <v>#N/A</v>
      </c>
      <c r="L110" s="12" t="e">
        <v>#N/A</v>
      </c>
      <c r="M110" s="12" t="e">
        <v>#N/A</v>
      </c>
      <c r="N110" s="12" t="e">
        <v>#N/A</v>
      </c>
      <c r="O110" s="12" t="e">
        <v>#N/A</v>
      </c>
      <c r="P110" s="12" t="e">
        <v>#N/A</v>
      </c>
      <c r="Q110" s="12" t="e">
        <v>#N/A</v>
      </c>
      <c r="R110" s="12" t="e">
        <v>#N/A</v>
      </c>
      <c r="S110" s="12" t="e">
        <v>#N/A</v>
      </c>
      <c r="T110" s="12" t="e">
        <v>#N/A</v>
      </c>
      <c r="U110" s="12" t="e">
        <v>#N/A</v>
      </c>
      <c r="V110" s="12" t="e">
        <v>#N/A</v>
      </c>
      <c r="W110" s="12" t="e">
        <v>#N/A</v>
      </c>
      <c r="X110" s="12" t="e">
        <v>#N/A</v>
      </c>
      <c r="Y110" s="12" t="e">
        <v>#N/A</v>
      </c>
      <c r="Z110" s="12" t="e">
        <v>#N/A</v>
      </c>
      <c r="AB110" s="12"/>
    </row>
    <row r="111" customFormat="false" ht="11.25" hidden="false" customHeight="false" outlineLevel="0" collapsed="false">
      <c r="A111" s="12"/>
      <c r="B111" s="12"/>
      <c r="C111" s="12"/>
      <c r="D111" s="12"/>
      <c r="E111" s="67" t="n">
        <f aca="false">E110+1</f>
        <v>2010</v>
      </c>
      <c r="F111" s="12" t="e">
        <f aca="false" t="array" ref="F111:Z111">TRANSPOSE(Q55:Q94)</f>
        <v>#N/A</v>
      </c>
      <c r="G111" s="12" t="e">
        <v>#N/A</v>
      </c>
      <c r="H111" s="12" t="e">
        <v>#N/A</v>
      </c>
      <c r="I111" s="12" t="e">
        <v>#N/A</v>
      </c>
      <c r="J111" s="12" t="e">
        <v>#N/A</v>
      </c>
      <c r="K111" s="12" t="e">
        <v>#N/A</v>
      </c>
      <c r="L111" s="12" t="e">
        <v>#N/A</v>
      </c>
      <c r="M111" s="12" t="e">
        <v>#N/A</v>
      </c>
      <c r="N111" s="12" t="e">
        <v>#N/A</v>
      </c>
      <c r="O111" s="12" t="e">
        <v>#N/A</v>
      </c>
      <c r="P111" s="12" t="e">
        <v>#N/A</v>
      </c>
      <c r="Q111" s="12" t="e">
        <v>#N/A</v>
      </c>
      <c r="R111" s="12" t="e">
        <v>#N/A</v>
      </c>
      <c r="S111" s="12" t="e">
        <v>#N/A</v>
      </c>
      <c r="T111" s="12" t="e">
        <v>#N/A</v>
      </c>
      <c r="U111" s="12" t="e">
        <v>#N/A</v>
      </c>
      <c r="V111" s="12" t="e">
        <v>#N/A</v>
      </c>
      <c r="W111" s="12" t="e">
        <v>#N/A</v>
      </c>
      <c r="X111" s="12" t="e">
        <v>#N/A</v>
      </c>
      <c r="Y111" s="12" t="e">
        <v>#N/A</v>
      </c>
      <c r="Z111" s="12" t="e">
        <v>#N/A</v>
      </c>
      <c r="AB111" s="12"/>
    </row>
    <row r="112" customFormat="false" ht="11.25" hidden="false" customHeight="false" outlineLevel="0" collapsed="false">
      <c r="A112" s="12"/>
      <c r="B112" s="12"/>
      <c r="C112" s="12"/>
      <c r="D112" s="12"/>
      <c r="E112" s="67" t="n">
        <f aca="false">E111+1</f>
        <v>2011</v>
      </c>
      <c r="F112" s="12" t="e">
        <f aca="false" t="array" ref="F112:Z112">TRANSPOSE(R55:R94)</f>
        <v>#N/A</v>
      </c>
      <c r="G112" s="12" t="e">
        <v>#N/A</v>
      </c>
      <c r="H112" s="12" t="e">
        <v>#N/A</v>
      </c>
      <c r="I112" s="12" t="e">
        <v>#N/A</v>
      </c>
      <c r="J112" s="12" t="e">
        <v>#N/A</v>
      </c>
      <c r="K112" s="12" t="e">
        <v>#N/A</v>
      </c>
      <c r="L112" s="12" t="e">
        <v>#N/A</v>
      </c>
      <c r="M112" s="12" t="e">
        <v>#N/A</v>
      </c>
      <c r="N112" s="12" t="e">
        <v>#N/A</v>
      </c>
      <c r="O112" s="12" t="e">
        <v>#N/A</v>
      </c>
      <c r="P112" s="12" t="e">
        <v>#N/A</v>
      </c>
      <c r="Q112" s="12" t="e">
        <v>#N/A</v>
      </c>
      <c r="R112" s="12" t="e">
        <v>#N/A</v>
      </c>
      <c r="S112" s="12" t="e">
        <v>#N/A</v>
      </c>
      <c r="T112" s="12" t="e">
        <v>#N/A</v>
      </c>
      <c r="U112" s="12" t="e">
        <v>#N/A</v>
      </c>
      <c r="V112" s="12" t="e">
        <v>#N/A</v>
      </c>
      <c r="W112" s="12" t="e">
        <v>#N/A</v>
      </c>
      <c r="X112" s="12" t="e">
        <v>#N/A</v>
      </c>
      <c r="Y112" s="12" t="e">
        <v>#N/A</v>
      </c>
      <c r="Z112" s="12" t="e">
        <v>#N/A</v>
      </c>
      <c r="AB112" s="12"/>
    </row>
    <row r="113" customFormat="false" ht="11.25" hidden="false" customHeight="false" outlineLevel="0" collapsed="false">
      <c r="A113" s="12"/>
      <c r="B113" s="12"/>
      <c r="C113" s="12"/>
      <c r="D113" s="12"/>
      <c r="E113" s="67" t="n">
        <f aca="false">E112+1</f>
        <v>2012</v>
      </c>
      <c r="F113" s="12" t="e">
        <f aca="false" t="array" ref="F113:Z113">TRANSPOSE(S55:S94)</f>
        <v>#N/A</v>
      </c>
      <c r="G113" s="12" t="e">
        <v>#N/A</v>
      </c>
      <c r="H113" s="12" t="e">
        <v>#N/A</v>
      </c>
      <c r="I113" s="12" t="e">
        <v>#N/A</v>
      </c>
      <c r="J113" s="12" t="e">
        <v>#N/A</v>
      </c>
      <c r="K113" s="12" t="e">
        <v>#N/A</v>
      </c>
      <c r="L113" s="12" t="e">
        <v>#N/A</v>
      </c>
      <c r="M113" s="12" t="e">
        <v>#N/A</v>
      </c>
      <c r="N113" s="12" t="e">
        <v>#N/A</v>
      </c>
      <c r="O113" s="12" t="e">
        <v>#N/A</v>
      </c>
      <c r="P113" s="12" t="e">
        <v>#N/A</v>
      </c>
      <c r="Q113" s="12" t="e">
        <v>#N/A</v>
      </c>
      <c r="R113" s="12" t="e">
        <v>#N/A</v>
      </c>
      <c r="S113" s="12" t="e">
        <v>#N/A</v>
      </c>
      <c r="T113" s="12" t="e">
        <v>#N/A</v>
      </c>
      <c r="U113" s="12" t="e">
        <v>#N/A</v>
      </c>
      <c r="V113" s="12" t="e">
        <v>#N/A</v>
      </c>
      <c r="W113" s="12" t="e">
        <v>#N/A</v>
      </c>
      <c r="X113" s="12" t="e">
        <v>#N/A</v>
      </c>
      <c r="Y113" s="12" t="e">
        <v>#N/A</v>
      </c>
      <c r="Z113" s="12" t="e">
        <v>#N/A</v>
      </c>
      <c r="AB113" s="12"/>
    </row>
    <row r="114" customFormat="false" ht="11.25" hidden="false" customHeight="false" outlineLevel="0" collapsed="false">
      <c r="A114" s="12"/>
      <c r="B114" s="12"/>
      <c r="C114" s="12"/>
      <c r="D114" s="12"/>
      <c r="E114" s="67" t="n">
        <f aca="false">E113+1</f>
        <v>2013</v>
      </c>
      <c r="F114" s="12" t="e">
        <f aca="false" t="array" ref="F114:Z114">TRANSPOSE(T55:T94)</f>
        <v>#N/A</v>
      </c>
      <c r="G114" s="12" t="e">
        <v>#N/A</v>
      </c>
      <c r="H114" s="12" t="e">
        <v>#N/A</v>
      </c>
      <c r="I114" s="12" t="e">
        <v>#N/A</v>
      </c>
      <c r="J114" s="12" t="e">
        <v>#N/A</v>
      </c>
      <c r="K114" s="12" t="e">
        <v>#N/A</v>
      </c>
      <c r="L114" s="12" t="e">
        <v>#N/A</v>
      </c>
      <c r="M114" s="12" t="e">
        <v>#N/A</v>
      </c>
      <c r="N114" s="12" t="e">
        <v>#N/A</v>
      </c>
      <c r="O114" s="12" t="e">
        <v>#N/A</v>
      </c>
      <c r="P114" s="12" t="e">
        <v>#N/A</v>
      </c>
      <c r="Q114" s="12" t="e">
        <v>#N/A</v>
      </c>
      <c r="R114" s="12" t="e">
        <v>#N/A</v>
      </c>
      <c r="S114" s="12" t="e">
        <v>#N/A</v>
      </c>
      <c r="T114" s="12" t="e">
        <v>#N/A</v>
      </c>
      <c r="U114" s="12" t="e">
        <v>#N/A</v>
      </c>
      <c r="V114" s="12" t="e">
        <v>#N/A</v>
      </c>
      <c r="W114" s="12" t="e">
        <v>#N/A</v>
      </c>
      <c r="X114" s="12" t="e">
        <v>#N/A</v>
      </c>
      <c r="Y114" s="12" t="e">
        <v>#N/A</v>
      </c>
      <c r="Z114" s="12" t="e">
        <v>#N/A</v>
      </c>
      <c r="AB114" s="12"/>
    </row>
    <row r="115" customFormat="false" ht="11.25" hidden="false" customHeight="false" outlineLevel="0" collapsed="false">
      <c r="A115" s="12"/>
      <c r="B115" s="12"/>
      <c r="C115" s="12"/>
      <c r="D115" s="12"/>
      <c r="E115" s="67" t="n">
        <f aca="false">E114+1</f>
        <v>2014</v>
      </c>
      <c r="F115" s="12" t="e">
        <f aca="false" t="array" ref="F115:Z115">TRANSPOSE(U55:U94)</f>
        <v>#N/A</v>
      </c>
      <c r="G115" s="12" t="e">
        <v>#N/A</v>
      </c>
      <c r="H115" s="12" t="e">
        <v>#N/A</v>
      </c>
      <c r="I115" s="12" t="e">
        <v>#N/A</v>
      </c>
      <c r="J115" s="12" t="e">
        <v>#N/A</v>
      </c>
      <c r="K115" s="12" t="e">
        <v>#N/A</v>
      </c>
      <c r="L115" s="12" t="e">
        <v>#N/A</v>
      </c>
      <c r="M115" s="12" t="e">
        <v>#N/A</v>
      </c>
      <c r="N115" s="12" t="e">
        <v>#N/A</v>
      </c>
      <c r="O115" s="12" t="e">
        <v>#N/A</v>
      </c>
      <c r="P115" s="12" t="e">
        <v>#N/A</v>
      </c>
      <c r="Q115" s="12" t="e">
        <v>#N/A</v>
      </c>
      <c r="R115" s="12" t="e">
        <v>#N/A</v>
      </c>
      <c r="S115" s="12" t="e">
        <v>#N/A</v>
      </c>
      <c r="T115" s="12" t="e">
        <v>#N/A</v>
      </c>
      <c r="U115" s="12" t="e">
        <v>#N/A</v>
      </c>
      <c r="V115" s="12" t="e">
        <v>#N/A</v>
      </c>
      <c r="W115" s="12" t="e">
        <v>#N/A</v>
      </c>
      <c r="X115" s="12" t="e">
        <v>#N/A</v>
      </c>
      <c r="Y115" s="12" t="e">
        <v>#N/A</v>
      </c>
      <c r="Z115" s="12" t="e">
        <v>#N/A</v>
      </c>
      <c r="AB115" s="12"/>
    </row>
    <row r="116" customFormat="false" ht="11.25" hidden="false" customHeight="false" outlineLevel="0" collapsed="false">
      <c r="A116" s="12"/>
      <c r="B116" s="12"/>
      <c r="C116" s="12"/>
      <c r="D116" s="12"/>
      <c r="E116" s="67" t="n">
        <f aca="false">E115+1</f>
        <v>2015</v>
      </c>
      <c r="F116" s="12" t="e">
        <f aca="false" t="array" ref="F116:Z116">TRANSPOSE(V55:V94)</f>
        <v>#N/A</v>
      </c>
      <c r="G116" s="12" t="e">
        <v>#N/A</v>
      </c>
      <c r="H116" s="12" t="e">
        <v>#N/A</v>
      </c>
      <c r="I116" s="12" t="e">
        <v>#N/A</v>
      </c>
      <c r="J116" s="12" t="e">
        <v>#N/A</v>
      </c>
      <c r="K116" s="12" t="e">
        <v>#N/A</v>
      </c>
      <c r="L116" s="12" t="e">
        <v>#N/A</v>
      </c>
      <c r="M116" s="12" t="e">
        <v>#N/A</v>
      </c>
      <c r="N116" s="12" t="e">
        <v>#N/A</v>
      </c>
      <c r="O116" s="12" t="e">
        <v>#N/A</v>
      </c>
      <c r="P116" s="12" t="e">
        <v>#N/A</v>
      </c>
      <c r="Q116" s="12" t="e">
        <v>#N/A</v>
      </c>
      <c r="R116" s="12" t="e">
        <v>#N/A</v>
      </c>
      <c r="S116" s="12" t="e">
        <v>#N/A</v>
      </c>
      <c r="T116" s="12" t="e">
        <v>#N/A</v>
      </c>
      <c r="U116" s="12" t="e">
        <v>#N/A</v>
      </c>
      <c r="V116" s="12" t="e">
        <v>#N/A</v>
      </c>
      <c r="W116" s="12" t="e">
        <v>#N/A</v>
      </c>
      <c r="X116" s="12" t="e">
        <v>#N/A</v>
      </c>
      <c r="Y116" s="12" t="e">
        <v>#N/A</v>
      </c>
      <c r="Z116" s="12" t="e">
        <v>#N/A</v>
      </c>
      <c r="AB116" s="12"/>
    </row>
    <row r="117" customFormat="false" ht="11.25" hidden="false" customHeight="false" outlineLevel="0" collapsed="false">
      <c r="A117" s="12"/>
      <c r="B117" s="12"/>
      <c r="C117" s="12"/>
      <c r="D117" s="12"/>
      <c r="E117" s="67" t="n">
        <f aca="false">E116+1</f>
        <v>2016</v>
      </c>
      <c r="F117" s="12" t="e">
        <f aca="false" t="array" ref="F117:Z117">TRANSPOSE(W55:W94)</f>
        <v>#N/A</v>
      </c>
      <c r="G117" s="12" t="e">
        <v>#N/A</v>
      </c>
      <c r="H117" s="12" t="e">
        <v>#N/A</v>
      </c>
      <c r="I117" s="12" t="e">
        <v>#N/A</v>
      </c>
      <c r="J117" s="12" t="e">
        <v>#N/A</v>
      </c>
      <c r="K117" s="12" t="e">
        <v>#N/A</v>
      </c>
      <c r="L117" s="12" t="e">
        <v>#N/A</v>
      </c>
      <c r="M117" s="12" t="e">
        <v>#N/A</v>
      </c>
      <c r="N117" s="12" t="e">
        <v>#N/A</v>
      </c>
      <c r="O117" s="12" t="e">
        <v>#N/A</v>
      </c>
      <c r="P117" s="12" t="e">
        <v>#N/A</v>
      </c>
      <c r="Q117" s="12" t="e">
        <v>#N/A</v>
      </c>
      <c r="R117" s="12" t="e">
        <v>#N/A</v>
      </c>
      <c r="S117" s="12" t="e">
        <v>#N/A</v>
      </c>
      <c r="T117" s="12" t="e">
        <v>#N/A</v>
      </c>
      <c r="U117" s="12" t="e">
        <v>#N/A</v>
      </c>
      <c r="V117" s="12" t="e">
        <v>#N/A</v>
      </c>
      <c r="W117" s="12" t="e">
        <v>#N/A</v>
      </c>
      <c r="X117" s="12" t="e">
        <v>#N/A</v>
      </c>
      <c r="Y117" s="12" t="e">
        <v>#N/A</v>
      </c>
      <c r="Z117" s="12" t="e">
        <v>#N/A</v>
      </c>
      <c r="AB117" s="12"/>
    </row>
    <row r="118" customFormat="false" ht="11.25" hidden="false" customHeight="false" outlineLevel="0" collapsed="false">
      <c r="A118" s="12"/>
      <c r="B118" s="12"/>
      <c r="C118" s="12"/>
      <c r="D118" s="12"/>
      <c r="E118" s="67" t="n">
        <f aca="false">E117+1</f>
        <v>2017</v>
      </c>
      <c r="F118" s="12" t="e">
        <f aca="false" t="array" ref="F118:Z118">TRANSPOSE(X55:X94)</f>
        <v>#N/A</v>
      </c>
      <c r="G118" s="12" t="e">
        <v>#N/A</v>
      </c>
      <c r="H118" s="12" t="e">
        <v>#N/A</v>
      </c>
      <c r="I118" s="12" t="e">
        <v>#N/A</v>
      </c>
      <c r="J118" s="12" t="e">
        <v>#N/A</v>
      </c>
      <c r="K118" s="12" t="e">
        <v>#N/A</v>
      </c>
      <c r="L118" s="12" t="e">
        <v>#N/A</v>
      </c>
      <c r="M118" s="12" t="e">
        <v>#N/A</v>
      </c>
      <c r="N118" s="12" t="e">
        <v>#N/A</v>
      </c>
      <c r="O118" s="12" t="e">
        <v>#N/A</v>
      </c>
      <c r="P118" s="12" t="e">
        <v>#N/A</v>
      </c>
      <c r="Q118" s="12" t="e">
        <v>#N/A</v>
      </c>
      <c r="R118" s="12" t="e">
        <v>#N/A</v>
      </c>
      <c r="S118" s="12" t="e">
        <v>#N/A</v>
      </c>
      <c r="T118" s="12" t="e">
        <v>#N/A</v>
      </c>
      <c r="U118" s="12" t="e">
        <v>#N/A</v>
      </c>
      <c r="V118" s="12" t="e">
        <v>#N/A</v>
      </c>
      <c r="W118" s="12" t="e">
        <v>#N/A</v>
      </c>
      <c r="X118" s="12" t="e">
        <v>#N/A</v>
      </c>
      <c r="Y118" s="12" t="e">
        <v>#N/A</v>
      </c>
      <c r="Z118" s="12" t="e">
        <v>#N/A</v>
      </c>
      <c r="AB118" s="12"/>
    </row>
    <row r="119" customFormat="false" ht="11.25" hidden="false" customHeight="false" outlineLevel="0" collapsed="false">
      <c r="A119" s="12"/>
      <c r="B119" s="12"/>
      <c r="C119" s="12"/>
      <c r="D119" s="12"/>
      <c r="E119" s="67" t="n">
        <f aca="false">E118+1</f>
        <v>2018</v>
      </c>
      <c r="F119" s="12" t="e">
        <f aca="false" t="array" ref="F119:Z119">TRANSPOSE(Y55:Y94)</f>
        <v>#N/A</v>
      </c>
      <c r="G119" s="12" t="e">
        <v>#N/A</v>
      </c>
      <c r="H119" s="12" t="e">
        <v>#N/A</v>
      </c>
      <c r="I119" s="12" t="e">
        <v>#N/A</v>
      </c>
      <c r="J119" s="12" t="e">
        <v>#N/A</v>
      </c>
      <c r="K119" s="12" t="e">
        <v>#N/A</v>
      </c>
      <c r="L119" s="12" t="e">
        <v>#N/A</v>
      </c>
      <c r="M119" s="12" t="e">
        <v>#N/A</v>
      </c>
      <c r="N119" s="12" t="e">
        <v>#N/A</v>
      </c>
      <c r="O119" s="12" t="e">
        <v>#N/A</v>
      </c>
      <c r="P119" s="12" t="e">
        <v>#N/A</v>
      </c>
      <c r="Q119" s="12" t="e">
        <v>#N/A</v>
      </c>
      <c r="R119" s="12" t="e">
        <v>#N/A</v>
      </c>
      <c r="S119" s="12" t="e">
        <v>#N/A</v>
      </c>
      <c r="T119" s="12" t="e">
        <v>#N/A</v>
      </c>
      <c r="U119" s="12" t="e">
        <v>#N/A</v>
      </c>
      <c r="V119" s="12" t="e">
        <v>#N/A</v>
      </c>
      <c r="W119" s="12" t="e">
        <v>#N/A</v>
      </c>
      <c r="X119" s="12" t="e">
        <v>#N/A</v>
      </c>
      <c r="Y119" s="12" t="e">
        <v>#N/A</v>
      </c>
      <c r="Z119" s="12" t="e">
        <v>#N/A</v>
      </c>
      <c r="AB119" s="12"/>
    </row>
    <row r="120" customFormat="false" ht="11.25" hidden="false" customHeight="false" outlineLevel="0" collapsed="false">
      <c r="A120" s="12"/>
      <c r="B120" s="12"/>
      <c r="C120" s="12"/>
      <c r="D120" s="12"/>
      <c r="E120" s="67" t="n">
        <f aca="false">E119+1</f>
        <v>2019</v>
      </c>
      <c r="F120" s="12" t="e">
        <f aca="false" t="array" ref="F120:Z120">TRANSPOSE(Z55:Z94)</f>
        <v>#N/A</v>
      </c>
      <c r="G120" s="12" t="e">
        <v>#N/A</v>
      </c>
      <c r="H120" s="12" t="e">
        <v>#N/A</v>
      </c>
      <c r="I120" s="12" t="e">
        <v>#N/A</v>
      </c>
      <c r="J120" s="12" t="e">
        <v>#N/A</v>
      </c>
      <c r="K120" s="12" t="e">
        <v>#N/A</v>
      </c>
      <c r="L120" s="12" t="e">
        <v>#N/A</v>
      </c>
      <c r="M120" s="12" t="e">
        <v>#N/A</v>
      </c>
      <c r="N120" s="12" t="e">
        <v>#N/A</v>
      </c>
      <c r="O120" s="12" t="e">
        <v>#N/A</v>
      </c>
      <c r="P120" s="12" t="e">
        <v>#N/A</v>
      </c>
      <c r="Q120" s="12" t="e">
        <v>#N/A</v>
      </c>
      <c r="R120" s="12" t="e">
        <v>#N/A</v>
      </c>
      <c r="S120" s="12" t="e">
        <v>#N/A</v>
      </c>
      <c r="T120" s="12" t="e">
        <v>#N/A</v>
      </c>
      <c r="U120" s="12" t="e">
        <v>#N/A</v>
      </c>
      <c r="V120" s="12" t="e">
        <v>#N/A</v>
      </c>
      <c r="W120" s="12" t="e">
        <v>#N/A</v>
      </c>
      <c r="X120" s="12" t="e">
        <v>#N/A</v>
      </c>
      <c r="Y120" s="12" t="e">
        <v>#N/A</v>
      </c>
      <c r="Z120" s="12" t="e">
        <v>#N/A</v>
      </c>
      <c r="AB120" s="12"/>
    </row>
    <row r="121" customFormat="false" ht="11.25" hidden="false" customHeight="false" outlineLevel="0" collapsed="false">
      <c r="A121" s="12"/>
      <c r="B121" s="12"/>
      <c r="C121" s="12"/>
      <c r="D121" s="12"/>
      <c r="E121" s="65" t="s">
        <v>138</v>
      </c>
      <c r="F121" s="68" t="e">
        <f aca="false">+AA55</f>
        <v>#N/A</v>
      </c>
      <c r="G121" s="68" t="e">
        <f aca="false">+AA56</f>
        <v>#VALUE!</v>
      </c>
      <c r="H121" s="68" t="e">
        <f aca="false">+AA57</f>
        <v>#VALUE!</v>
      </c>
      <c r="I121" s="68" t="e">
        <f aca="false">+AA58</f>
        <v>#VALUE!</v>
      </c>
      <c r="J121" s="68" t="e">
        <f aca="false">+AA59</f>
        <v>#VALUE!</v>
      </c>
      <c r="K121" s="68" t="e">
        <f aca="false">+AA60</f>
        <v>#VALUE!</v>
      </c>
      <c r="L121" s="68" t="e">
        <f aca="false">+AA61</f>
        <v>#VALUE!</v>
      </c>
      <c r="M121" s="68" t="e">
        <f aca="false">+AA62</f>
        <v>#VALUE!</v>
      </c>
      <c r="N121" s="68" t="e">
        <f aca="false">+AA63</f>
        <v>#VALUE!</v>
      </c>
      <c r="O121" s="68" t="e">
        <f aca="false">+AA64</f>
        <v>#VALUE!</v>
      </c>
      <c r="P121" s="68" t="e">
        <f aca="false">+AA65</f>
        <v>#VALUE!</v>
      </c>
      <c r="Q121" s="68" t="e">
        <f aca="false">+AA66</f>
        <v>#VALUE!</v>
      </c>
      <c r="R121" s="68" t="e">
        <f aca="false">+AA67</f>
        <v>#VALUE!</v>
      </c>
      <c r="S121" s="68" t="e">
        <f aca="false">+AA68</f>
        <v>#VALUE!</v>
      </c>
      <c r="T121" s="68" t="e">
        <f aca="false">+AA69</f>
        <v>#VALUE!</v>
      </c>
      <c r="U121" s="68" t="e">
        <f aca="false">+AA70</f>
        <v>#VALUE!</v>
      </c>
      <c r="V121" s="68" t="e">
        <f aca="false">+AA71</f>
        <v>#VALUE!</v>
      </c>
      <c r="W121" s="68" t="e">
        <f aca="false">+AA72</f>
        <v>#VALUE!</v>
      </c>
      <c r="X121" s="68" t="e">
        <f aca="false">+AA73</f>
        <v>#VALUE!</v>
      </c>
      <c r="Y121" s="68" t="e">
        <f aca="false">+AA74</f>
        <v>#VALUE!</v>
      </c>
      <c r="Z121" s="68" t="e">
        <f aca="false">+AA75</f>
        <v>#VALUE!</v>
      </c>
      <c r="AA121" s="69" t="e">
        <f aca="false">SUM(F121:Z121)</f>
        <v>#N/A</v>
      </c>
      <c r="AB121" s="5" t="s">
        <v>139</v>
      </c>
    </row>
    <row r="122" customFormat="false" ht="11.25" hidden="false" customHeight="false" outlineLevel="0" collapsed="false">
      <c r="A122" s="12"/>
      <c r="B122" s="12"/>
      <c r="C122" s="12"/>
      <c r="D122" s="12"/>
      <c r="E122" s="12"/>
      <c r="F122" s="12"/>
      <c r="G122" s="12"/>
      <c r="H122" s="12"/>
      <c r="I122" s="12"/>
      <c r="J122" s="12"/>
      <c r="K122" s="12"/>
      <c r="L122" s="12"/>
      <c r="M122" s="12"/>
      <c r="N122" s="12"/>
      <c r="O122" s="12"/>
      <c r="P122" s="12"/>
      <c r="Q122" s="12"/>
      <c r="R122" s="12"/>
      <c r="S122" s="12"/>
      <c r="T122" s="12"/>
      <c r="U122" s="12"/>
      <c r="V122" s="12"/>
      <c r="W122" s="12"/>
      <c r="X122" s="12"/>
      <c r="Y122" s="12"/>
      <c r="Z122" s="12"/>
      <c r="AA122" s="70" t="e">
        <f aca="false">+AA95-AA121</f>
        <v>#N/A</v>
      </c>
      <c r="AB122" s="5" t="s">
        <v>140</v>
      </c>
    </row>
    <row r="123" customFormat="false" ht="11.25" hidden="false" customHeight="false" outlineLevel="0" collapsed="false">
      <c r="A123" s="12"/>
      <c r="B123" s="12"/>
      <c r="C123" s="12"/>
      <c r="D123" s="12"/>
      <c r="E123" s="12"/>
      <c r="F123" s="12"/>
      <c r="G123" s="12"/>
      <c r="H123" s="12"/>
      <c r="I123" s="12"/>
      <c r="J123" s="12"/>
      <c r="K123" s="12"/>
      <c r="L123" s="12"/>
      <c r="M123" s="12"/>
      <c r="N123" s="12"/>
      <c r="O123" s="12"/>
      <c r="P123" s="12"/>
      <c r="Q123" s="12"/>
      <c r="R123" s="12"/>
      <c r="S123" s="12"/>
      <c r="T123" s="12"/>
      <c r="U123" s="12"/>
      <c r="V123" s="12"/>
      <c r="W123" s="12"/>
      <c r="X123" s="12"/>
      <c r="Y123" s="12"/>
      <c r="Z123" s="12"/>
      <c r="AA123" s="54" t="e">
        <f aca="false">SUM(AA76:AA94)-AA122</f>
        <v>#VALUE!</v>
      </c>
      <c r="AB123" s="5" t="s">
        <v>141</v>
      </c>
    </row>
    <row r="124" customFormat="false" ht="11.25" hidden="false" customHeight="false" outlineLevel="0" collapsed="false">
      <c r="A124" s="12"/>
      <c r="B124" s="12"/>
      <c r="C124" s="12"/>
      <c r="D124" s="12"/>
      <c r="E124" s="12"/>
      <c r="F124" s="12"/>
      <c r="G124" s="12"/>
      <c r="H124" s="12"/>
      <c r="I124" s="12"/>
      <c r="J124" s="12"/>
      <c r="K124" s="12"/>
      <c r="L124" s="12"/>
      <c r="M124" s="12"/>
      <c r="N124" s="12"/>
      <c r="O124" s="12"/>
      <c r="P124" s="12"/>
      <c r="Q124" s="12"/>
      <c r="R124" s="12"/>
      <c r="S124" s="12"/>
      <c r="T124" s="12"/>
      <c r="U124" s="12"/>
      <c r="V124" s="12"/>
      <c r="W124" s="12"/>
      <c r="X124" s="12"/>
      <c r="Y124" s="12"/>
      <c r="Z124" s="12"/>
    </row>
    <row r="125" customFormat="false" ht="11.25" hidden="false" customHeight="false" outlineLevel="0" collapsed="false">
      <c r="A125" s="12"/>
      <c r="B125" s="12"/>
      <c r="C125" s="12"/>
      <c r="D125" s="12"/>
      <c r="E125" s="12"/>
      <c r="F125" s="12"/>
      <c r="G125" s="12"/>
      <c r="H125" s="12"/>
      <c r="I125" s="12"/>
      <c r="J125" s="12"/>
      <c r="K125" s="12"/>
      <c r="L125" s="12"/>
      <c r="M125" s="12"/>
      <c r="N125" s="12"/>
      <c r="O125" s="12"/>
      <c r="P125" s="12"/>
      <c r="Q125" s="12"/>
      <c r="R125" s="12"/>
      <c r="S125" s="12"/>
      <c r="T125" s="12"/>
      <c r="U125" s="12"/>
      <c r="V125" s="12"/>
      <c r="W125" s="12"/>
      <c r="X125" s="12"/>
      <c r="Y125" s="12"/>
      <c r="Z125" s="12"/>
    </row>
    <row r="126" customFormat="false" ht="11.25" hidden="false" customHeight="false" outlineLevel="0" collapsed="false">
      <c r="A126" s="12"/>
      <c r="B126" s="12"/>
      <c r="C126" s="12"/>
      <c r="D126" s="12"/>
      <c r="E126" s="12"/>
      <c r="F126" s="12"/>
      <c r="G126" s="12"/>
      <c r="H126" s="12"/>
      <c r="I126" s="12"/>
      <c r="J126" s="12"/>
      <c r="K126" s="12"/>
      <c r="L126" s="12"/>
      <c r="M126" s="12"/>
      <c r="N126" s="12"/>
      <c r="O126" s="12"/>
      <c r="P126" s="12"/>
      <c r="Q126" s="12"/>
      <c r="R126" s="12"/>
      <c r="S126" s="12"/>
      <c r="T126" s="12"/>
      <c r="U126" s="12"/>
      <c r="V126" s="12"/>
      <c r="W126" s="12"/>
      <c r="X126" s="12"/>
      <c r="Y126" s="12"/>
      <c r="Z126" s="12"/>
    </row>
    <row r="127" customFormat="false" ht="11.25" hidden="false" customHeight="false" outlineLevel="0" collapsed="false">
      <c r="A127" s="12"/>
      <c r="B127" s="12"/>
      <c r="C127" s="12"/>
      <c r="D127" s="12"/>
      <c r="E127" s="12"/>
      <c r="F127" s="12"/>
      <c r="G127" s="12"/>
      <c r="H127" s="12"/>
      <c r="I127" s="12"/>
      <c r="J127" s="12"/>
      <c r="K127" s="12"/>
      <c r="L127" s="12"/>
      <c r="M127" s="12"/>
      <c r="N127" s="12"/>
      <c r="O127" s="12"/>
      <c r="P127" s="12"/>
      <c r="Q127" s="12"/>
      <c r="R127" s="12"/>
      <c r="S127" s="12"/>
      <c r="T127" s="12"/>
      <c r="U127" s="12"/>
      <c r="V127" s="12"/>
      <c r="W127" s="12"/>
      <c r="X127" s="12"/>
      <c r="Y127" s="12"/>
      <c r="Z127" s="12"/>
    </row>
    <row r="128" customFormat="false" ht="11.25" hidden="false" customHeight="false" outlineLevel="0" collapsed="false">
      <c r="A128" s="12"/>
      <c r="B128" s="12"/>
      <c r="C128" s="12"/>
      <c r="D128" s="12"/>
      <c r="E128" s="12"/>
      <c r="F128" s="12"/>
      <c r="G128" s="12"/>
      <c r="H128" s="12"/>
      <c r="I128" s="12"/>
      <c r="J128" s="12"/>
      <c r="K128" s="12"/>
      <c r="L128" s="12"/>
      <c r="M128" s="12"/>
      <c r="N128" s="12"/>
      <c r="O128" s="12"/>
      <c r="P128" s="12"/>
      <c r="Q128" s="12"/>
      <c r="R128" s="12"/>
      <c r="S128" s="12"/>
      <c r="T128" s="12"/>
      <c r="U128" s="12"/>
      <c r="V128" s="12"/>
      <c r="W128" s="12"/>
      <c r="X128" s="12"/>
      <c r="Y128" s="12"/>
      <c r="Z128" s="12"/>
    </row>
    <row r="129" customFormat="false" ht="11.25" hidden="false" customHeight="false" outlineLevel="0" collapsed="false">
      <c r="A129" s="12"/>
      <c r="B129" s="12"/>
      <c r="C129" s="12"/>
      <c r="D129" s="12"/>
      <c r="E129" s="12"/>
      <c r="F129" s="12"/>
      <c r="G129" s="12"/>
      <c r="H129" s="12"/>
      <c r="I129" s="12"/>
      <c r="J129" s="12"/>
      <c r="K129" s="12"/>
      <c r="L129" s="12"/>
      <c r="M129" s="12"/>
      <c r="N129" s="12"/>
      <c r="O129" s="12"/>
      <c r="P129" s="12"/>
      <c r="Q129" s="12"/>
      <c r="R129" s="12"/>
      <c r="S129" s="12"/>
      <c r="T129" s="12"/>
      <c r="U129" s="12"/>
      <c r="V129" s="12"/>
      <c r="W129" s="12"/>
      <c r="X129" s="12"/>
      <c r="Y129" s="12"/>
      <c r="Z129" s="12"/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C382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4" ySplit="6" topLeftCell="E7" activePane="bottomRight" state="frozen"/>
      <selection pane="topLeft" activeCell="A1" activeCellId="0" sqref="A1"/>
      <selection pane="topRight" activeCell="E1" activeCellId="0" sqref="E1"/>
      <selection pane="bottomLeft" activeCell="A7" activeCellId="0" sqref="A7"/>
      <selection pane="bottomRight" activeCell="E7" activeCellId="0" sqref="E7"/>
    </sheetView>
  </sheetViews>
  <sheetFormatPr defaultColWidth="10.16015625" defaultRowHeight="11.25" customHeight="true" zeroHeight="false" outlineLevelRow="0" outlineLevelCol="0"/>
  <cols>
    <col collapsed="false" customWidth="true" hidden="false" outlineLevel="0" max="2" min="2" style="12" width="11.49"/>
    <col collapsed="false" customWidth="true" hidden="false" outlineLevel="0" max="3" min="3" style="12" width="15.65"/>
  </cols>
  <sheetData>
    <row r="1" customFormat="false" ht="12" hidden="false" customHeight="false" outlineLevel="0" collapsed="false"/>
    <row r="2" customFormat="false" ht="12.75" hidden="false" customHeight="false" outlineLevel="0" collapsed="false">
      <c r="F2" s="35"/>
      <c r="H2" s="71" t="str">
        <f aca="false">YearHeadings</f>
        <v>6/30/99 or</v>
      </c>
      <c r="I2" s="33" t="str">
        <f aca="false">YearHeadings</f>
        <v>12/31/99 or</v>
      </c>
      <c r="J2" s="34"/>
      <c r="K2" s="35"/>
      <c r="L2" s="35"/>
      <c r="M2" s="35"/>
      <c r="N2" s="35"/>
      <c r="O2" s="35"/>
      <c r="P2" s="35"/>
      <c r="Q2" s="35"/>
      <c r="R2" s="35"/>
      <c r="S2" s="36" t="str">
        <f aca="false">YearHeadings</f>
        <v>Year 10</v>
      </c>
      <c r="U2" s="35"/>
      <c r="V2" s="35"/>
      <c r="W2" s="35"/>
      <c r="X2" s="35"/>
      <c r="AA2" s="37"/>
      <c r="AC2" s="38" t="s">
        <v>13</v>
      </c>
    </row>
    <row r="3" customFormat="false" ht="12.75" hidden="false" customHeight="false" outlineLevel="0" collapsed="false">
      <c r="E3" s="72" t="str">
        <f aca="false">YearHeadings</f>
        <v>1996 </v>
      </c>
      <c r="F3" s="72" t="str">
        <f aca="false">YearHeadings</f>
        <v>1997 </v>
      </c>
      <c r="G3" s="72" t="str">
        <f aca="false">YearHeadings</f>
        <v>1998 </v>
      </c>
      <c r="H3" s="73" t="str">
        <f aca="false">YearHeadings</f>
        <v>6 M/1999 </v>
      </c>
      <c r="I3" s="39" t="str">
        <f aca="false">YearHeadings</f>
        <v>6 M/1999 </v>
      </c>
      <c r="J3" s="40" t="n">
        <f aca="false">YearHeadings</f>
        <v>2000</v>
      </c>
      <c r="K3" s="40" t="n">
        <f aca="false">YearHeadings</f>
        <v>2001</v>
      </c>
      <c r="L3" s="40" t="n">
        <f aca="false">YearHeadings</f>
        <v>2002</v>
      </c>
      <c r="M3" s="40" t="n">
        <f aca="false">YearHeadings</f>
        <v>2003</v>
      </c>
      <c r="N3" s="40" t="n">
        <f aca="false">YearHeadings</f>
        <v>2004</v>
      </c>
      <c r="O3" s="40" t="n">
        <f aca="false">YearHeadings</f>
        <v>2005</v>
      </c>
      <c r="P3" s="40" t="n">
        <f aca="false">YearHeadings</f>
        <v>2006</v>
      </c>
      <c r="Q3" s="40" t="n">
        <f aca="false">YearHeadings</f>
        <v>2007</v>
      </c>
      <c r="R3" s="40" t="n">
        <f aca="false">YearHeadings</f>
        <v>2008</v>
      </c>
      <c r="S3" s="41" t="n">
        <f aca="false">YearHeadings</f>
        <v>2009</v>
      </c>
      <c r="T3" s="40" t="n">
        <f aca="false">YearHeadings</f>
        <v>2010</v>
      </c>
      <c r="U3" s="40" t="n">
        <f aca="false">YearHeadings</f>
        <v>2011</v>
      </c>
      <c r="V3" s="40" t="n">
        <f aca="false">YearHeadings</f>
        <v>2012</v>
      </c>
      <c r="W3" s="40" t="n">
        <f aca="false">YearHeadings</f>
        <v>2013</v>
      </c>
      <c r="X3" s="40" t="n">
        <f aca="false">YearHeadings</f>
        <v>2014</v>
      </c>
      <c r="Y3" s="40" t="n">
        <f aca="false">+X3+1</f>
        <v>2015</v>
      </c>
      <c r="Z3" s="40" t="n">
        <f aca="false">+Y3+1</f>
        <v>2016</v>
      </c>
      <c r="AA3" s="40" t="n">
        <f aca="false">+Z3+1</f>
        <v>2017</v>
      </c>
      <c r="AB3" s="40" t="n">
        <f aca="false">+AA3+1</f>
        <v>2018</v>
      </c>
      <c r="AC3" s="41" t="n">
        <f aca="false">+AB3+1</f>
        <v>2019</v>
      </c>
    </row>
    <row r="4" customFormat="false" ht="12" hidden="false" customHeight="false" outlineLevel="0" collapsed="false">
      <c r="A4" s="74" t="str">
        <f aca="false">+CFMODEL!A4</f>
        <v>Clampett Oil Company</v>
      </c>
    </row>
    <row r="5" customFormat="false" ht="11.25" hidden="false" customHeight="false" outlineLevel="0" collapsed="false">
      <c r="A5" s="4" t="str">
        <f aca="false">+CFMODEL!A5</f>
        <v>SCENARIO:    </v>
      </c>
      <c r="C5" s="75" t="str">
        <f aca="false">+CFMODEL!C5</f>
        <v>BASE</v>
      </c>
      <c r="E5" s="76" t="str">
        <f aca="false">+CFMODEL!E5</f>
        <v>($ in</v>
      </c>
      <c r="F5" s="77" t="str">
        <f aca="false">+CFMODEL!F5&amp;")"</f>
        <v>Thousands)</v>
      </c>
      <c r="G5" s="78"/>
    </row>
    <row r="6" customFormat="false" ht="12" hidden="false" customHeight="false" outlineLevel="0" collapsed="false"/>
    <row r="7" customFormat="false" ht="12.75" hidden="false" customHeight="false" outlineLevel="0" collapsed="false">
      <c r="A7" s="79"/>
      <c r="B7" s="79"/>
      <c r="C7" s="79"/>
      <c r="D7" s="79"/>
      <c r="E7" s="79"/>
      <c r="F7" s="79"/>
      <c r="G7" s="79"/>
      <c r="H7" s="79"/>
      <c r="I7" s="79"/>
      <c r="J7" s="79"/>
      <c r="K7" s="79"/>
      <c r="L7" s="79"/>
      <c r="M7" s="79"/>
      <c r="N7" s="79"/>
      <c r="O7" s="79"/>
      <c r="P7" s="79"/>
      <c r="Q7" s="79"/>
      <c r="R7" s="79"/>
      <c r="S7" s="79"/>
      <c r="T7" s="79"/>
      <c r="U7" s="79"/>
      <c r="V7" s="79"/>
      <c r="W7" s="79"/>
      <c r="X7" s="79"/>
      <c r="Y7" s="79"/>
      <c r="Z7" s="79"/>
      <c r="AA7" s="79"/>
      <c r="AB7" s="79"/>
      <c r="AC7" s="79"/>
    </row>
    <row r="8" customFormat="false" ht="12.75" hidden="false" customHeight="false" outlineLevel="0" collapsed="false">
      <c r="B8" s="80"/>
      <c r="C8" s="80"/>
      <c r="D8" s="80"/>
      <c r="E8" s="80"/>
      <c r="F8" s="80"/>
      <c r="I8" s="81" t="str">
        <f aca="false">+I$3</f>
        <v>6 M/1999 </v>
      </c>
      <c r="J8" s="81" t="n">
        <f aca="false">+J$3</f>
        <v>2000</v>
      </c>
      <c r="K8" s="81" t="n">
        <f aca="false">+K$3</f>
        <v>2001</v>
      </c>
      <c r="L8" s="81" t="n">
        <f aca="false">+L$3</f>
        <v>2002</v>
      </c>
      <c r="M8" s="81" t="n">
        <f aca="false">+M$3</f>
        <v>2003</v>
      </c>
      <c r="N8" s="81" t="n">
        <f aca="false">+N$3</f>
        <v>2004</v>
      </c>
      <c r="O8" s="81" t="n">
        <f aca="false">+O$3</f>
        <v>2005</v>
      </c>
      <c r="P8" s="81" t="n">
        <f aca="false">+P$3</f>
        <v>2006</v>
      </c>
      <c r="Q8" s="81" t="n">
        <f aca="false">+Q$3</f>
        <v>2007</v>
      </c>
      <c r="R8" s="81" t="n">
        <f aca="false">+R$3</f>
        <v>2008</v>
      </c>
      <c r="S8" s="81" t="n">
        <f aca="false">+S$3</f>
        <v>2009</v>
      </c>
      <c r="T8" s="81" t="n">
        <f aca="false">+T$3</f>
        <v>2010</v>
      </c>
      <c r="U8" s="81" t="n">
        <f aca="false">+U$3</f>
        <v>2011</v>
      </c>
      <c r="V8" s="81" t="n">
        <f aca="false">+V$3</f>
        <v>2012</v>
      </c>
      <c r="W8" s="81" t="n">
        <f aca="false">+W$3</f>
        <v>2013</v>
      </c>
      <c r="X8" s="81" t="n">
        <f aca="false">+X$3</f>
        <v>2014</v>
      </c>
      <c r="Y8" s="81" t="n">
        <f aca="false">+Y$3</f>
        <v>2015</v>
      </c>
      <c r="Z8" s="81" t="n">
        <f aca="false">+Z$3</f>
        <v>2016</v>
      </c>
      <c r="AA8" s="81" t="n">
        <f aca="false">+AA$3</f>
        <v>2017</v>
      </c>
      <c r="AB8" s="81" t="n">
        <f aca="false">+AB$3</f>
        <v>2018</v>
      </c>
      <c r="AC8" s="81" t="n">
        <f aca="false">+AC$3</f>
        <v>2019</v>
      </c>
    </row>
    <row r="9" customFormat="false" ht="12" hidden="false" customHeight="false" outlineLevel="0" collapsed="false">
      <c r="A9" s="82" t="s">
        <v>142</v>
      </c>
    </row>
    <row r="10" customFormat="false" ht="11.25" hidden="false" customHeight="false" outlineLevel="0" collapsed="false">
      <c r="B10" s="12" t="s">
        <v>143</v>
      </c>
      <c r="I10" s="83" t="e">
        <f aca="false">+I377</f>
        <v>#N/A</v>
      </c>
      <c r="J10" s="83" t="str">
        <f aca="false">+J377</f>
        <v>NA</v>
      </c>
      <c r="K10" s="83" t="str">
        <f aca="false">+K377</f>
        <v>NA</v>
      </c>
      <c r="L10" s="83" t="str">
        <f aca="false">+L377</f>
        <v>NA</v>
      </c>
      <c r="M10" s="83" t="str">
        <f aca="false">+M377</f>
        <v>NA</v>
      </c>
      <c r="N10" s="83" t="str">
        <f aca="false">+N377</f>
        <v>NA</v>
      </c>
      <c r="O10" s="83" t="str">
        <f aca="false">+O377</f>
        <v>NA</v>
      </c>
      <c r="P10" s="83" t="str">
        <f aca="false">+P377</f>
        <v>NA</v>
      </c>
      <c r="Q10" s="83" t="str">
        <f aca="false">+Q377</f>
        <v>NA</v>
      </c>
      <c r="R10" s="83" t="str">
        <f aca="false">+R377</f>
        <v>NA</v>
      </c>
      <c r="S10" s="83" t="str">
        <f aca="false">+S377</f>
        <v>NA</v>
      </c>
      <c r="T10" s="83" t="str">
        <f aca="false">+T377</f>
        <v>NA</v>
      </c>
      <c r="U10" s="83" t="str">
        <f aca="false">+U377</f>
        <v>NA</v>
      </c>
      <c r="V10" s="83" t="str">
        <f aca="false">+V377</f>
        <v>NA</v>
      </c>
      <c r="W10" s="83" t="str">
        <f aca="false">+W377</f>
        <v>NA</v>
      </c>
      <c r="X10" s="83" t="str">
        <f aca="false">+X377</f>
        <v>NA</v>
      </c>
      <c r="Y10" s="83" t="str">
        <f aca="false">+Y377</f>
        <v>NA</v>
      </c>
      <c r="Z10" s="83" t="str">
        <f aca="false">+Z377</f>
        <v>NA</v>
      </c>
      <c r="AA10" s="83" t="str">
        <f aca="false">+AA377</f>
        <v>NA</v>
      </c>
      <c r="AB10" s="83" t="str">
        <f aca="false">+AB377</f>
        <v>NA</v>
      </c>
      <c r="AC10" s="83" t="str">
        <f aca="false">+AC377</f>
        <v>NA</v>
      </c>
    </row>
    <row r="11" customFormat="false" ht="11.25" hidden="false" customHeight="false" outlineLevel="0" collapsed="false">
      <c r="B11" s="12" t="s">
        <v>144</v>
      </c>
      <c r="I11" s="84" t="n">
        <v>0.6</v>
      </c>
      <c r="J11" s="84" t="n">
        <f aca="false">I11</f>
        <v>0.6</v>
      </c>
      <c r="K11" s="84" t="n">
        <f aca="false">J11</f>
        <v>0.6</v>
      </c>
      <c r="L11" s="84" t="n">
        <f aca="false">K11</f>
        <v>0.6</v>
      </c>
      <c r="M11" s="84" t="n">
        <f aca="false">L11</f>
        <v>0.6</v>
      </c>
      <c r="N11" s="84" t="n">
        <f aca="false">M11</f>
        <v>0.6</v>
      </c>
      <c r="O11" s="84" t="n">
        <f aca="false">N11</f>
        <v>0.6</v>
      </c>
      <c r="P11" s="84" t="n">
        <f aca="false">O11</f>
        <v>0.6</v>
      </c>
      <c r="Q11" s="84" t="n">
        <f aca="false">P11</f>
        <v>0.6</v>
      </c>
      <c r="R11" s="84" t="n">
        <f aca="false">Q11</f>
        <v>0.6</v>
      </c>
      <c r="S11" s="84" t="n">
        <f aca="false">R11</f>
        <v>0.6</v>
      </c>
      <c r="T11" s="84" t="n">
        <f aca="false">S11</f>
        <v>0.6</v>
      </c>
      <c r="U11" s="84" t="n">
        <f aca="false">T11</f>
        <v>0.6</v>
      </c>
      <c r="V11" s="84" t="n">
        <f aca="false">U11</f>
        <v>0.6</v>
      </c>
      <c r="W11" s="84" t="n">
        <f aca="false">V11</f>
        <v>0.6</v>
      </c>
      <c r="X11" s="84" t="n">
        <f aca="false">W11</f>
        <v>0.6</v>
      </c>
      <c r="Y11" s="84" t="n">
        <f aca="false">X11</f>
        <v>0.6</v>
      </c>
      <c r="Z11" s="84" t="n">
        <f aca="false">Y11</f>
        <v>0.6</v>
      </c>
      <c r="AA11" s="84" t="n">
        <f aca="false">Z11</f>
        <v>0.6</v>
      </c>
      <c r="AB11" s="84" t="n">
        <f aca="false">AA11</f>
        <v>0.6</v>
      </c>
      <c r="AC11" s="84" t="n">
        <f aca="false">AB11</f>
        <v>0.6</v>
      </c>
    </row>
    <row r="12" customFormat="false" ht="11.25" hidden="false" customHeight="false" outlineLevel="0" collapsed="false">
      <c r="B12" s="12" t="s">
        <v>145</v>
      </c>
      <c r="I12" s="85" t="n">
        <f aca="false">+I11/(1-I11)</f>
        <v>1.5</v>
      </c>
      <c r="J12" s="85" t="n">
        <f aca="false">+J11/(1-J11)</f>
        <v>1.5</v>
      </c>
      <c r="K12" s="85" t="n">
        <f aca="false">+K11/(1-K11)</f>
        <v>1.5</v>
      </c>
      <c r="L12" s="85" t="n">
        <f aca="false">+L11/(1-L11)</f>
        <v>1.5</v>
      </c>
      <c r="M12" s="85" t="n">
        <f aca="false">+M11/(1-M11)</f>
        <v>1.5</v>
      </c>
      <c r="N12" s="85" t="n">
        <f aca="false">+N11/(1-N11)</f>
        <v>1.5</v>
      </c>
      <c r="O12" s="85" t="n">
        <f aca="false">+O11/(1-O11)</f>
        <v>1.5</v>
      </c>
      <c r="P12" s="85" t="n">
        <f aca="false">+P11/(1-P11)</f>
        <v>1.5</v>
      </c>
      <c r="Q12" s="85" t="n">
        <f aca="false">+Q11/(1-Q11)</f>
        <v>1.5</v>
      </c>
      <c r="R12" s="85" t="n">
        <f aca="false">+R11/(1-R11)</f>
        <v>1.5</v>
      </c>
      <c r="S12" s="85" t="n">
        <f aca="false">+S11/(1-S11)</f>
        <v>1.5</v>
      </c>
      <c r="T12" s="85" t="n">
        <f aca="false">+T11/(1-T11)</f>
        <v>1.5</v>
      </c>
      <c r="U12" s="85" t="n">
        <f aca="false">+U11/(1-U11)</f>
        <v>1.5</v>
      </c>
      <c r="V12" s="85" t="n">
        <f aca="false">+V11/(1-V11)</f>
        <v>1.5</v>
      </c>
      <c r="W12" s="85" t="n">
        <f aca="false">+W11/(1-W11)</f>
        <v>1.5</v>
      </c>
      <c r="X12" s="85" t="n">
        <f aca="false">+X11/(1-X11)</f>
        <v>1.5</v>
      </c>
      <c r="Y12" s="85" t="n">
        <f aca="false">+Y11/(1-Y11)</f>
        <v>1.5</v>
      </c>
      <c r="Z12" s="85" t="n">
        <f aca="false">+Z11/(1-Z11)</f>
        <v>1.5</v>
      </c>
      <c r="AA12" s="85" t="n">
        <f aca="false">+AA11/(1-AA11)</f>
        <v>1.5</v>
      </c>
      <c r="AB12" s="85" t="n">
        <f aca="false">+AB11/(1-AB11)</f>
        <v>1.5</v>
      </c>
      <c r="AC12" s="85" t="n">
        <f aca="false">+AC11/(1-AC11)</f>
        <v>1.5</v>
      </c>
    </row>
    <row r="13" customFormat="false" ht="11.25" hidden="false" customHeight="false" outlineLevel="0" collapsed="false">
      <c r="B13" s="12" t="s">
        <v>146</v>
      </c>
      <c r="E13" s="12" t="s">
        <v>147</v>
      </c>
      <c r="F13" s="86" t="n">
        <v>0.5</v>
      </c>
      <c r="I13" s="12" t="n">
        <v>10000</v>
      </c>
      <c r="J13" s="12" t="n">
        <v>10000</v>
      </c>
      <c r="K13" s="12" t="n">
        <v>10000</v>
      </c>
      <c r="L13" s="12" t="n">
        <v>10000</v>
      </c>
      <c r="M13" s="12" t="n">
        <v>10000</v>
      </c>
      <c r="N13" s="12" t="n">
        <v>10000</v>
      </c>
      <c r="O13" s="12" t="n">
        <v>10000</v>
      </c>
      <c r="P13" s="12" t="n">
        <v>10000</v>
      </c>
      <c r="Q13" s="12" t="n">
        <v>10000</v>
      </c>
      <c r="R13" s="12" t="n">
        <v>10000</v>
      </c>
      <c r="S13" s="12" t="n">
        <v>10000</v>
      </c>
      <c r="T13" s="12" t="n">
        <v>10000</v>
      </c>
      <c r="U13" s="12" t="n">
        <v>10000</v>
      </c>
      <c r="V13" s="12" t="n">
        <v>10000</v>
      </c>
      <c r="W13" s="12" t="n">
        <v>10000</v>
      </c>
      <c r="X13" s="12" t="n">
        <v>10000</v>
      </c>
      <c r="Y13" s="12" t="n">
        <v>10000</v>
      </c>
      <c r="Z13" s="12" t="n">
        <v>10000</v>
      </c>
      <c r="AA13" s="12" t="n">
        <v>10000</v>
      </c>
      <c r="AB13" s="12" t="n">
        <v>10000</v>
      </c>
      <c r="AC13" s="12" t="n">
        <v>10000</v>
      </c>
    </row>
    <row r="14" customFormat="false" ht="11.25" hidden="false" customHeight="false" outlineLevel="0" collapsed="false">
      <c r="F14" s="87"/>
    </row>
    <row r="15" customFormat="false" ht="11.25" hidden="false" customHeight="false" outlineLevel="0" collapsed="false">
      <c r="B15" s="12" t="s">
        <v>148</v>
      </c>
      <c r="I15" s="88" t="e">
        <f aca="false">+I380</f>
        <v>#N/A</v>
      </c>
      <c r="J15" s="88" t="e">
        <f aca="false">+J380</f>
        <v>#N/A</v>
      </c>
      <c r="K15" s="88" t="e">
        <f aca="false">+K380</f>
        <v>#N/A</v>
      </c>
      <c r="L15" s="88" t="e">
        <f aca="false">+L380</f>
        <v>#N/A</v>
      </c>
      <c r="M15" s="88" t="e">
        <f aca="false">+M380</f>
        <v>#N/A</v>
      </c>
      <c r="N15" s="88" t="e">
        <f aca="false">+N380</f>
        <v>#N/A</v>
      </c>
      <c r="O15" s="88" t="e">
        <f aca="false">+O380</f>
        <v>#N/A</v>
      </c>
      <c r="P15" s="88" t="e">
        <f aca="false">+P380</f>
        <v>#N/A</v>
      </c>
      <c r="Q15" s="88" t="e">
        <f aca="false">+Q380</f>
        <v>#N/A</v>
      </c>
      <c r="R15" s="88" t="e">
        <f aca="false">+R380</f>
        <v>#N/A</v>
      </c>
      <c r="S15" s="88" t="e">
        <f aca="false">+S380</f>
        <v>#N/A</v>
      </c>
      <c r="T15" s="88" t="e">
        <f aca="false">+T380</f>
        <v>#N/A</v>
      </c>
      <c r="U15" s="88" t="e">
        <f aca="false">+U380</f>
        <v>#N/A</v>
      </c>
      <c r="V15" s="88" t="e">
        <f aca="false">+V380</f>
        <v>#N/A</v>
      </c>
      <c r="W15" s="88" t="e">
        <f aca="false">+W380</f>
        <v>#N/A</v>
      </c>
      <c r="X15" s="88" t="e">
        <f aca="false">+X380</f>
        <v>#N/A</v>
      </c>
      <c r="Y15" s="88" t="e">
        <f aca="false">+Y380</f>
        <v>#N/A</v>
      </c>
      <c r="Z15" s="88" t="e">
        <f aca="false">+Z380</f>
        <v>#N/A</v>
      </c>
      <c r="AA15" s="88" t="e">
        <f aca="false">+AA380</f>
        <v>#N/A</v>
      </c>
      <c r="AB15" s="88" t="e">
        <f aca="false">+AB380</f>
        <v>#N/A</v>
      </c>
      <c r="AC15" s="88" t="e">
        <f aca="false">+AC380</f>
        <v>#N/A</v>
      </c>
    </row>
    <row r="16" customFormat="false" ht="11.25" hidden="false" customHeight="false" outlineLevel="0" collapsed="false">
      <c r="B16" s="12" t="s">
        <v>149</v>
      </c>
      <c r="I16" s="89" t="n">
        <v>0.5</v>
      </c>
      <c r="J16" s="89" t="n">
        <f aca="false">+I16</f>
        <v>0.5</v>
      </c>
      <c r="K16" s="89" t="n">
        <f aca="false">+J16</f>
        <v>0.5</v>
      </c>
      <c r="L16" s="89" t="n">
        <f aca="false">+K16</f>
        <v>0.5</v>
      </c>
      <c r="M16" s="89" t="n">
        <f aca="false">+L16</f>
        <v>0.5</v>
      </c>
      <c r="N16" s="89" t="n">
        <f aca="false">+M16</f>
        <v>0.5</v>
      </c>
      <c r="O16" s="89" t="n">
        <f aca="false">+N16</f>
        <v>0.5</v>
      </c>
      <c r="P16" s="89" t="n">
        <f aca="false">+O16</f>
        <v>0.5</v>
      </c>
      <c r="Q16" s="89" t="n">
        <f aca="false">+P16</f>
        <v>0.5</v>
      </c>
      <c r="R16" s="89" t="n">
        <f aca="false">+Q16</f>
        <v>0.5</v>
      </c>
      <c r="S16" s="89" t="n">
        <f aca="false">+R16</f>
        <v>0.5</v>
      </c>
      <c r="T16" s="89" t="n">
        <f aca="false">+S16</f>
        <v>0.5</v>
      </c>
      <c r="U16" s="89" t="n">
        <f aca="false">+T16</f>
        <v>0.5</v>
      </c>
      <c r="V16" s="89" t="n">
        <f aca="false">+U16</f>
        <v>0.5</v>
      </c>
      <c r="W16" s="89" t="n">
        <f aca="false">+V16</f>
        <v>0.5</v>
      </c>
      <c r="X16" s="89" t="n">
        <f aca="false">+W16</f>
        <v>0.5</v>
      </c>
      <c r="Y16" s="89" t="n">
        <f aca="false">+X16</f>
        <v>0.5</v>
      </c>
      <c r="Z16" s="89" t="n">
        <f aca="false">+Y16</f>
        <v>0.5</v>
      </c>
      <c r="AA16" s="89" t="n">
        <f aca="false">+Z16</f>
        <v>0.5</v>
      </c>
      <c r="AB16" s="89" t="n">
        <f aca="false">+AA16</f>
        <v>0.5</v>
      </c>
      <c r="AC16" s="89" t="n">
        <f aca="false">+AB16</f>
        <v>0.5</v>
      </c>
    </row>
    <row r="17" customFormat="false" ht="11.25" hidden="false" customHeight="false" outlineLevel="0" collapsed="false">
      <c r="B17" s="12" t="s">
        <v>150</v>
      </c>
      <c r="I17" s="88" t="e">
        <f aca="false">+I16*I15</f>
        <v>#N/A</v>
      </c>
      <c r="J17" s="88" t="e">
        <f aca="false">+J16*J15</f>
        <v>#N/A</v>
      </c>
      <c r="K17" s="88" t="e">
        <f aca="false">+K16*K15</f>
        <v>#N/A</v>
      </c>
      <c r="L17" s="88" t="e">
        <f aca="false">+L16*L15</f>
        <v>#N/A</v>
      </c>
      <c r="M17" s="88" t="e">
        <f aca="false">+M16*M15</f>
        <v>#N/A</v>
      </c>
      <c r="N17" s="88" t="e">
        <f aca="false">+N16*N15</f>
        <v>#N/A</v>
      </c>
      <c r="O17" s="88" t="e">
        <f aca="false">+O16*O15</f>
        <v>#N/A</v>
      </c>
      <c r="P17" s="88" t="e">
        <f aca="false">+P16*P15</f>
        <v>#N/A</v>
      </c>
      <c r="Q17" s="88" t="e">
        <f aca="false">+Q16*Q15</f>
        <v>#N/A</v>
      </c>
      <c r="R17" s="88" t="e">
        <f aca="false">+R16*R15</f>
        <v>#N/A</v>
      </c>
      <c r="S17" s="88" t="e">
        <f aca="false">+S16*S15</f>
        <v>#N/A</v>
      </c>
      <c r="T17" s="88" t="e">
        <f aca="false">+T16*T15</f>
        <v>#N/A</v>
      </c>
      <c r="U17" s="88" t="e">
        <f aca="false">+U16*U15</f>
        <v>#N/A</v>
      </c>
      <c r="V17" s="88" t="e">
        <f aca="false">+V16*V15</f>
        <v>#N/A</v>
      </c>
      <c r="W17" s="88" t="e">
        <f aca="false">+W16*W15</f>
        <v>#N/A</v>
      </c>
      <c r="X17" s="88" t="e">
        <f aca="false">+X16*X15</f>
        <v>#N/A</v>
      </c>
      <c r="Y17" s="88" t="e">
        <f aca="false">+Y16*Y15</f>
        <v>#N/A</v>
      </c>
      <c r="Z17" s="88" t="e">
        <f aca="false">+Z16*Z15</f>
        <v>#N/A</v>
      </c>
      <c r="AA17" s="88" t="e">
        <f aca="false">+AA16*AA15</f>
        <v>#N/A</v>
      </c>
      <c r="AB17" s="88" t="e">
        <f aca="false">+AB16*AB15</f>
        <v>#N/A</v>
      </c>
      <c r="AC17" s="88" t="e">
        <f aca="false">+AC16*AC15</f>
        <v>#N/A</v>
      </c>
    </row>
    <row r="18" customFormat="false" ht="11.25" hidden="false" customHeight="false" outlineLevel="0" collapsed="false">
      <c r="I18" s="88"/>
      <c r="J18" s="88"/>
      <c r="K18" s="88"/>
      <c r="L18" s="88"/>
      <c r="M18" s="88"/>
      <c r="N18" s="88"/>
      <c r="O18" s="88"/>
      <c r="P18" s="88"/>
      <c r="Q18" s="88"/>
      <c r="R18" s="88"/>
      <c r="S18" s="88"/>
      <c r="T18" s="88"/>
      <c r="U18" s="88"/>
      <c r="V18" s="88"/>
      <c r="W18" s="88"/>
      <c r="X18" s="88"/>
      <c r="Y18" s="88"/>
      <c r="Z18" s="88"/>
      <c r="AA18" s="88"/>
      <c r="AB18" s="88"/>
      <c r="AC18" s="88"/>
    </row>
    <row r="19" customFormat="false" ht="11.25" hidden="false" customHeight="false" outlineLevel="0" collapsed="false">
      <c r="B19" s="43" t="s">
        <v>151</v>
      </c>
      <c r="I19" s="88" t="e">
        <f aca="false">+EP!I820</f>
        <v>#N/A</v>
      </c>
      <c r="J19" s="88" t="e">
        <f aca="false">+EP!J820</f>
        <v>#N/A</v>
      </c>
      <c r="K19" s="88" t="e">
        <f aca="false">+EP!K820</f>
        <v>#N/A</v>
      </c>
      <c r="L19" s="88" t="e">
        <f aca="false">+EP!L820</f>
        <v>#N/A</v>
      </c>
      <c r="M19" s="88" t="e">
        <f aca="false">+EP!M820</f>
        <v>#N/A</v>
      </c>
      <c r="N19" s="88" t="e">
        <f aca="false">+EP!N820</f>
        <v>#N/A</v>
      </c>
      <c r="O19" s="88" t="e">
        <f aca="false">+EP!O820</f>
        <v>#N/A</v>
      </c>
      <c r="P19" s="88" t="e">
        <f aca="false">+EP!P820</f>
        <v>#N/A</v>
      </c>
      <c r="Q19" s="88" t="e">
        <f aca="false">+EP!Q820</f>
        <v>#N/A</v>
      </c>
      <c r="R19" s="88" t="e">
        <f aca="false">+EP!R820</f>
        <v>#N/A</v>
      </c>
      <c r="S19" s="88" t="e">
        <f aca="false">+EP!S820</f>
        <v>#N/A</v>
      </c>
      <c r="T19" s="88" t="e">
        <f aca="false">+EP!T820</f>
        <v>#N/A</v>
      </c>
      <c r="U19" s="88" t="e">
        <f aca="false">+EP!U820</f>
        <v>#N/A</v>
      </c>
      <c r="V19" s="88" t="e">
        <f aca="false">+EP!V820</f>
        <v>#N/A</v>
      </c>
      <c r="W19" s="88" t="e">
        <f aca="false">+EP!W820</f>
        <v>#N/A</v>
      </c>
      <c r="X19" s="88" t="e">
        <f aca="false">+EP!X820</f>
        <v>#N/A</v>
      </c>
      <c r="Y19" s="88" t="e">
        <f aca="false">+EP!Y820</f>
        <v>#N/A</v>
      </c>
      <c r="Z19" s="88" t="e">
        <f aca="false">+EP!Z820</f>
        <v>#N/A</v>
      </c>
      <c r="AA19" s="88" t="e">
        <f aca="false">+EP!AA820</f>
        <v>#N/A</v>
      </c>
      <c r="AB19" s="88" t="e">
        <f aca="false">+EP!AB820</f>
        <v>#N/A</v>
      </c>
      <c r="AC19" s="88" t="e">
        <f aca="false">+EP!AC820</f>
        <v>#N/A</v>
      </c>
    </row>
    <row r="20" customFormat="false" ht="11.25" hidden="false" customHeight="false" outlineLevel="0" collapsed="false">
      <c r="B20" s="43" t="s">
        <v>152</v>
      </c>
      <c r="I20" s="90" t="str">
        <f aca="false">IF(ISERR(I378/I19),"NA",I378/I19)</f>
        <v>NA</v>
      </c>
      <c r="J20" s="90" t="str">
        <f aca="false">IF(ISERR(J378/J19),"NA",J378/J19)</f>
        <v>NA</v>
      </c>
      <c r="K20" s="90" t="str">
        <f aca="false">IF(ISERR(K378/K19),"NA",K378/K19)</f>
        <v>NA</v>
      </c>
      <c r="L20" s="90" t="str">
        <f aca="false">IF(ISERR(L378/L19),"NA",L378/L19)</f>
        <v>NA</v>
      </c>
      <c r="M20" s="90" t="str">
        <f aca="false">IF(ISERR(M378/M19),"NA",M378/M19)</f>
        <v>NA</v>
      </c>
      <c r="N20" s="91" t="str">
        <f aca="false">IF(ISERR(N378/N19),"NA",N378/N19)</f>
        <v>NA</v>
      </c>
      <c r="O20" s="90" t="str">
        <f aca="false">IF(ISERR(O378/O19),"NA",O378/O19)</f>
        <v>NA</v>
      </c>
      <c r="P20" s="90" t="str">
        <f aca="false">IF(ISERR(P378/P19),"NA",P378/P19)</f>
        <v>NA</v>
      </c>
      <c r="Q20" s="90" t="str">
        <f aca="false">IF(ISERR(Q378/Q19),"NA",Q378/Q19)</f>
        <v>NA</v>
      </c>
      <c r="R20" s="90" t="str">
        <f aca="false">IF(ISERR(R378/R19),"NA",R378/R19)</f>
        <v>NA</v>
      </c>
      <c r="S20" s="90" t="str">
        <f aca="false">IF(ISERR(S378/S19),"NA",S378/S19)</f>
        <v>NA</v>
      </c>
      <c r="T20" s="90" t="str">
        <f aca="false">IF(ISERR(T378/T19),"NA",T378/T19)</f>
        <v>NA</v>
      </c>
      <c r="U20" s="90" t="str">
        <f aca="false">IF(ISERR(U378/U19),"NA",U378/U19)</f>
        <v>NA</v>
      </c>
      <c r="V20" s="90" t="str">
        <f aca="false">IF(ISERR(V378/V19),"NA",V378/V19)</f>
        <v>NA</v>
      </c>
      <c r="W20" s="90" t="str">
        <f aca="false">IF(ISERR(W378/W19),"NA",W378/W19)</f>
        <v>NA</v>
      </c>
      <c r="X20" s="90" t="str">
        <f aca="false">IF(ISERR(X378/X19),"NA",X378/X19)</f>
        <v>NA</v>
      </c>
      <c r="Y20" s="90" t="str">
        <f aca="false">IF(ISERR(Y378/Y19),"NA",Y378/Y19)</f>
        <v>NA</v>
      </c>
      <c r="Z20" s="90" t="str">
        <f aca="false">IF(ISERR(Z378/Z19),"NA",Z378/Z19)</f>
        <v>NA</v>
      </c>
      <c r="AA20" s="90" t="str">
        <f aca="false">IF(ISERR(AA378/AA19),"NA",AA378/AA19)</f>
        <v>NA</v>
      </c>
      <c r="AB20" s="90" t="str">
        <f aca="false">IF(ISERR(AB378/AB19),"NA",AB378/AB19)</f>
        <v>NA</v>
      </c>
      <c r="AC20" s="90" t="str">
        <f aca="false">IF(ISERR(AC378/AC19),"NA",AC378/AC19)</f>
        <v>NA</v>
      </c>
    </row>
    <row r="23" customFormat="false" ht="11.25" hidden="false" customHeight="false" outlineLevel="0" collapsed="false">
      <c r="B23" s="92" t="s">
        <v>153</v>
      </c>
      <c r="I23" s="93" t="e">
        <f aca="false">MAX(I17,I13)</f>
        <v>#N/A</v>
      </c>
      <c r="J23" s="93" t="e">
        <f aca="false">MAX(J17,J13)</f>
        <v>#N/A</v>
      </c>
      <c r="K23" s="93" t="e">
        <f aca="false">MAX(K17,K13)</f>
        <v>#N/A</v>
      </c>
      <c r="L23" s="93" t="e">
        <f aca="false">MAX(L17,L13)</f>
        <v>#N/A</v>
      </c>
      <c r="M23" s="93" t="e">
        <f aca="false">MAX(M17,M13)</f>
        <v>#N/A</v>
      </c>
      <c r="N23" s="93" t="e">
        <f aca="false">MAX(N17,N13)</f>
        <v>#N/A</v>
      </c>
      <c r="O23" s="93" t="e">
        <f aca="false">MAX(O17,O13)</f>
        <v>#N/A</v>
      </c>
      <c r="P23" s="93" t="e">
        <f aca="false">MAX(P17,P13)</f>
        <v>#N/A</v>
      </c>
      <c r="Q23" s="93" t="e">
        <f aca="false">MAX(Q17,Q13)</f>
        <v>#N/A</v>
      </c>
      <c r="R23" s="93" t="e">
        <f aca="false">MAX(R17,R13)</f>
        <v>#N/A</v>
      </c>
      <c r="S23" s="93" t="e">
        <f aca="false">MAX(S17,S13)</f>
        <v>#N/A</v>
      </c>
      <c r="T23" s="93" t="e">
        <f aca="false">MAX(T17,T13)</f>
        <v>#N/A</v>
      </c>
      <c r="U23" s="93" t="e">
        <f aca="false">MAX(U17,U13)</f>
        <v>#N/A</v>
      </c>
      <c r="V23" s="93" t="e">
        <f aca="false">MAX(V17,V13)</f>
        <v>#N/A</v>
      </c>
      <c r="W23" s="93" t="e">
        <f aca="false">MAX(W17,W13)</f>
        <v>#N/A</v>
      </c>
      <c r="X23" s="93" t="e">
        <f aca="false">MAX(X17,X13)</f>
        <v>#N/A</v>
      </c>
      <c r="Y23" s="93" t="e">
        <f aca="false">MAX(Y17,Y13)</f>
        <v>#N/A</v>
      </c>
      <c r="Z23" s="93" t="e">
        <f aca="false">MAX(Z17,Z13)</f>
        <v>#N/A</v>
      </c>
      <c r="AA23" s="93" t="e">
        <f aca="false">MAX(AA17,AA13)</f>
        <v>#N/A</v>
      </c>
      <c r="AB23" s="93" t="e">
        <f aca="false">MAX(AB17,AB13)</f>
        <v>#N/A</v>
      </c>
      <c r="AC23" s="93" t="e">
        <f aca="false">MAX(AC17,AC13)</f>
        <v>#N/A</v>
      </c>
    </row>
    <row r="24" customFormat="false" ht="11.25" hidden="false" customHeight="false" outlineLevel="0" collapsed="false">
      <c r="G24" s="88"/>
    </row>
    <row r="25" customFormat="false" ht="11.25" hidden="false" customHeight="false" outlineLevel="0" collapsed="false">
      <c r="G25" s="88"/>
    </row>
    <row r="26" customFormat="false" ht="11.25" hidden="false" customHeight="false" outlineLevel="0" collapsed="false">
      <c r="G26" s="88"/>
    </row>
    <row r="27" customFormat="false" ht="11.25" hidden="false" customHeight="false" outlineLevel="0" collapsed="false">
      <c r="G27" s="88"/>
    </row>
    <row r="28" customFormat="false" ht="11.25" hidden="false" customHeight="false" outlineLevel="0" collapsed="false">
      <c r="B28" s="43" t="s">
        <v>154</v>
      </c>
    </row>
    <row r="29" customFormat="false" ht="11.25" hidden="false" customHeight="false" outlineLevel="0" collapsed="false">
      <c r="B29" s="94" t="s">
        <v>155</v>
      </c>
      <c r="C29" s="94"/>
      <c r="D29" s="94"/>
      <c r="E29" s="94"/>
      <c r="H29" s="65" t="s">
        <v>156</v>
      </c>
      <c r="I29" s="95" t="n">
        <v>4.653</v>
      </c>
      <c r="J29" s="96" t="n">
        <f aca="false">+I29</f>
        <v>4.653</v>
      </c>
      <c r="K29" s="96" t="n">
        <f aca="false">+J29</f>
        <v>4.653</v>
      </c>
      <c r="L29" s="96" t="n">
        <f aca="false">+K29</f>
        <v>4.653</v>
      </c>
      <c r="M29" s="96" t="n">
        <f aca="false">+L29</f>
        <v>4.653</v>
      </c>
      <c r="N29" s="96" t="n">
        <f aca="false">+M29</f>
        <v>4.653</v>
      </c>
      <c r="O29" s="96" t="n">
        <f aca="false">+N29</f>
        <v>4.653</v>
      </c>
      <c r="P29" s="96" t="n">
        <f aca="false">+O29</f>
        <v>4.653</v>
      </c>
      <c r="Q29" s="96" t="n">
        <f aca="false">+P29</f>
        <v>4.653</v>
      </c>
      <c r="R29" s="96" t="n">
        <f aca="false">+Q29</f>
        <v>4.653</v>
      </c>
      <c r="S29" s="96" t="n">
        <f aca="false">+R29</f>
        <v>4.653</v>
      </c>
      <c r="T29" s="96" t="n">
        <f aca="false">+S29</f>
        <v>4.653</v>
      </c>
      <c r="U29" s="96" t="n">
        <f aca="false">+T29</f>
        <v>4.653</v>
      </c>
      <c r="V29" s="96" t="n">
        <f aca="false">+U29</f>
        <v>4.653</v>
      </c>
      <c r="W29" s="96" t="n">
        <f aca="false">+V29</f>
        <v>4.653</v>
      </c>
      <c r="X29" s="96" t="n">
        <f aca="false">+W29</f>
        <v>4.653</v>
      </c>
      <c r="Y29" s="96" t="n">
        <f aca="false">+X29</f>
        <v>4.653</v>
      </c>
      <c r="Z29" s="96" t="n">
        <f aca="false">+Y29</f>
        <v>4.653</v>
      </c>
      <c r="AA29" s="96" t="n">
        <f aca="false">+Z29</f>
        <v>4.653</v>
      </c>
      <c r="AB29" s="96" t="n">
        <f aca="false">+AA29</f>
        <v>4.653</v>
      </c>
      <c r="AC29" s="96" t="n">
        <f aca="false">+AB29</f>
        <v>4.653</v>
      </c>
    </row>
    <row r="30" customFormat="false" ht="11.25" hidden="false" customHeight="false" outlineLevel="0" collapsed="false">
      <c r="B30" s="97" t="s">
        <v>157</v>
      </c>
      <c r="C30" s="97" t="s">
        <v>158</v>
      </c>
      <c r="D30" s="97" t="s">
        <v>159</v>
      </c>
      <c r="E30" s="98" t="s">
        <v>160</v>
      </c>
      <c r="H30" s="65" t="s">
        <v>161</v>
      </c>
      <c r="I30" s="99" t="n">
        <v>1</v>
      </c>
      <c r="J30" s="99" t="n">
        <v>1</v>
      </c>
      <c r="K30" s="99" t="n">
        <v>1</v>
      </c>
      <c r="L30" s="99" t="n">
        <v>1</v>
      </c>
      <c r="M30" s="99" t="n">
        <v>1</v>
      </c>
      <c r="N30" s="99" t="n">
        <v>1</v>
      </c>
      <c r="O30" s="99" t="n">
        <v>1</v>
      </c>
      <c r="P30" s="99" t="n">
        <v>1</v>
      </c>
      <c r="Q30" s="99" t="n">
        <v>1</v>
      </c>
      <c r="R30" s="99" t="n">
        <v>1</v>
      </c>
      <c r="S30" s="99" t="n">
        <v>1</v>
      </c>
      <c r="T30" s="99" t="n">
        <v>1</v>
      </c>
      <c r="U30" s="99" t="n">
        <v>1</v>
      </c>
      <c r="V30" s="99" t="n">
        <v>1</v>
      </c>
      <c r="W30" s="99" t="n">
        <v>1</v>
      </c>
      <c r="X30" s="99" t="n">
        <v>1</v>
      </c>
      <c r="Y30" s="99" t="n">
        <v>1</v>
      </c>
      <c r="Z30" s="99" t="n">
        <v>1</v>
      </c>
      <c r="AA30" s="99" t="n">
        <v>1</v>
      </c>
      <c r="AB30" s="99" t="n">
        <v>1</v>
      </c>
      <c r="AC30" s="99" t="n">
        <v>1</v>
      </c>
    </row>
    <row r="31" customFormat="false" ht="11.25" hidden="false" customHeight="false" outlineLevel="0" collapsed="false">
      <c r="B31" s="100" t="s">
        <v>162</v>
      </c>
      <c r="C31" s="100"/>
      <c r="D31" s="100"/>
      <c r="E31" s="100"/>
      <c r="H31" s="65" t="s">
        <v>163</v>
      </c>
      <c r="I31" s="101" t="n">
        <f aca="false">+I30*I29</f>
        <v>4.653</v>
      </c>
      <c r="J31" s="101" t="n">
        <f aca="false">+J30*J29</f>
        <v>4.653</v>
      </c>
      <c r="K31" s="101" t="n">
        <f aca="false">+K30*K29</f>
        <v>4.653</v>
      </c>
      <c r="L31" s="101" t="n">
        <f aca="false">+L30*L29</f>
        <v>4.653</v>
      </c>
      <c r="M31" s="101" t="n">
        <f aca="false">+M30*M29</f>
        <v>4.653</v>
      </c>
      <c r="N31" s="101" t="n">
        <f aca="false">+N30*N29</f>
        <v>4.653</v>
      </c>
      <c r="O31" s="101" t="n">
        <f aca="false">+O30*O29</f>
        <v>4.653</v>
      </c>
      <c r="P31" s="101" t="n">
        <f aca="false">+P30*P29</f>
        <v>4.653</v>
      </c>
      <c r="Q31" s="101" t="n">
        <f aca="false">+Q30*Q29</f>
        <v>4.653</v>
      </c>
      <c r="R31" s="101" t="n">
        <f aca="false">+R30*R29</f>
        <v>4.653</v>
      </c>
      <c r="S31" s="101" t="n">
        <f aca="false">+S30*S29</f>
        <v>4.653</v>
      </c>
      <c r="T31" s="101" t="n">
        <f aca="false">+T30*T29</f>
        <v>4.653</v>
      </c>
      <c r="U31" s="101" t="n">
        <f aca="false">+U30*U29</f>
        <v>4.653</v>
      </c>
      <c r="V31" s="101" t="n">
        <f aca="false">+V30*V29</f>
        <v>4.653</v>
      </c>
      <c r="W31" s="101" t="n">
        <f aca="false">+W30*W29</f>
        <v>4.653</v>
      </c>
      <c r="X31" s="101" t="n">
        <f aca="false">+X30*X29</f>
        <v>4.653</v>
      </c>
      <c r="Y31" s="101" t="n">
        <f aca="false">+Y30*Y29</f>
        <v>4.653</v>
      </c>
      <c r="Z31" s="101" t="n">
        <f aca="false">+Z30*Z29</f>
        <v>4.653</v>
      </c>
      <c r="AA31" s="101" t="n">
        <f aca="false">+AA30*AA29</f>
        <v>4.653</v>
      </c>
      <c r="AB31" s="101" t="n">
        <f aca="false">+AB30*AB29</f>
        <v>4.653</v>
      </c>
      <c r="AC31" s="101" t="n">
        <f aca="false">+AC30*AC29</f>
        <v>4.653</v>
      </c>
    </row>
    <row r="33" customFormat="false" ht="11.25" hidden="false" customHeight="false" outlineLevel="0" collapsed="false">
      <c r="B33" s="43" t="s">
        <v>164</v>
      </c>
      <c r="I33" s="88" t="e">
        <f aca="false">(+I23*$H$376)/I31/1000</f>
        <v>#N/A</v>
      </c>
      <c r="J33" s="88" t="e">
        <f aca="false">(+J23*$H$376)/J31/1000</f>
        <v>#N/A</v>
      </c>
      <c r="K33" s="88" t="e">
        <f aca="false">(+K23*$H$376)/K31/1000</f>
        <v>#N/A</v>
      </c>
      <c r="L33" s="88" t="e">
        <f aca="false">(+L23*$H$376)/L31/1000</f>
        <v>#N/A</v>
      </c>
      <c r="M33" s="88" t="e">
        <f aca="false">(+M23*$H$376)/M31/1000</f>
        <v>#N/A</v>
      </c>
      <c r="N33" s="88" t="e">
        <f aca="false">(+N23*$H$376)/N31/1000</f>
        <v>#N/A</v>
      </c>
      <c r="O33" s="88" t="e">
        <f aca="false">(+O23*$H$376)/O31/1000</f>
        <v>#N/A</v>
      </c>
      <c r="P33" s="88" t="e">
        <f aca="false">(+P23*$H$376)/P31/1000</f>
        <v>#N/A</v>
      </c>
      <c r="Q33" s="88" t="e">
        <f aca="false">(+Q23*$H$376)/Q31/1000</f>
        <v>#N/A</v>
      </c>
      <c r="R33" s="88" t="e">
        <f aca="false">(+R23*$H$376)/R31/1000</f>
        <v>#N/A</v>
      </c>
      <c r="S33" s="88" t="e">
        <f aca="false">(+S23*$H$376)/S31/1000</f>
        <v>#N/A</v>
      </c>
      <c r="T33" s="88" t="e">
        <f aca="false">(+T23*$H$376)/T31/1000</f>
        <v>#N/A</v>
      </c>
      <c r="U33" s="88" t="e">
        <f aca="false">(+U23*$H$376)/U31/1000</f>
        <v>#N/A</v>
      </c>
      <c r="V33" s="88" t="e">
        <f aca="false">(+V23*$H$376)/V31/1000</f>
        <v>#N/A</v>
      </c>
      <c r="W33" s="88" t="e">
        <f aca="false">(+W23*$H$376)/W31/1000</f>
        <v>#N/A</v>
      </c>
      <c r="X33" s="88" t="e">
        <f aca="false">(+X23*$H$376)/X31/1000</f>
        <v>#N/A</v>
      </c>
      <c r="Y33" s="88" t="e">
        <f aca="false">(+Y23*$H$376)/Y31/1000</f>
        <v>#N/A</v>
      </c>
      <c r="Z33" s="88" t="e">
        <f aca="false">(+Z23*$H$376)/Z31/1000</f>
        <v>#N/A</v>
      </c>
      <c r="AA33" s="88" t="e">
        <f aca="false">(+AA23*$H$376)/AA31/1000</f>
        <v>#N/A</v>
      </c>
      <c r="AB33" s="88" t="e">
        <f aca="false">(+AB23*$H$376)/AB31/1000</f>
        <v>#N/A</v>
      </c>
      <c r="AC33" s="88" t="e">
        <f aca="false">(+AC23*$H$376)/AC31/1000</f>
        <v>#N/A</v>
      </c>
    </row>
    <row r="34" customFormat="false" ht="11.25" hidden="false" customHeight="false" outlineLevel="0" collapsed="false">
      <c r="B34" s="43"/>
      <c r="I34" s="88"/>
      <c r="J34" s="88"/>
      <c r="K34" s="88"/>
      <c r="L34" s="88"/>
      <c r="M34" s="88"/>
      <c r="N34" s="88"/>
      <c r="O34" s="88"/>
      <c r="P34" s="88"/>
      <c r="Q34" s="88"/>
      <c r="R34" s="88"/>
      <c r="S34" s="88"/>
      <c r="T34" s="88"/>
      <c r="U34" s="88"/>
      <c r="V34" s="88"/>
      <c r="W34" s="88"/>
      <c r="X34" s="88"/>
      <c r="Y34" s="88"/>
      <c r="Z34" s="88"/>
      <c r="AA34" s="88"/>
      <c r="AB34" s="88"/>
      <c r="AC34" s="88"/>
    </row>
    <row r="35" customFormat="false" ht="11.25" hidden="false" customHeight="false" outlineLevel="0" collapsed="false">
      <c r="B35" s="43" t="s">
        <v>165</v>
      </c>
      <c r="E35" s="102" t="n">
        <v>0</v>
      </c>
      <c r="H35" s="65" t="s">
        <v>164</v>
      </c>
      <c r="I35" s="88" t="e">
        <f aca="false">IF($E35=0,I33,0)</f>
        <v>#N/A</v>
      </c>
      <c r="J35" s="88" t="e">
        <f aca="false">IF($E35=0,J33,IF($E35=1,+I33,0))</f>
        <v>#N/A</v>
      </c>
      <c r="K35" s="88" t="e">
        <f aca="false">IF($E35=0,K33,IF($E35=1,+J33,IF($E35=2,+I33,0)))</f>
        <v>#N/A</v>
      </c>
      <c r="L35" s="88" t="e">
        <f aca="false">IF($E35=0,L33,IF($E35=1,+K33,IF($E35=2,+J33,0)))</f>
        <v>#N/A</v>
      </c>
      <c r="M35" s="88" t="e">
        <f aca="false">IF($E35=0,M33,IF($E35=1,+L33,IF($E35=2,+K33,0)))</f>
        <v>#N/A</v>
      </c>
      <c r="N35" s="88" t="e">
        <f aca="false">IF($E35=0,N33,IF($E35=1,+M33,IF($E35=2,+L33,0)))</f>
        <v>#N/A</v>
      </c>
      <c r="O35" s="88" t="e">
        <f aca="false">IF($E35=0,O33,IF($E35=1,+N33,IF($E35=2,+M33,0)))</f>
        <v>#N/A</v>
      </c>
      <c r="P35" s="88" t="e">
        <f aca="false">IF($E35=0,P33,IF($E35=1,+O33,IF($E35=2,+N33,0)))</f>
        <v>#N/A</v>
      </c>
      <c r="Q35" s="88" t="e">
        <f aca="false">IF($E35=0,Q33,IF($E35=1,+P33,IF($E35=2,+O33,0)))</f>
        <v>#N/A</v>
      </c>
      <c r="R35" s="88" t="e">
        <f aca="false">IF($E35=0,R33,IF($E35=1,+Q33,IF($E35=2,+P33,0)))</f>
        <v>#N/A</v>
      </c>
      <c r="S35" s="88" t="e">
        <f aca="false">IF($E35=0,S33,IF($E35=1,+R33,IF($E35=2,+Q33,0)))</f>
        <v>#N/A</v>
      </c>
      <c r="T35" s="88" t="e">
        <f aca="false">IF($E35=0,T33,IF($E35=1,+S33,IF($E35=2,+R33,0)))</f>
        <v>#N/A</v>
      </c>
      <c r="U35" s="88" t="e">
        <f aca="false">IF($E35=0,U33,IF($E35=1,+T33,IF($E35=2,+S33,0)))</f>
        <v>#N/A</v>
      </c>
      <c r="V35" s="88" t="e">
        <f aca="false">IF($E35=0,V33,IF($E35=1,+U33,IF($E35=2,+T33,0)))</f>
        <v>#N/A</v>
      </c>
      <c r="W35" s="88" t="e">
        <f aca="false">IF($E35=0,W33,IF($E35=1,+V33,IF($E35=2,+U33,0)))</f>
        <v>#N/A</v>
      </c>
      <c r="X35" s="88" t="e">
        <f aca="false">IF($E35=0,X33,IF($E35=1,+W33,IF($E35=2,+V33,0)))</f>
        <v>#N/A</v>
      </c>
      <c r="Y35" s="88" t="e">
        <f aca="false">IF($E35=0,Y33,IF($E35=1,+X33,IF($E35=2,+W33,0)))</f>
        <v>#N/A</v>
      </c>
      <c r="Z35" s="88" t="e">
        <f aca="false">IF($E35=0,Z33,IF($E35=1,+Y33,IF($E35=2,+X33,0)))</f>
        <v>#N/A</v>
      </c>
      <c r="AA35" s="88" t="e">
        <f aca="false">IF($E35=0,AA33,IF($E35=1,+Z33,IF($E35=2,+Y33,0)))</f>
        <v>#N/A</v>
      </c>
      <c r="AB35" s="88" t="e">
        <f aca="false">IF($E35=0,AB33,IF($E35=1,+AA33,IF($E35=2,+Z33,0)))</f>
        <v>#N/A</v>
      </c>
      <c r="AC35" s="88" t="e">
        <f aca="false">IF($E35=0,AC33,IF($E35=1,+AB33,IF($E35=2,+AA33,0)))</f>
        <v>#N/A</v>
      </c>
    </row>
    <row r="36" customFormat="false" ht="11.25" hidden="false" customHeight="false" outlineLevel="0" collapsed="false">
      <c r="B36" s="43"/>
      <c r="E36" s="103"/>
      <c r="H36" s="65"/>
      <c r="I36" s="88"/>
      <c r="J36" s="88"/>
      <c r="K36" s="88"/>
      <c r="L36" s="88"/>
      <c r="M36" s="88"/>
      <c r="N36" s="88"/>
      <c r="O36" s="88"/>
      <c r="P36" s="88"/>
      <c r="Q36" s="88"/>
      <c r="R36" s="88"/>
      <c r="S36" s="88"/>
      <c r="T36" s="88"/>
      <c r="U36" s="88"/>
      <c r="V36" s="88"/>
      <c r="W36" s="88"/>
      <c r="X36" s="88"/>
      <c r="Y36" s="88"/>
      <c r="Z36" s="88"/>
      <c r="AA36" s="88"/>
      <c r="AB36" s="88"/>
      <c r="AC36" s="88"/>
    </row>
    <row r="37" customFormat="false" ht="11.25" hidden="false" customHeight="false" outlineLevel="0" collapsed="false">
      <c r="B37" s="43"/>
      <c r="E37" s="103"/>
      <c r="H37" s="65" t="s">
        <v>166</v>
      </c>
      <c r="I37" s="88" t="e">
        <f aca="false">+PROFILE!F121</f>
        <v>#N/A</v>
      </c>
      <c r="J37" s="88" t="e">
        <f aca="false">+PROFILE!G121</f>
        <v>#VALUE!</v>
      </c>
      <c r="K37" s="88" t="e">
        <f aca="false">+PROFILE!H121</f>
        <v>#VALUE!</v>
      </c>
      <c r="L37" s="88" t="e">
        <f aca="false">+PROFILE!I121</f>
        <v>#VALUE!</v>
      </c>
      <c r="M37" s="88" t="e">
        <f aca="false">+PROFILE!J121</f>
        <v>#VALUE!</v>
      </c>
      <c r="N37" s="88" t="e">
        <f aca="false">+PROFILE!K121</f>
        <v>#VALUE!</v>
      </c>
      <c r="O37" s="88" t="e">
        <f aca="false">+PROFILE!L121</f>
        <v>#VALUE!</v>
      </c>
      <c r="P37" s="88" t="e">
        <f aca="false">+PROFILE!M121</f>
        <v>#VALUE!</v>
      </c>
      <c r="Q37" s="88" t="e">
        <f aca="false">+PROFILE!N121</f>
        <v>#VALUE!</v>
      </c>
      <c r="R37" s="88" t="e">
        <f aca="false">+PROFILE!O121</f>
        <v>#VALUE!</v>
      </c>
      <c r="S37" s="88" t="e">
        <f aca="false">+PROFILE!P121</f>
        <v>#VALUE!</v>
      </c>
      <c r="T37" s="88" t="e">
        <f aca="false">+PROFILE!Q121</f>
        <v>#VALUE!</v>
      </c>
      <c r="U37" s="88" t="e">
        <f aca="false">+PROFILE!R121</f>
        <v>#VALUE!</v>
      </c>
      <c r="V37" s="88" t="e">
        <f aca="false">+PROFILE!S121</f>
        <v>#VALUE!</v>
      </c>
      <c r="W37" s="88" t="e">
        <f aca="false">+PROFILE!T121</f>
        <v>#VALUE!</v>
      </c>
      <c r="X37" s="88" t="e">
        <f aca="false">+PROFILE!U121</f>
        <v>#VALUE!</v>
      </c>
      <c r="Y37" s="88" t="e">
        <f aca="false">+PROFILE!V121</f>
        <v>#VALUE!</v>
      </c>
      <c r="Z37" s="88" t="e">
        <f aca="false">+PROFILE!W121</f>
        <v>#VALUE!</v>
      </c>
      <c r="AA37" s="88" t="e">
        <f aca="false">+PROFILE!X121</f>
        <v>#VALUE!</v>
      </c>
      <c r="AB37" s="88" t="e">
        <f aca="false">+PROFILE!Y121</f>
        <v>#VALUE!</v>
      </c>
      <c r="AC37" s="88" t="e">
        <f aca="false">+PROFILE!Z121</f>
        <v>#VALUE!</v>
      </c>
    </row>
    <row r="38" customFormat="false" ht="11.25" hidden="false" customHeight="false" outlineLevel="0" collapsed="false">
      <c r="B38" s="43"/>
      <c r="E38" s="103"/>
      <c r="H38" s="65" t="s">
        <v>167</v>
      </c>
      <c r="I38" s="26" t="n">
        <v>0.7</v>
      </c>
      <c r="J38" s="26" t="n">
        <f aca="false">+I38</f>
        <v>0.7</v>
      </c>
      <c r="K38" s="26" t="n">
        <f aca="false">+J38</f>
        <v>0.7</v>
      </c>
      <c r="L38" s="26" t="n">
        <f aca="false">+K38</f>
        <v>0.7</v>
      </c>
      <c r="M38" s="26" t="n">
        <f aca="false">+L38</f>
        <v>0.7</v>
      </c>
      <c r="N38" s="26" t="n">
        <f aca="false">+M38</f>
        <v>0.7</v>
      </c>
      <c r="O38" s="26" t="n">
        <f aca="false">+N38</f>
        <v>0.7</v>
      </c>
      <c r="P38" s="26" t="n">
        <f aca="false">+O38</f>
        <v>0.7</v>
      </c>
      <c r="Q38" s="26" t="n">
        <f aca="false">+P38</f>
        <v>0.7</v>
      </c>
      <c r="R38" s="26" t="n">
        <f aca="false">+Q38</f>
        <v>0.7</v>
      </c>
      <c r="S38" s="26" t="n">
        <f aca="false">+R38</f>
        <v>0.7</v>
      </c>
      <c r="T38" s="26" t="n">
        <f aca="false">+S38</f>
        <v>0.7</v>
      </c>
      <c r="U38" s="26" t="n">
        <f aca="false">+T38</f>
        <v>0.7</v>
      </c>
      <c r="V38" s="26" t="n">
        <f aca="false">+U38</f>
        <v>0.7</v>
      </c>
      <c r="W38" s="26" t="n">
        <f aca="false">+V38</f>
        <v>0.7</v>
      </c>
      <c r="X38" s="26" t="n">
        <f aca="false">+W38</f>
        <v>0.7</v>
      </c>
      <c r="Y38" s="26" t="n">
        <f aca="false">+X38</f>
        <v>0.7</v>
      </c>
      <c r="Z38" s="26" t="n">
        <f aca="false">+Y38</f>
        <v>0.7</v>
      </c>
      <c r="AA38" s="26" t="n">
        <f aca="false">+Z38</f>
        <v>0.7</v>
      </c>
      <c r="AB38" s="26" t="n">
        <f aca="false">+AA38</f>
        <v>0.7</v>
      </c>
      <c r="AC38" s="26" t="n">
        <f aca="false">+AB38</f>
        <v>0.7</v>
      </c>
    </row>
    <row r="39" customFormat="false" ht="11.25" hidden="false" customHeight="false" outlineLevel="0" collapsed="false">
      <c r="B39" s="43"/>
      <c r="E39" s="103"/>
      <c r="H39" s="65" t="s">
        <v>168</v>
      </c>
      <c r="I39" s="90" t="n">
        <f aca="false">1-I38</f>
        <v>0.3</v>
      </c>
      <c r="J39" s="90" t="n">
        <f aca="false">1-J38</f>
        <v>0.3</v>
      </c>
      <c r="K39" s="90" t="n">
        <f aca="false">1-K38</f>
        <v>0.3</v>
      </c>
      <c r="L39" s="90" t="n">
        <f aca="false">1-L38</f>
        <v>0.3</v>
      </c>
      <c r="M39" s="90" t="n">
        <f aca="false">1-M38</f>
        <v>0.3</v>
      </c>
      <c r="N39" s="90" t="n">
        <f aca="false">1-N38</f>
        <v>0.3</v>
      </c>
      <c r="O39" s="90" t="n">
        <f aca="false">1-O38</f>
        <v>0.3</v>
      </c>
      <c r="P39" s="90" t="n">
        <f aca="false">1-P38</f>
        <v>0.3</v>
      </c>
      <c r="Q39" s="90" t="n">
        <f aca="false">1-Q38</f>
        <v>0.3</v>
      </c>
      <c r="R39" s="90" t="n">
        <f aca="false">1-R38</f>
        <v>0.3</v>
      </c>
      <c r="S39" s="90" t="n">
        <f aca="false">1-S38</f>
        <v>0.3</v>
      </c>
      <c r="T39" s="90" t="n">
        <f aca="false">1-T38</f>
        <v>0.3</v>
      </c>
      <c r="U39" s="90" t="n">
        <f aca="false">1-U38</f>
        <v>0.3</v>
      </c>
      <c r="V39" s="90" t="n">
        <f aca="false">1-V38</f>
        <v>0.3</v>
      </c>
      <c r="W39" s="90" t="n">
        <f aca="false">1-W38</f>
        <v>0.3</v>
      </c>
      <c r="X39" s="90" t="n">
        <f aca="false">1-X38</f>
        <v>0.3</v>
      </c>
      <c r="Y39" s="90" t="n">
        <f aca="false">1-Y38</f>
        <v>0.3</v>
      </c>
      <c r="Z39" s="90" t="n">
        <f aca="false">1-Z38</f>
        <v>0.3</v>
      </c>
      <c r="AA39" s="90" t="n">
        <f aca="false">1-AA38</f>
        <v>0.3</v>
      </c>
      <c r="AB39" s="90" t="n">
        <f aca="false">1-AB38</f>
        <v>0.3</v>
      </c>
      <c r="AC39" s="90" t="n">
        <f aca="false">1-AC38</f>
        <v>0.3</v>
      </c>
    </row>
    <row r="40" customFormat="false" ht="11.25" hidden="false" customHeight="false" outlineLevel="0" collapsed="false">
      <c r="B40" s="43"/>
      <c r="E40" s="103"/>
      <c r="H40" s="65"/>
      <c r="I40" s="90"/>
      <c r="J40" s="90"/>
      <c r="K40" s="90"/>
      <c r="L40" s="90"/>
      <c r="M40" s="90"/>
      <c r="N40" s="90"/>
      <c r="O40" s="90"/>
      <c r="P40" s="90"/>
      <c r="Q40" s="90"/>
      <c r="R40" s="90"/>
      <c r="S40" s="90"/>
      <c r="T40" s="90"/>
      <c r="U40" s="90"/>
      <c r="V40" s="90"/>
      <c r="W40" s="90"/>
      <c r="X40" s="90"/>
      <c r="Y40" s="90"/>
      <c r="Z40" s="90"/>
      <c r="AA40" s="90"/>
      <c r="AB40" s="90"/>
      <c r="AC40" s="90"/>
    </row>
    <row r="41" customFormat="false" ht="11.25" hidden="false" customHeight="false" outlineLevel="0" collapsed="false">
      <c r="B41" s="43"/>
      <c r="E41" s="103"/>
      <c r="H41" s="65" t="s">
        <v>169</v>
      </c>
      <c r="I41" s="88" t="e">
        <f aca="false">+I38*I37</f>
        <v>#N/A</v>
      </c>
      <c r="J41" s="88" t="e">
        <f aca="false">+J38*J37</f>
        <v>#VALUE!</v>
      </c>
      <c r="K41" s="88" t="e">
        <f aca="false">+K38*K37</f>
        <v>#VALUE!</v>
      </c>
      <c r="L41" s="88" t="e">
        <f aca="false">+L38*L37</f>
        <v>#VALUE!</v>
      </c>
      <c r="M41" s="88" t="e">
        <f aca="false">+M38*M37</f>
        <v>#VALUE!</v>
      </c>
      <c r="N41" s="88" t="e">
        <f aca="false">+N38*N37</f>
        <v>#VALUE!</v>
      </c>
      <c r="O41" s="88" t="e">
        <f aca="false">+O38*O37</f>
        <v>#VALUE!</v>
      </c>
      <c r="P41" s="88" t="e">
        <f aca="false">+P38*P37</f>
        <v>#VALUE!</v>
      </c>
      <c r="Q41" s="88" t="e">
        <f aca="false">+Q38*Q37</f>
        <v>#VALUE!</v>
      </c>
      <c r="R41" s="88" t="e">
        <f aca="false">+R38*R37</f>
        <v>#VALUE!</v>
      </c>
      <c r="S41" s="88" t="e">
        <f aca="false">+S38*S37</f>
        <v>#VALUE!</v>
      </c>
      <c r="T41" s="88" t="e">
        <f aca="false">+T38*T37</f>
        <v>#VALUE!</v>
      </c>
      <c r="U41" s="88" t="e">
        <f aca="false">+U38*U37</f>
        <v>#VALUE!</v>
      </c>
      <c r="V41" s="88" t="e">
        <f aca="false">+V38*V37</f>
        <v>#VALUE!</v>
      </c>
      <c r="W41" s="88" t="e">
        <f aca="false">+W38*W37</f>
        <v>#VALUE!</v>
      </c>
      <c r="X41" s="88" t="e">
        <f aca="false">+X38*X37</f>
        <v>#VALUE!</v>
      </c>
      <c r="Y41" s="88" t="e">
        <f aca="false">+Y38*Y37</f>
        <v>#VALUE!</v>
      </c>
      <c r="Z41" s="88" t="e">
        <f aca="false">+Z38*Z37</f>
        <v>#VALUE!</v>
      </c>
      <c r="AA41" s="88" t="e">
        <f aca="false">+AA38*AA37</f>
        <v>#VALUE!</v>
      </c>
      <c r="AB41" s="88" t="e">
        <f aca="false">+AB38*AB37</f>
        <v>#VALUE!</v>
      </c>
      <c r="AC41" s="88" t="e">
        <f aca="false">+AC38*AC37</f>
        <v>#VALUE!</v>
      </c>
    </row>
    <row r="42" customFormat="false" ht="11.25" hidden="false" customHeight="false" outlineLevel="0" collapsed="false">
      <c r="C42" s="43" t="s">
        <v>170</v>
      </c>
      <c r="D42" s="12" t="n">
        <f aca="false">+D100</f>
        <v>6</v>
      </c>
      <c r="H42" s="65" t="s">
        <v>171</v>
      </c>
      <c r="I42" s="88" t="e">
        <f aca="false">+I37*I39*$D$42</f>
        <v>#N/A</v>
      </c>
      <c r="J42" s="88" t="e">
        <f aca="false">+J37*J39*$D$42</f>
        <v>#VALUE!</v>
      </c>
      <c r="K42" s="88" t="e">
        <f aca="false">+K37*K39*$D$42</f>
        <v>#VALUE!</v>
      </c>
      <c r="L42" s="88" t="e">
        <f aca="false">+L37*L39*$D$42</f>
        <v>#VALUE!</v>
      </c>
      <c r="M42" s="88" t="e">
        <f aca="false">+M37*M39*$D$42</f>
        <v>#VALUE!</v>
      </c>
      <c r="N42" s="88" t="e">
        <f aca="false">+N37*N39*$D$42</f>
        <v>#VALUE!</v>
      </c>
      <c r="O42" s="88" t="e">
        <f aca="false">+O37*O39*$D$42</f>
        <v>#VALUE!</v>
      </c>
      <c r="P42" s="88" t="e">
        <f aca="false">+P37*P39*$D$42</f>
        <v>#VALUE!</v>
      </c>
      <c r="Q42" s="88" t="e">
        <f aca="false">+Q37*Q39*$D$42</f>
        <v>#VALUE!</v>
      </c>
      <c r="R42" s="88" t="e">
        <f aca="false">+R37*R39*$D$42</f>
        <v>#VALUE!</v>
      </c>
      <c r="S42" s="88" t="e">
        <f aca="false">+S37*S39*$D$42</f>
        <v>#VALUE!</v>
      </c>
      <c r="T42" s="88" t="e">
        <f aca="false">+T37*T39*$D$42</f>
        <v>#VALUE!</v>
      </c>
      <c r="U42" s="88" t="e">
        <f aca="false">+U37*U39*$D$42</f>
        <v>#VALUE!</v>
      </c>
      <c r="V42" s="88" t="e">
        <f aca="false">+V37*V39*$D$42</f>
        <v>#VALUE!</v>
      </c>
      <c r="W42" s="88" t="e">
        <f aca="false">+W37*W39*$D$42</f>
        <v>#VALUE!</v>
      </c>
      <c r="X42" s="88" t="e">
        <f aca="false">+X37*X39*$D$42</f>
        <v>#VALUE!</v>
      </c>
      <c r="Y42" s="88" t="e">
        <f aca="false">+Y37*Y39*$D$42</f>
        <v>#VALUE!</v>
      </c>
      <c r="Z42" s="88" t="e">
        <f aca="false">+Z37*Z39*$D$42</f>
        <v>#VALUE!</v>
      </c>
      <c r="AA42" s="88" t="e">
        <f aca="false">+AA37*AA39*$D$42</f>
        <v>#VALUE!</v>
      </c>
      <c r="AB42" s="88" t="e">
        <f aca="false">+AB37*AB39*$D$42</f>
        <v>#VALUE!</v>
      </c>
      <c r="AC42" s="88" t="e">
        <f aca="false">+AC37*AC39*$D$42</f>
        <v>#VALUE!</v>
      </c>
    </row>
    <row r="43" customFormat="false" ht="12" hidden="false" customHeight="false" outlineLevel="0" collapsed="false">
      <c r="A43" s="104"/>
      <c r="B43" s="105"/>
      <c r="C43" s="105"/>
      <c r="D43" s="105"/>
      <c r="E43" s="105"/>
      <c r="F43" s="105"/>
      <c r="G43" s="105"/>
      <c r="H43" s="105"/>
      <c r="I43" s="106"/>
      <c r="J43" s="106"/>
      <c r="K43" s="106"/>
      <c r="L43" s="106"/>
      <c r="M43" s="106"/>
      <c r="N43" s="106"/>
      <c r="O43" s="106"/>
      <c r="P43" s="106"/>
      <c r="Q43" s="106"/>
      <c r="R43" s="106"/>
      <c r="S43" s="106"/>
      <c r="T43" s="106"/>
      <c r="U43" s="106"/>
      <c r="V43" s="106"/>
      <c r="W43" s="106"/>
      <c r="X43" s="106"/>
      <c r="Y43" s="106"/>
      <c r="Z43" s="106"/>
      <c r="AA43" s="106"/>
      <c r="AB43" s="106"/>
      <c r="AC43" s="106"/>
    </row>
    <row r="44" customFormat="false" ht="12.75" hidden="false" customHeight="false" outlineLevel="0" collapsed="false">
      <c r="A44" s="79"/>
      <c r="B44" s="79"/>
      <c r="C44" s="79"/>
      <c r="D44" s="79"/>
      <c r="E44" s="79"/>
      <c r="F44" s="79"/>
      <c r="G44" s="79"/>
      <c r="H44" s="79"/>
      <c r="I44" s="79"/>
      <c r="J44" s="79"/>
      <c r="K44" s="79"/>
      <c r="L44" s="79"/>
      <c r="M44" s="79"/>
      <c r="N44" s="79"/>
      <c r="O44" s="79"/>
      <c r="P44" s="79"/>
      <c r="Q44" s="79"/>
      <c r="R44" s="79"/>
      <c r="S44" s="79"/>
      <c r="T44" s="79"/>
      <c r="U44" s="79"/>
      <c r="V44" s="79"/>
      <c r="W44" s="79"/>
      <c r="X44" s="79"/>
      <c r="Y44" s="79"/>
      <c r="Z44" s="79"/>
      <c r="AA44" s="79"/>
      <c r="AB44" s="79"/>
      <c r="AC44" s="79"/>
    </row>
    <row r="45" customFormat="false" ht="12.75" hidden="false" customHeight="false" outlineLevel="0" collapsed="false">
      <c r="A45" s="4" t="s">
        <v>172</v>
      </c>
      <c r="B45" s="35"/>
      <c r="C45" s="35"/>
      <c r="D45" s="35"/>
      <c r="I45" s="81" t="str">
        <f aca="false">+I$3</f>
        <v>6 M/1999 </v>
      </c>
      <c r="J45" s="81" t="n">
        <f aca="false">+J$3</f>
        <v>2000</v>
      </c>
      <c r="K45" s="81" t="n">
        <f aca="false">+K$3</f>
        <v>2001</v>
      </c>
      <c r="L45" s="81" t="n">
        <f aca="false">+L$3</f>
        <v>2002</v>
      </c>
      <c r="M45" s="81" t="n">
        <f aca="false">+M$3</f>
        <v>2003</v>
      </c>
      <c r="N45" s="81" t="n">
        <f aca="false">+N$3</f>
        <v>2004</v>
      </c>
      <c r="O45" s="81" t="n">
        <f aca="false">+O$3</f>
        <v>2005</v>
      </c>
      <c r="P45" s="81" t="n">
        <f aca="false">+P$3</f>
        <v>2006</v>
      </c>
      <c r="Q45" s="81" t="n">
        <f aca="false">+Q$3</f>
        <v>2007</v>
      </c>
      <c r="R45" s="81" t="n">
        <f aca="false">+R$3</f>
        <v>2008</v>
      </c>
      <c r="S45" s="81" t="n">
        <f aca="false">+S$3</f>
        <v>2009</v>
      </c>
      <c r="T45" s="81" t="n">
        <f aca="false">+T$3</f>
        <v>2010</v>
      </c>
      <c r="U45" s="81" t="n">
        <f aca="false">+U$3</f>
        <v>2011</v>
      </c>
      <c r="V45" s="81" t="n">
        <f aca="false">+V$3</f>
        <v>2012</v>
      </c>
      <c r="W45" s="81" t="n">
        <f aca="false">+W$3</f>
        <v>2013</v>
      </c>
      <c r="X45" s="81" t="n">
        <f aca="false">+X$3</f>
        <v>2014</v>
      </c>
      <c r="Y45" s="81" t="n">
        <f aca="false">+Y$3</f>
        <v>2015</v>
      </c>
      <c r="Z45" s="81" t="n">
        <f aca="false">+Z$3</f>
        <v>2016</v>
      </c>
      <c r="AA45" s="81" t="n">
        <f aca="false">+AA$3</f>
        <v>2017</v>
      </c>
      <c r="AB45" s="81" t="n">
        <f aca="false">+AB$3</f>
        <v>2018</v>
      </c>
      <c r="AC45" s="81" t="n">
        <f aca="false">+AC$3</f>
        <v>2019</v>
      </c>
    </row>
    <row r="46" customFormat="false" ht="13.5" hidden="false" customHeight="false" outlineLevel="0" collapsed="false">
      <c r="A46" s="107" t="s">
        <v>173</v>
      </c>
      <c r="B46" s="35"/>
      <c r="C46" s="35"/>
      <c r="D46" s="35"/>
      <c r="E46" s="108"/>
      <c r="F46" s="108"/>
      <c r="G46" s="108"/>
      <c r="H46" s="108"/>
      <c r="I46" s="108"/>
      <c r="J46" s="108"/>
      <c r="K46" s="108"/>
      <c r="L46" s="108"/>
      <c r="M46" s="108"/>
      <c r="N46" s="108"/>
      <c r="O46" s="108"/>
      <c r="P46" s="108"/>
      <c r="Q46" s="108"/>
      <c r="R46" s="108"/>
      <c r="S46" s="108"/>
      <c r="T46" s="108"/>
      <c r="U46" s="108"/>
      <c r="V46" s="108"/>
      <c r="W46" s="108"/>
      <c r="X46" s="108"/>
      <c r="Y46" s="108"/>
      <c r="Z46" s="108"/>
      <c r="AA46" s="108"/>
      <c r="AB46" s="108"/>
      <c r="AC46" s="108"/>
    </row>
    <row r="47" customFormat="false" ht="11.25" hidden="false" customHeight="false" outlineLevel="0" collapsed="false">
      <c r="A47" s="109" t="s">
        <v>174</v>
      </c>
      <c r="B47" s="43" t="s">
        <v>175</v>
      </c>
      <c r="D47" s="35"/>
      <c r="E47" s="110"/>
      <c r="F47" s="110"/>
      <c r="G47" s="110"/>
      <c r="H47" s="111"/>
      <c r="I47" s="111" t="e">
        <f aca="false">+I41</f>
        <v>#N/A</v>
      </c>
      <c r="J47" s="111" t="e">
        <f aca="false">+J41</f>
        <v>#VALUE!</v>
      </c>
      <c r="K47" s="111" t="e">
        <f aca="false">+K41</f>
        <v>#VALUE!</v>
      </c>
      <c r="L47" s="111" t="e">
        <f aca="false">+L41</f>
        <v>#VALUE!</v>
      </c>
      <c r="M47" s="111" t="e">
        <f aca="false">+M41</f>
        <v>#VALUE!</v>
      </c>
      <c r="N47" s="111" t="e">
        <f aca="false">+N41</f>
        <v>#VALUE!</v>
      </c>
      <c r="O47" s="111" t="e">
        <f aca="false">+O41</f>
        <v>#VALUE!</v>
      </c>
      <c r="P47" s="111" t="e">
        <f aca="false">+P41</f>
        <v>#VALUE!</v>
      </c>
      <c r="Q47" s="111" t="e">
        <f aca="false">+Q41</f>
        <v>#VALUE!</v>
      </c>
      <c r="R47" s="111" t="e">
        <f aca="false">+R41</f>
        <v>#VALUE!</v>
      </c>
      <c r="S47" s="111" t="e">
        <f aca="false">+S41</f>
        <v>#VALUE!</v>
      </c>
      <c r="T47" s="111" t="e">
        <f aca="false">+T41</f>
        <v>#VALUE!</v>
      </c>
      <c r="U47" s="111" t="e">
        <f aca="false">+U41</f>
        <v>#VALUE!</v>
      </c>
      <c r="V47" s="111" t="e">
        <f aca="false">+V41</f>
        <v>#VALUE!</v>
      </c>
      <c r="W47" s="111" t="e">
        <f aca="false">+W41</f>
        <v>#VALUE!</v>
      </c>
      <c r="X47" s="111" t="e">
        <f aca="false">+X41</f>
        <v>#VALUE!</v>
      </c>
      <c r="Y47" s="111" t="e">
        <f aca="false">+Y41</f>
        <v>#VALUE!</v>
      </c>
      <c r="Z47" s="111" t="e">
        <f aca="false">+Z41</f>
        <v>#VALUE!</v>
      </c>
      <c r="AA47" s="111" t="e">
        <f aca="false">+AA41</f>
        <v>#VALUE!</v>
      </c>
      <c r="AB47" s="111" t="e">
        <f aca="false">+AB41</f>
        <v>#VALUE!</v>
      </c>
      <c r="AC47" s="111" t="e">
        <f aca="false">+AC41</f>
        <v>#VALUE!</v>
      </c>
    </row>
    <row r="48" customFormat="false" ht="11.25" hidden="false" customHeight="false" outlineLevel="0" collapsed="false">
      <c r="A48" s="109"/>
      <c r="B48" s="43" t="s">
        <v>176</v>
      </c>
      <c r="D48" s="35"/>
      <c r="E48" s="110"/>
      <c r="F48" s="110"/>
      <c r="G48" s="110"/>
      <c r="H48" s="111"/>
      <c r="I48" s="26" t="n">
        <v>1</v>
      </c>
      <c r="J48" s="26" t="n">
        <v>1</v>
      </c>
      <c r="K48" s="26" t="n">
        <v>1</v>
      </c>
      <c r="L48" s="26" t="n">
        <v>1</v>
      </c>
      <c r="M48" s="26" t="n">
        <v>1</v>
      </c>
      <c r="N48" s="26" t="n">
        <v>1</v>
      </c>
      <c r="O48" s="26" t="n">
        <v>1</v>
      </c>
      <c r="P48" s="26" t="n">
        <v>1</v>
      </c>
      <c r="Q48" s="26" t="n">
        <v>1</v>
      </c>
      <c r="R48" s="26" t="n">
        <v>1</v>
      </c>
      <c r="S48" s="26" t="n">
        <v>1</v>
      </c>
      <c r="T48" s="26" t="n">
        <v>1</v>
      </c>
      <c r="U48" s="26" t="n">
        <v>1</v>
      </c>
      <c r="V48" s="26" t="n">
        <v>1</v>
      </c>
      <c r="W48" s="26" t="n">
        <v>1</v>
      </c>
      <c r="X48" s="26" t="n">
        <v>1</v>
      </c>
      <c r="Y48" s="26" t="n">
        <v>1</v>
      </c>
      <c r="Z48" s="26" t="n">
        <v>1</v>
      </c>
      <c r="AA48" s="26" t="n">
        <v>1</v>
      </c>
      <c r="AB48" s="26" t="n">
        <v>1</v>
      </c>
      <c r="AC48" s="26" t="n">
        <v>1</v>
      </c>
    </row>
    <row r="49" customFormat="false" ht="11.25" hidden="false" customHeight="false" outlineLevel="0" collapsed="false">
      <c r="A49" s="109"/>
      <c r="B49" s="43" t="s">
        <v>177</v>
      </c>
      <c r="D49" s="35"/>
      <c r="E49" s="110"/>
      <c r="F49" s="110"/>
      <c r="G49" s="110"/>
      <c r="H49" s="111"/>
      <c r="I49" s="68" t="e">
        <f aca="false">+I48*I47</f>
        <v>#N/A</v>
      </c>
      <c r="J49" s="68" t="e">
        <f aca="false">+J48*J47</f>
        <v>#VALUE!</v>
      </c>
      <c r="K49" s="68" t="e">
        <f aca="false">+K48*K47</f>
        <v>#VALUE!</v>
      </c>
      <c r="L49" s="68" t="e">
        <f aca="false">+L48*L47</f>
        <v>#VALUE!</v>
      </c>
      <c r="M49" s="68" t="e">
        <f aca="false">+M48*M47</f>
        <v>#VALUE!</v>
      </c>
      <c r="N49" s="68" t="e">
        <f aca="false">+N48*N47</f>
        <v>#VALUE!</v>
      </c>
      <c r="O49" s="68" t="e">
        <f aca="false">+O48*O47</f>
        <v>#VALUE!</v>
      </c>
      <c r="P49" s="68" t="e">
        <f aca="false">+P48*P47</f>
        <v>#VALUE!</v>
      </c>
      <c r="Q49" s="68" t="e">
        <f aca="false">+Q48*Q47</f>
        <v>#VALUE!</v>
      </c>
      <c r="R49" s="68" t="e">
        <f aca="false">+R48*R47</f>
        <v>#VALUE!</v>
      </c>
      <c r="S49" s="68" t="e">
        <f aca="false">+S48*S47</f>
        <v>#VALUE!</v>
      </c>
      <c r="T49" s="68" t="e">
        <f aca="false">+T48*T47</f>
        <v>#VALUE!</v>
      </c>
      <c r="U49" s="68" t="e">
        <f aca="false">+U48*U47</f>
        <v>#VALUE!</v>
      </c>
      <c r="V49" s="68" t="e">
        <f aca="false">+V48*V47</f>
        <v>#VALUE!</v>
      </c>
      <c r="W49" s="68" t="e">
        <f aca="false">+W48*W47</f>
        <v>#VALUE!</v>
      </c>
      <c r="X49" s="68" t="e">
        <f aca="false">+X48*X47</f>
        <v>#VALUE!</v>
      </c>
      <c r="Y49" s="68" t="e">
        <f aca="false">+Y48*Y47</f>
        <v>#VALUE!</v>
      </c>
      <c r="Z49" s="68" t="e">
        <f aca="false">+Z48*Z47</f>
        <v>#VALUE!</v>
      </c>
      <c r="AA49" s="68" t="e">
        <f aca="false">+AA48*AA47</f>
        <v>#VALUE!</v>
      </c>
      <c r="AB49" s="68" t="e">
        <f aca="false">+AB48*AB47</f>
        <v>#VALUE!</v>
      </c>
      <c r="AC49" s="68" t="e">
        <f aca="false">+AC48*AC47</f>
        <v>#VALUE!</v>
      </c>
    </row>
    <row r="50" customFormat="false" ht="11.25" hidden="false" customHeight="false" outlineLevel="0" collapsed="false">
      <c r="A50" s="109"/>
      <c r="B50" s="43"/>
      <c r="D50" s="35"/>
      <c r="E50" s="110"/>
      <c r="F50" s="110"/>
      <c r="G50" s="110"/>
      <c r="H50" s="111"/>
      <c r="J50" s="111"/>
      <c r="K50" s="111"/>
      <c r="L50" s="111"/>
      <c r="M50" s="111"/>
      <c r="N50" s="111"/>
      <c r="O50" s="111"/>
      <c r="P50" s="111"/>
      <c r="Q50" s="111"/>
      <c r="R50" s="111"/>
      <c r="S50" s="111"/>
      <c r="T50" s="111"/>
      <c r="U50" s="111"/>
      <c r="V50" s="111"/>
      <c r="W50" s="111"/>
      <c r="X50" s="111"/>
      <c r="Y50" s="111"/>
      <c r="Z50" s="111"/>
      <c r="AA50" s="111"/>
      <c r="AB50" s="111"/>
      <c r="AC50" s="111"/>
    </row>
    <row r="51" customFormat="false" ht="11.25" hidden="false" customHeight="false" outlineLevel="0" collapsed="false">
      <c r="A51" s="109"/>
      <c r="B51" s="43" t="s">
        <v>178</v>
      </c>
      <c r="G51" s="102" t="n">
        <v>5</v>
      </c>
      <c r="I51" s="112" t="n">
        <f aca="false">IF($G51=1,EP!I$212,IF($G51=2,EP!I$215,IF($G51=3,EP!I$217,IF($G51=4,EP!I$219,IF($G51=5,EP!I$221,EP!I$212)))))</f>
        <v>0</v>
      </c>
      <c r="J51" s="112" t="n">
        <f aca="false">IF($G51=1,EP!J$212,IF($G51=2,EP!J$215,IF($G51=3,EP!J$217,IF($G51=4,EP!J$219,IF($G51=5,EP!J$221,EP!J$212)))))</f>
        <v>0</v>
      </c>
      <c r="K51" s="112" t="n">
        <f aca="false">IF($G51=1,EP!K$212,IF($G51=2,EP!K$215,IF($G51=3,EP!K$217,IF($G51=4,EP!K$219,IF($G51=5,EP!K$221,EP!K$212)))))</f>
        <v>0</v>
      </c>
      <c r="L51" s="112" t="n">
        <f aca="false">IF($G51=1,EP!L$212,IF($G51=2,EP!L$215,IF($G51=3,EP!L$217,IF($G51=4,EP!L$219,IF($G51=5,EP!L$221,EP!L$212)))))</f>
        <v>0</v>
      </c>
      <c r="M51" s="112" t="n">
        <f aca="false">IF($G51=1,EP!M$212,IF($G51=2,EP!M$215,IF($G51=3,EP!M$217,IF($G51=4,EP!M$219,IF($G51=5,EP!M$221,EP!M$212)))))</f>
        <v>0</v>
      </c>
      <c r="N51" s="112" t="n">
        <f aca="false">IF($G51=1,EP!N$212,IF($G51=2,EP!N$215,IF($G51=3,EP!N$217,IF($G51=4,EP!N$219,IF($G51=5,EP!N$221,EP!N$212)))))</f>
        <v>0</v>
      </c>
      <c r="O51" s="112" t="n">
        <f aca="false">IF($G51=1,EP!O$212,IF($G51=2,EP!O$215,IF($G51=3,EP!O$217,IF($G51=4,EP!O$219,IF($G51=5,EP!O$221,EP!O$212)))))</f>
        <v>0</v>
      </c>
      <c r="P51" s="112" t="n">
        <f aca="false">IF($G51=1,EP!P$212,IF($G51=2,EP!P$215,IF($G51=3,EP!P$217,IF($G51=4,EP!P$219,IF($G51=5,EP!P$221,EP!P$212)))))</f>
        <v>0</v>
      </c>
      <c r="Q51" s="112" t="n">
        <f aca="false">IF($G51=1,EP!Q$212,IF($G51=2,EP!Q$215,IF($G51=3,EP!Q$217,IF($G51=4,EP!Q$219,IF($G51=5,EP!Q$221,EP!Q$212)))))</f>
        <v>0</v>
      </c>
      <c r="R51" s="112" t="n">
        <f aca="false">IF($G51=1,EP!R$212,IF($G51=2,EP!R$215,IF($G51=3,EP!R$217,IF($G51=4,EP!R$219,IF($G51=5,EP!R$221,EP!R$212)))))</f>
        <v>0</v>
      </c>
      <c r="S51" s="112" t="n">
        <f aca="false">IF($G51=1,EP!S$212,IF($G51=2,EP!S$215,IF($G51=3,EP!S$217,IF($G51=4,EP!S$219,IF($G51=5,EP!S$221,EP!S$212)))))</f>
        <v>0</v>
      </c>
      <c r="T51" s="112" t="n">
        <f aca="false">IF($G51=1,EP!T$212,IF($G51=2,EP!T$215,IF($G51=3,EP!T$217,IF($G51=4,EP!T$219,IF($G51=5,EP!T$221,EP!T$212)))))</f>
        <v>0</v>
      </c>
      <c r="U51" s="112" t="n">
        <f aca="false">IF($G51=1,EP!U$212,IF($G51=2,EP!U$215,IF($G51=3,EP!U$217,IF($G51=4,EP!U$219,IF($G51=5,EP!U$221,EP!U$212)))))</f>
        <v>0</v>
      </c>
      <c r="V51" s="112" t="n">
        <f aca="false">IF($G51=1,EP!V$212,IF($G51=2,EP!V$215,IF($G51=3,EP!V$217,IF($G51=4,EP!V$219,IF($G51=5,EP!V$221,EP!V$212)))))</f>
        <v>0</v>
      </c>
      <c r="W51" s="112" t="n">
        <f aca="false">IF($G51=1,EP!W$212,IF($G51=2,EP!W$215,IF($G51=3,EP!W$217,IF($G51=4,EP!W$219,IF($G51=5,EP!W$221,EP!W$212)))))</f>
        <v>0</v>
      </c>
      <c r="X51" s="112" t="n">
        <f aca="false">IF($G51=1,EP!X$212,IF($G51=2,EP!X$215,IF($G51=3,EP!X$217,IF($G51=4,EP!X$219,IF($G51=5,EP!X$221,EP!X$212)))))</f>
        <v>0</v>
      </c>
      <c r="Y51" s="112" t="n">
        <f aca="false">IF($G51=1,EP!Y$212,IF($G51=2,EP!Y$215,IF($G51=3,EP!Y$217,IF($G51=4,EP!Y$219,IF($G51=5,EP!Y$221,EP!Y$212)))))</f>
        <v>0</v>
      </c>
      <c r="Z51" s="112" t="n">
        <f aca="false">IF($G51=1,EP!Z$212,IF($G51=2,EP!Z$215,IF($G51=3,EP!Z$217,IF($G51=4,EP!Z$219,IF($G51=5,EP!Z$221,EP!Z$212)))))</f>
        <v>0</v>
      </c>
      <c r="AA51" s="112" t="n">
        <f aca="false">IF($G51=1,EP!AA$212,IF($G51=2,EP!AA$215,IF($G51=3,EP!AA$217,IF($G51=4,EP!AA$219,IF($G51=5,EP!AA$221,EP!AA$212)))))</f>
        <v>0</v>
      </c>
      <c r="AB51" s="112" t="n">
        <f aca="false">IF($G51=1,EP!AB$212,IF($G51=2,EP!AB$215,IF($G51=3,EP!AB$217,IF($G51=4,EP!AB$219,IF($G51=5,EP!AB$221,EP!AB$212)))))</f>
        <v>0</v>
      </c>
      <c r="AC51" s="112" t="n">
        <f aca="false">IF($G51=1,EP!AC$212,IF($G51=2,EP!AC$215,IF($G51=3,EP!AC$217,IF($G51=4,EP!AC$219,IF($G51=5,EP!AC$221,EP!AC$212)))))</f>
        <v>0</v>
      </c>
    </row>
    <row r="52" customFormat="false" ht="11.25" hidden="false" customHeight="false" outlineLevel="0" collapsed="false">
      <c r="A52" s="109"/>
      <c r="B52" s="43" t="s">
        <v>179</v>
      </c>
      <c r="D52" s="35"/>
      <c r="I52" s="113" t="n">
        <f aca="false">EP!I533</f>
        <v>0</v>
      </c>
      <c r="J52" s="113" t="n">
        <f aca="false">EP!J533</f>
        <v>0</v>
      </c>
      <c r="K52" s="113" t="n">
        <f aca="false">EP!K533</f>
        <v>0</v>
      </c>
      <c r="L52" s="113" t="n">
        <f aca="false">EP!L533</f>
        <v>0</v>
      </c>
      <c r="M52" s="113" t="n">
        <f aca="false">EP!M533</f>
        <v>0</v>
      </c>
      <c r="N52" s="113" t="n">
        <f aca="false">EP!N533</f>
        <v>0</v>
      </c>
      <c r="O52" s="113" t="n">
        <f aca="false">EP!O533</f>
        <v>0</v>
      </c>
      <c r="P52" s="113" t="n">
        <f aca="false">EP!P533</f>
        <v>0</v>
      </c>
      <c r="Q52" s="113" t="n">
        <f aca="false">EP!Q533</f>
        <v>0</v>
      </c>
      <c r="R52" s="113" t="n">
        <f aca="false">EP!R533</f>
        <v>0</v>
      </c>
      <c r="S52" s="113" t="n">
        <f aca="false">EP!S533</f>
        <v>0</v>
      </c>
      <c r="T52" s="113" t="n">
        <f aca="false">EP!T533</f>
        <v>0</v>
      </c>
      <c r="U52" s="113" t="n">
        <f aca="false">EP!U533</f>
        <v>0</v>
      </c>
      <c r="V52" s="113" t="n">
        <f aca="false">EP!V533</f>
        <v>0</v>
      </c>
      <c r="W52" s="113" t="n">
        <f aca="false">EP!W533</f>
        <v>0</v>
      </c>
      <c r="X52" s="113" t="n">
        <f aca="false">EP!X533</f>
        <v>0</v>
      </c>
      <c r="Y52" s="113" t="n">
        <f aca="false">EP!Y533</f>
        <v>0</v>
      </c>
      <c r="Z52" s="113" t="n">
        <f aca="false">EP!Z533</f>
        <v>0</v>
      </c>
      <c r="AA52" s="113" t="n">
        <f aca="false">EP!AA533</f>
        <v>0</v>
      </c>
      <c r="AB52" s="113" t="n">
        <f aca="false">EP!AB533</f>
        <v>0</v>
      </c>
      <c r="AC52" s="113" t="n">
        <f aca="false">EP!AC533</f>
        <v>0</v>
      </c>
    </row>
    <row r="53" customFormat="false" ht="11.25" hidden="false" customHeight="false" outlineLevel="0" collapsed="false">
      <c r="A53" s="109"/>
      <c r="B53" s="43" t="s">
        <v>180</v>
      </c>
      <c r="D53" s="35"/>
      <c r="I53" s="114" t="n">
        <f aca="false">+I51+I52</f>
        <v>0</v>
      </c>
      <c r="J53" s="114" t="n">
        <f aca="false">+J51+J52</f>
        <v>0</v>
      </c>
      <c r="K53" s="114" t="n">
        <f aca="false">+K51+K52</f>
        <v>0</v>
      </c>
      <c r="L53" s="114" t="n">
        <f aca="false">+L51+L52</f>
        <v>0</v>
      </c>
      <c r="M53" s="114" t="n">
        <f aca="false">+M51+M52</f>
        <v>0</v>
      </c>
      <c r="N53" s="114" t="n">
        <f aca="false">+N51+N52</f>
        <v>0</v>
      </c>
      <c r="O53" s="114" t="n">
        <f aca="false">+O51+O52</f>
        <v>0</v>
      </c>
      <c r="P53" s="114" t="n">
        <f aca="false">+P51+P52</f>
        <v>0</v>
      </c>
      <c r="Q53" s="114" t="n">
        <f aca="false">+Q51+Q52</f>
        <v>0</v>
      </c>
      <c r="R53" s="114" t="n">
        <f aca="false">+R51+R52</f>
        <v>0</v>
      </c>
      <c r="S53" s="114" t="n">
        <f aca="false">+S51+S52</f>
        <v>0</v>
      </c>
      <c r="T53" s="114" t="n">
        <f aca="false">+T51+T52</f>
        <v>0</v>
      </c>
      <c r="U53" s="114" t="n">
        <f aca="false">+U51+U52</f>
        <v>0</v>
      </c>
      <c r="V53" s="114" t="n">
        <f aca="false">+V51+V52</f>
        <v>0</v>
      </c>
      <c r="W53" s="114" t="n">
        <f aca="false">+W51+W52</f>
        <v>0</v>
      </c>
      <c r="X53" s="114" t="n">
        <f aca="false">+X51+X52</f>
        <v>0</v>
      </c>
      <c r="Y53" s="114" t="n">
        <f aca="false">+Y51+Y52</f>
        <v>0</v>
      </c>
      <c r="Z53" s="114" t="n">
        <f aca="false">+Z51+Z52</f>
        <v>0</v>
      </c>
      <c r="AA53" s="114" t="n">
        <f aca="false">+AA51+AA52</f>
        <v>0</v>
      </c>
      <c r="AB53" s="114" t="n">
        <f aca="false">+AB51+AB52</f>
        <v>0</v>
      </c>
      <c r="AC53" s="114" t="n">
        <f aca="false">+AC51+AC52</f>
        <v>0</v>
      </c>
    </row>
    <row r="54" customFormat="false" ht="11.25" hidden="false" customHeight="false" outlineLevel="0" collapsed="false">
      <c r="A54" s="115"/>
      <c r="B54" s="35" t="str">
        <f aca="false">+"Oil Revenue ("&amp;$F$5</f>
        <v>Oil Revenue (Thousands)</v>
      </c>
      <c r="D54" s="35"/>
      <c r="E54" s="110"/>
      <c r="F54" s="110"/>
      <c r="G54" s="110"/>
      <c r="H54" s="111"/>
      <c r="I54" s="116" t="e">
        <f aca="false">I49*I53*1000/unit</f>
        <v>#N/A</v>
      </c>
      <c r="J54" s="116" t="e">
        <f aca="false">J49*J53*1000/unit</f>
        <v>#VALUE!</v>
      </c>
      <c r="K54" s="116" t="e">
        <f aca="false">K49*K53*1000/unit</f>
        <v>#VALUE!</v>
      </c>
      <c r="L54" s="116" t="e">
        <f aca="false">L49*L53*1000/unit</f>
        <v>#VALUE!</v>
      </c>
      <c r="M54" s="116" t="e">
        <f aca="false">M49*M53*1000/unit</f>
        <v>#VALUE!</v>
      </c>
      <c r="N54" s="116" t="e">
        <f aca="false">N49*N53*1000/unit</f>
        <v>#VALUE!</v>
      </c>
      <c r="O54" s="116" t="e">
        <f aca="false">O49*O53*1000/unit</f>
        <v>#VALUE!</v>
      </c>
      <c r="P54" s="116" t="e">
        <f aca="false">P49*P53*1000/unit</f>
        <v>#VALUE!</v>
      </c>
      <c r="Q54" s="116" t="e">
        <f aca="false">Q49*Q53*1000/unit</f>
        <v>#VALUE!</v>
      </c>
      <c r="R54" s="116" t="e">
        <f aca="false">R49*R53*1000/unit</f>
        <v>#VALUE!</v>
      </c>
      <c r="S54" s="116" t="e">
        <f aca="false">S49*S53*1000/unit</f>
        <v>#VALUE!</v>
      </c>
      <c r="T54" s="116" t="e">
        <f aca="false">T49*T53*1000/unit</f>
        <v>#VALUE!</v>
      </c>
      <c r="U54" s="116" t="e">
        <f aca="false">U49*U53*1000/unit</f>
        <v>#VALUE!</v>
      </c>
      <c r="V54" s="116" t="e">
        <f aca="false">V49*V53*1000/unit</f>
        <v>#VALUE!</v>
      </c>
      <c r="W54" s="116" t="e">
        <f aca="false">W49*W53*1000/unit</f>
        <v>#VALUE!</v>
      </c>
      <c r="X54" s="116" t="e">
        <f aca="false">X49*X53*1000/unit</f>
        <v>#VALUE!</v>
      </c>
      <c r="Y54" s="116" t="e">
        <f aca="false">Y49*Y53*1000/unit</f>
        <v>#VALUE!</v>
      </c>
      <c r="Z54" s="116" t="e">
        <f aca="false">Z49*Z53*1000/unit</f>
        <v>#VALUE!</v>
      </c>
      <c r="AA54" s="116" t="e">
        <f aca="false">AA49*AA53*1000/unit</f>
        <v>#VALUE!</v>
      </c>
      <c r="AB54" s="116" t="e">
        <f aca="false">AB49*AB53*1000/unit</f>
        <v>#VALUE!</v>
      </c>
      <c r="AC54" s="116" t="e">
        <f aca="false">AC49*AC53*1000/unit</f>
        <v>#VALUE!</v>
      </c>
    </row>
    <row r="55" customFormat="false" ht="11.25" hidden="false" customHeight="false" outlineLevel="0" collapsed="false">
      <c r="A55" s="109"/>
      <c r="B55" s="35"/>
      <c r="D55" s="35"/>
      <c r="E55" s="110"/>
      <c r="F55" s="110"/>
      <c r="G55" s="110"/>
      <c r="H55" s="111"/>
      <c r="I55" s="111"/>
      <c r="J55" s="111"/>
      <c r="K55" s="111"/>
      <c r="L55" s="111"/>
      <c r="M55" s="111"/>
      <c r="N55" s="111"/>
      <c r="O55" s="111"/>
      <c r="P55" s="111"/>
      <c r="Q55" s="111"/>
      <c r="R55" s="111"/>
      <c r="S55" s="111"/>
      <c r="T55" s="111"/>
      <c r="U55" s="111"/>
      <c r="V55" s="111"/>
      <c r="W55" s="111"/>
      <c r="X55" s="111"/>
      <c r="Y55" s="117"/>
      <c r="Z55" s="117"/>
      <c r="AA55" s="117"/>
      <c r="AB55" s="117"/>
      <c r="AC55" s="117"/>
    </row>
    <row r="56" customFormat="false" ht="11.25" hidden="false" customHeight="false" outlineLevel="0" collapsed="false">
      <c r="A56" s="109" t="s">
        <v>181</v>
      </c>
      <c r="B56" s="43" t="s">
        <v>182</v>
      </c>
      <c r="D56" s="35"/>
      <c r="E56" s="110"/>
      <c r="F56" s="110"/>
      <c r="G56" s="110"/>
      <c r="H56" s="111"/>
      <c r="I56" s="111" t="e">
        <f aca="false">+I42</f>
        <v>#N/A</v>
      </c>
      <c r="J56" s="111" t="e">
        <f aca="false">+J42</f>
        <v>#VALUE!</v>
      </c>
      <c r="K56" s="111" t="e">
        <f aca="false">+K42</f>
        <v>#VALUE!</v>
      </c>
      <c r="L56" s="111" t="e">
        <f aca="false">+L42</f>
        <v>#VALUE!</v>
      </c>
      <c r="M56" s="111" t="e">
        <f aca="false">+M42</f>
        <v>#VALUE!</v>
      </c>
      <c r="N56" s="111" t="e">
        <f aca="false">+N42</f>
        <v>#VALUE!</v>
      </c>
      <c r="O56" s="111" t="e">
        <f aca="false">+O42</f>
        <v>#VALUE!</v>
      </c>
      <c r="P56" s="111" t="e">
        <f aca="false">+P42</f>
        <v>#VALUE!</v>
      </c>
      <c r="Q56" s="111" t="e">
        <f aca="false">+Q42</f>
        <v>#VALUE!</v>
      </c>
      <c r="R56" s="111" t="e">
        <f aca="false">+R42</f>
        <v>#VALUE!</v>
      </c>
      <c r="S56" s="111" t="e">
        <f aca="false">+S42</f>
        <v>#VALUE!</v>
      </c>
      <c r="T56" s="111" t="e">
        <f aca="false">+T42</f>
        <v>#VALUE!</v>
      </c>
      <c r="U56" s="111" t="e">
        <f aca="false">+U42</f>
        <v>#VALUE!</v>
      </c>
      <c r="V56" s="111" t="e">
        <f aca="false">+V42</f>
        <v>#VALUE!</v>
      </c>
      <c r="W56" s="111" t="e">
        <f aca="false">+W42</f>
        <v>#VALUE!</v>
      </c>
      <c r="X56" s="111" t="e">
        <f aca="false">+X42</f>
        <v>#VALUE!</v>
      </c>
      <c r="Y56" s="111" t="e">
        <f aca="false">+Y42</f>
        <v>#VALUE!</v>
      </c>
      <c r="Z56" s="111" t="e">
        <f aca="false">+Z42</f>
        <v>#VALUE!</v>
      </c>
      <c r="AA56" s="111" t="e">
        <f aca="false">+AA42</f>
        <v>#VALUE!</v>
      </c>
      <c r="AB56" s="111" t="e">
        <f aca="false">+AB42</f>
        <v>#VALUE!</v>
      </c>
      <c r="AC56" s="111" t="e">
        <f aca="false">+AC42</f>
        <v>#VALUE!</v>
      </c>
    </row>
    <row r="57" customFormat="false" ht="11.25" hidden="false" customHeight="false" outlineLevel="0" collapsed="false">
      <c r="A57" s="109"/>
      <c r="B57" s="35" t="s">
        <v>176</v>
      </c>
      <c r="D57" s="35"/>
      <c r="E57" s="110"/>
      <c r="F57" s="110"/>
      <c r="G57" s="110"/>
      <c r="H57" s="111"/>
      <c r="I57" s="26" t="n">
        <v>1</v>
      </c>
      <c r="J57" s="26" t="n">
        <v>1</v>
      </c>
      <c r="K57" s="26" t="n">
        <v>1</v>
      </c>
      <c r="L57" s="26" t="n">
        <v>1</v>
      </c>
      <c r="M57" s="26" t="n">
        <v>1</v>
      </c>
      <c r="N57" s="26" t="n">
        <v>1</v>
      </c>
      <c r="O57" s="26" t="n">
        <v>1</v>
      </c>
      <c r="P57" s="26" t="n">
        <v>1</v>
      </c>
      <c r="Q57" s="26" t="n">
        <v>1</v>
      </c>
      <c r="R57" s="26" t="n">
        <v>1</v>
      </c>
      <c r="S57" s="26" t="n">
        <v>1</v>
      </c>
      <c r="T57" s="26" t="n">
        <v>1</v>
      </c>
      <c r="U57" s="26" t="n">
        <v>1</v>
      </c>
      <c r="V57" s="26" t="n">
        <v>1</v>
      </c>
      <c r="W57" s="26" t="n">
        <v>1</v>
      </c>
      <c r="X57" s="26" t="n">
        <v>1</v>
      </c>
      <c r="Y57" s="26" t="n">
        <v>1</v>
      </c>
      <c r="Z57" s="26" t="n">
        <v>1</v>
      </c>
      <c r="AA57" s="26" t="n">
        <v>1</v>
      </c>
      <c r="AB57" s="26" t="n">
        <v>1</v>
      </c>
      <c r="AC57" s="26" t="n">
        <v>1</v>
      </c>
    </row>
    <row r="58" customFormat="false" ht="11.25" hidden="false" customHeight="false" outlineLevel="0" collapsed="false">
      <c r="A58" s="109"/>
      <c r="B58" s="43" t="s">
        <v>183</v>
      </c>
      <c r="D58" s="118" t="s">
        <v>157</v>
      </c>
      <c r="E58" s="119" t="s">
        <v>184</v>
      </c>
      <c r="F58" s="119" t="s">
        <v>185</v>
      </c>
      <c r="G58" s="119" t="s">
        <v>186</v>
      </c>
      <c r="H58" s="111"/>
      <c r="I58" s="120" t="e">
        <f aca="false">+I56*I57</f>
        <v>#N/A</v>
      </c>
      <c r="J58" s="120" t="e">
        <f aca="false">+J56*J57</f>
        <v>#VALUE!</v>
      </c>
      <c r="K58" s="120" t="e">
        <f aca="false">+K56*K57</f>
        <v>#VALUE!</v>
      </c>
      <c r="L58" s="120" t="e">
        <f aca="false">+L56*L57</f>
        <v>#VALUE!</v>
      </c>
      <c r="M58" s="120" t="e">
        <f aca="false">+M56*M57</f>
        <v>#VALUE!</v>
      </c>
      <c r="N58" s="120" t="e">
        <f aca="false">+N56*N57</f>
        <v>#VALUE!</v>
      </c>
      <c r="O58" s="120" t="e">
        <f aca="false">+O56*O57</f>
        <v>#VALUE!</v>
      </c>
      <c r="P58" s="120" t="e">
        <f aca="false">+P56*P57</f>
        <v>#VALUE!</v>
      </c>
      <c r="Q58" s="120" t="e">
        <f aca="false">+Q56*Q57</f>
        <v>#VALUE!</v>
      </c>
      <c r="R58" s="120" t="e">
        <f aca="false">+R56*R57</f>
        <v>#VALUE!</v>
      </c>
      <c r="S58" s="120" t="e">
        <f aca="false">+S56*S57</f>
        <v>#VALUE!</v>
      </c>
      <c r="T58" s="120" t="e">
        <f aca="false">+T56*T57</f>
        <v>#VALUE!</v>
      </c>
      <c r="U58" s="120" t="e">
        <f aca="false">+U56*U57</f>
        <v>#VALUE!</v>
      </c>
      <c r="V58" s="120" t="e">
        <f aca="false">+V56*V57</f>
        <v>#VALUE!</v>
      </c>
      <c r="W58" s="120" t="e">
        <f aca="false">+W56*W57</f>
        <v>#VALUE!</v>
      </c>
      <c r="X58" s="120" t="e">
        <f aca="false">+X56*X57</f>
        <v>#VALUE!</v>
      </c>
      <c r="Y58" s="120" t="e">
        <f aca="false">+Y56*Y57</f>
        <v>#VALUE!</v>
      </c>
      <c r="Z58" s="120" t="e">
        <f aca="false">+Z56*Z57</f>
        <v>#VALUE!</v>
      </c>
      <c r="AA58" s="120" t="e">
        <f aca="false">+AA56*AA57</f>
        <v>#VALUE!</v>
      </c>
      <c r="AB58" s="120" t="e">
        <f aca="false">+AB56*AB57</f>
        <v>#VALUE!</v>
      </c>
      <c r="AC58" s="120" t="e">
        <f aca="false">+AC56*AC57</f>
        <v>#VALUE!</v>
      </c>
    </row>
    <row r="59" customFormat="false" ht="11.25" hidden="false" customHeight="false" outlineLevel="0" collapsed="false">
      <c r="A59" s="109"/>
      <c r="B59" s="43" t="s">
        <v>187</v>
      </c>
      <c r="D59" s="100" t="s">
        <v>162</v>
      </c>
      <c r="E59" s="121"/>
      <c r="F59" s="121"/>
      <c r="G59" s="121"/>
      <c r="H59" s="111"/>
      <c r="I59" s="122" t="n">
        <v>1</v>
      </c>
      <c r="J59" s="122" t="n">
        <v>1</v>
      </c>
      <c r="K59" s="122" t="n">
        <v>1</v>
      </c>
      <c r="L59" s="122" t="n">
        <v>1</v>
      </c>
      <c r="M59" s="122" t="n">
        <v>1</v>
      </c>
      <c r="N59" s="122" t="n">
        <v>1</v>
      </c>
      <c r="O59" s="122" t="n">
        <v>1</v>
      </c>
      <c r="P59" s="122" t="n">
        <v>1</v>
      </c>
      <c r="Q59" s="122" t="n">
        <v>1</v>
      </c>
      <c r="R59" s="122" t="n">
        <v>1</v>
      </c>
      <c r="S59" s="122" t="n">
        <v>1</v>
      </c>
      <c r="T59" s="122" t="n">
        <v>1</v>
      </c>
      <c r="U59" s="122" t="n">
        <v>1</v>
      </c>
      <c r="V59" s="122" t="n">
        <v>1</v>
      </c>
      <c r="W59" s="122" t="n">
        <v>1</v>
      </c>
      <c r="X59" s="122" t="n">
        <v>1</v>
      </c>
      <c r="Y59" s="122" t="n">
        <v>1</v>
      </c>
      <c r="Z59" s="122" t="n">
        <v>1</v>
      </c>
      <c r="AA59" s="122" t="n">
        <v>1</v>
      </c>
      <c r="AB59" s="122" t="n">
        <v>1</v>
      </c>
      <c r="AC59" s="122" t="n">
        <v>1</v>
      </c>
    </row>
    <row r="60" customFormat="false" ht="11.25" hidden="false" customHeight="false" outlineLevel="0" collapsed="false">
      <c r="A60" s="109"/>
      <c r="B60" s="43" t="s">
        <v>188</v>
      </c>
      <c r="D60" s="35"/>
      <c r="I60" s="68" t="e">
        <f aca="false">+I59*I58</f>
        <v>#N/A</v>
      </c>
      <c r="J60" s="68" t="e">
        <f aca="false">+J59*J58</f>
        <v>#VALUE!</v>
      </c>
      <c r="K60" s="68" t="e">
        <f aca="false">+K59*K58</f>
        <v>#VALUE!</v>
      </c>
      <c r="L60" s="68" t="e">
        <f aca="false">+L59*L58</f>
        <v>#VALUE!</v>
      </c>
      <c r="M60" s="68" t="e">
        <f aca="false">+M59*M58</f>
        <v>#VALUE!</v>
      </c>
      <c r="N60" s="68" t="e">
        <f aca="false">+N59*N58</f>
        <v>#VALUE!</v>
      </c>
      <c r="O60" s="68" t="e">
        <f aca="false">+O59*O58</f>
        <v>#VALUE!</v>
      </c>
      <c r="P60" s="68" t="e">
        <f aca="false">+P59*P58</f>
        <v>#VALUE!</v>
      </c>
      <c r="Q60" s="68" t="e">
        <f aca="false">+Q59*Q58</f>
        <v>#VALUE!</v>
      </c>
      <c r="R60" s="68" t="e">
        <f aca="false">+R59*R58</f>
        <v>#VALUE!</v>
      </c>
      <c r="S60" s="68" t="e">
        <f aca="false">+S59*S58</f>
        <v>#VALUE!</v>
      </c>
      <c r="T60" s="68" t="e">
        <f aca="false">+T59*T58</f>
        <v>#VALUE!</v>
      </c>
      <c r="U60" s="68" t="e">
        <f aca="false">+U59*U58</f>
        <v>#VALUE!</v>
      </c>
      <c r="V60" s="68" t="e">
        <f aca="false">+V59*V58</f>
        <v>#VALUE!</v>
      </c>
      <c r="W60" s="68" t="e">
        <f aca="false">+W59*W58</f>
        <v>#VALUE!</v>
      </c>
      <c r="X60" s="68" t="e">
        <f aca="false">+X59*X58</f>
        <v>#VALUE!</v>
      </c>
      <c r="Y60" s="68" t="e">
        <f aca="false">+Y59*Y58</f>
        <v>#VALUE!</v>
      </c>
      <c r="Z60" s="68" t="e">
        <f aca="false">+Z59*Z58</f>
        <v>#VALUE!</v>
      </c>
      <c r="AA60" s="68" t="e">
        <f aca="false">+AA59*AA58</f>
        <v>#VALUE!</v>
      </c>
      <c r="AB60" s="68" t="e">
        <f aca="false">+AB59*AB58</f>
        <v>#VALUE!</v>
      </c>
      <c r="AC60" s="68" t="e">
        <f aca="false">+AC59*AC58</f>
        <v>#VALUE!</v>
      </c>
    </row>
    <row r="61" customFormat="false" ht="11.25" hidden="false" customHeight="false" outlineLevel="0" collapsed="false">
      <c r="A61" s="109"/>
      <c r="B61" s="43"/>
      <c r="D61" s="35"/>
      <c r="I61" s="111"/>
      <c r="J61" s="111"/>
      <c r="K61" s="111"/>
      <c r="L61" s="111"/>
      <c r="M61" s="111"/>
      <c r="N61" s="111"/>
      <c r="O61" s="111"/>
      <c r="P61" s="111"/>
      <c r="Q61" s="111"/>
      <c r="R61" s="111"/>
      <c r="S61" s="111"/>
      <c r="T61" s="111"/>
      <c r="U61" s="111"/>
      <c r="V61" s="111"/>
      <c r="W61" s="111"/>
      <c r="X61" s="111"/>
      <c r="Y61" s="111"/>
      <c r="Z61" s="111"/>
      <c r="AA61" s="111"/>
      <c r="AB61" s="111"/>
      <c r="AC61" s="111"/>
    </row>
    <row r="62" customFormat="false" ht="11.25" hidden="false" customHeight="false" outlineLevel="0" collapsed="false">
      <c r="A62" s="109"/>
      <c r="B62" s="43" t="s">
        <v>189</v>
      </c>
      <c r="G62" s="102" t="n">
        <v>5</v>
      </c>
      <c r="I62" s="123" t="n">
        <f aca="false">IF($G62=1,EP!I$197,IF($G62=2,EP!I$200,IF($G62=3,EP!I$202,IF($G62=4,EP!I$204,IF($G62=5,EP!I$206,EP!I$197)))))</f>
        <v>0</v>
      </c>
      <c r="J62" s="123" t="n">
        <f aca="false">IF($G62=1,EP!J$197,IF($G62=2,EP!J$200,IF($G62=3,EP!J$202,IF($G62=4,EP!J$204,IF($G62=5,EP!J$206,EP!J$197)))))</f>
        <v>0</v>
      </c>
      <c r="K62" s="123" t="n">
        <f aca="false">IF($G62=1,EP!K$197,IF($G62=2,EP!K$200,IF($G62=3,EP!K$202,IF($G62=4,EP!K$204,IF($G62=5,EP!K$206,EP!K$197)))))</f>
        <v>0</v>
      </c>
      <c r="L62" s="123" t="n">
        <f aca="false">IF($G62=1,EP!L$197,IF($G62=2,EP!L$200,IF($G62=3,EP!L$202,IF($G62=4,EP!L$204,IF($G62=5,EP!L$206,EP!L$197)))))</f>
        <v>0</v>
      </c>
      <c r="M62" s="123" t="n">
        <f aca="false">IF($G62=1,EP!M$197,IF($G62=2,EP!M$200,IF($G62=3,EP!M$202,IF($G62=4,EP!M$204,IF($G62=5,EP!M$206,EP!M$197)))))</f>
        <v>0</v>
      </c>
      <c r="N62" s="123" t="n">
        <f aca="false">IF($G62=1,EP!N$197,IF($G62=2,EP!N$200,IF($G62=3,EP!N$202,IF($G62=4,EP!N$204,IF($G62=5,EP!N$206,EP!N$197)))))</f>
        <v>0</v>
      </c>
      <c r="O62" s="123" t="n">
        <f aca="false">IF($G62=1,EP!O$197,IF($G62=2,EP!O$200,IF($G62=3,EP!O$202,IF($G62=4,EP!O$204,IF($G62=5,EP!O$206,EP!O$197)))))</f>
        <v>0</v>
      </c>
      <c r="P62" s="123" t="n">
        <f aca="false">IF($G62=1,EP!P$197,IF($G62=2,EP!P$200,IF($G62=3,EP!P$202,IF($G62=4,EP!P$204,IF($G62=5,EP!P$206,EP!P$197)))))</f>
        <v>0</v>
      </c>
      <c r="Q62" s="123" t="n">
        <f aca="false">IF($G62=1,EP!Q$197,IF($G62=2,EP!Q$200,IF($G62=3,EP!Q$202,IF($G62=4,EP!Q$204,IF($G62=5,EP!Q$206,EP!Q$197)))))</f>
        <v>0</v>
      </c>
      <c r="R62" s="123" t="n">
        <f aca="false">IF($G62=1,EP!R$197,IF($G62=2,EP!R$200,IF($G62=3,EP!R$202,IF($G62=4,EP!R$204,IF($G62=5,EP!R$206,EP!R$197)))))</f>
        <v>0</v>
      </c>
      <c r="S62" s="123" t="n">
        <f aca="false">IF($G62=1,EP!S$197,IF($G62=2,EP!S$200,IF($G62=3,EP!S$202,IF($G62=4,EP!S$204,IF($G62=5,EP!S$206,EP!S$197)))))</f>
        <v>0</v>
      </c>
      <c r="T62" s="123" t="n">
        <f aca="false">IF($G62=1,EP!T$197,IF($G62=2,EP!T$200,IF($G62=3,EP!T$202,IF($G62=4,EP!T$204,IF($G62=5,EP!T$206,EP!T$197)))))</f>
        <v>0</v>
      </c>
      <c r="U62" s="123" t="n">
        <f aca="false">IF($G62=1,EP!U$197,IF($G62=2,EP!U$200,IF($G62=3,EP!U$202,IF($G62=4,EP!U$204,IF($G62=5,EP!U$206,EP!U$197)))))</f>
        <v>0</v>
      </c>
      <c r="V62" s="123" t="n">
        <f aca="false">IF($G62=1,EP!V$197,IF($G62=2,EP!V$200,IF($G62=3,EP!V$202,IF($G62=4,EP!V$204,IF($G62=5,EP!V$206,EP!V$197)))))</f>
        <v>0</v>
      </c>
      <c r="W62" s="123" t="n">
        <f aca="false">IF($G62=1,EP!W$197,IF($G62=2,EP!W$200,IF($G62=3,EP!W$202,IF($G62=4,EP!W$204,IF($G62=5,EP!W$206,EP!W$197)))))</f>
        <v>0</v>
      </c>
      <c r="X62" s="123" t="n">
        <f aca="false">IF($G62=1,EP!X$197,IF($G62=2,EP!X$200,IF($G62=3,EP!X$202,IF($G62=4,EP!X$204,IF($G62=5,EP!X$206,EP!X$197)))))</f>
        <v>0</v>
      </c>
      <c r="Y62" s="123" t="n">
        <f aca="false">IF($G62=1,EP!Y$197,IF($G62=2,EP!Y$200,IF($G62=3,EP!Y$202,IF($G62=4,EP!Y$204,IF($G62=5,EP!Y$206,EP!Y$197)))))</f>
        <v>0</v>
      </c>
      <c r="Z62" s="123" t="n">
        <f aca="false">IF($G62=1,EP!Z$197,IF($G62=2,EP!Z$200,IF($G62=3,EP!Z$202,IF($G62=4,EP!Z$204,IF($G62=5,EP!Z$206,EP!Z$197)))))</f>
        <v>0</v>
      </c>
      <c r="AA62" s="123" t="n">
        <f aca="false">IF($G62=1,EP!AA$197,IF($G62=2,EP!AA$200,IF($G62=3,EP!AA$202,IF($G62=4,EP!AA$204,IF($G62=5,EP!AA$206,EP!AA$197)))))</f>
        <v>0</v>
      </c>
      <c r="AB62" s="123" t="n">
        <f aca="false">IF($G62=1,EP!AB$197,IF($G62=2,EP!AB$200,IF($G62=3,EP!AB$202,IF($G62=4,EP!AB$204,IF($G62=5,EP!AB$206,EP!AB$197)))))</f>
        <v>0</v>
      </c>
      <c r="AC62" s="123" t="n">
        <f aca="false">IF($G62=1,EP!AC$197,IF($G62=2,EP!AC$200,IF($G62=3,EP!AC$202,IF($G62=4,EP!AC$204,IF($G62=5,EP!AC$206,EP!AC$197)))))</f>
        <v>0</v>
      </c>
    </row>
    <row r="63" customFormat="false" ht="11.25" hidden="false" customHeight="false" outlineLevel="0" collapsed="false">
      <c r="A63" s="109"/>
      <c r="B63" s="43" t="s">
        <v>179</v>
      </c>
      <c r="D63" s="35"/>
      <c r="E63" s="124"/>
      <c r="F63" s="124"/>
      <c r="G63" s="124"/>
      <c r="H63" s="125"/>
      <c r="I63" s="122" t="n">
        <f aca="false">EP!I549</f>
        <v>0</v>
      </c>
      <c r="J63" s="122" t="n">
        <f aca="false">EP!J549</f>
        <v>0</v>
      </c>
      <c r="K63" s="122" t="n">
        <f aca="false">EP!K549</f>
        <v>0</v>
      </c>
      <c r="L63" s="122" t="n">
        <f aca="false">EP!L549</f>
        <v>0</v>
      </c>
      <c r="M63" s="122" t="n">
        <f aca="false">EP!M549</f>
        <v>0</v>
      </c>
      <c r="N63" s="122" t="n">
        <f aca="false">EP!N549</f>
        <v>0</v>
      </c>
      <c r="O63" s="122" t="n">
        <f aca="false">EP!O549</f>
        <v>0</v>
      </c>
      <c r="P63" s="122" t="n">
        <f aca="false">EP!P549</f>
        <v>0</v>
      </c>
      <c r="Q63" s="122" t="n">
        <f aca="false">EP!Q549</f>
        <v>0</v>
      </c>
      <c r="R63" s="122" t="n">
        <f aca="false">EP!R549</f>
        <v>0</v>
      </c>
      <c r="S63" s="122" t="n">
        <f aca="false">EP!S549</f>
        <v>0</v>
      </c>
      <c r="T63" s="122" t="n">
        <f aca="false">EP!T549</f>
        <v>0</v>
      </c>
      <c r="U63" s="122" t="n">
        <f aca="false">EP!U549</f>
        <v>0</v>
      </c>
      <c r="V63" s="122" t="n">
        <f aca="false">EP!V549</f>
        <v>0</v>
      </c>
      <c r="W63" s="122" t="n">
        <f aca="false">EP!W549</f>
        <v>0</v>
      </c>
      <c r="X63" s="122" t="n">
        <f aca="false">EP!X549</f>
        <v>0</v>
      </c>
      <c r="Y63" s="122" t="n">
        <f aca="false">EP!Y549</f>
        <v>0</v>
      </c>
      <c r="Z63" s="122" t="n">
        <f aca="false">EP!Z549</f>
        <v>0</v>
      </c>
      <c r="AA63" s="122" t="n">
        <f aca="false">EP!AA549</f>
        <v>0</v>
      </c>
      <c r="AB63" s="122" t="n">
        <f aca="false">EP!AB549</f>
        <v>0</v>
      </c>
      <c r="AC63" s="122" t="n">
        <f aca="false">EP!AC549</f>
        <v>0</v>
      </c>
    </row>
    <row r="64" customFormat="false" ht="11.25" hidden="false" customHeight="false" outlineLevel="0" collapsed="false">
      <c r="A64" s="109"/>
      <c r="B64" s="43" t="s">
        <v>190</v>
      </c>
      <c r="D64" s="35"/>
      <c r="I64" s="126" t="n">
        <f aca="false">+I62+I63</f>
        <v>0</v>
      </c>
      <c r="J64" s="126" t="n">
        <f aca="false">+J62+J63</f>
        <v>0</v>
      </c>
      <c r="K64" s="126" t="n">
        <f aca="false">+K62+K63</f>
        <v>0</v>
      </c>
      <c r="L64" s="126" t="n">
        <f aca="false">+L62+L63</f>
        <v>0</v>
      </c>
      <c r="M64" s="126" t="n">
        <f aca="false">+M62+M63</f>
        <v>0</v>
      </c>
      <c r="N64" s="126" t="n">
        <f aca="false">+N62+N63</f>
        <v>0</v>
      </c>
      <c r="O64" s="126" t="n">
        <f aca="false">+O62+O63</f>
        <v>0</v>
      </c>
      <c r="P64" s="126" t="n">
        <f aca="false">+P62+P63</f>
        <v>0</v>
      </c>
      <c r="Q64" s="126" t="n">
        <f aca="false">+Q62+Q63</f>
        <v>0</v>
      </c>
      <c r="R64" s="126" t="n">
        <f aca="false">+R62+R63</f>
        <v>0</v>
      </c>
      <c r="S64" s="126" t="n">
        <f aca="false">+S62+S63</f>
        <v>0</v>
      </c>
      <c r="T64" s="126" t="n">
        <f aca="false">+T62+T63</f>
        <v>0</v>
      </c>
      <c r="U64" s="126" t="n">
        <f aca="false">+U62+U63</f>
        <v>0</v>
      </c>
      <c r="V64" s="126" t="n">
        <f aca="false">+V62+V63</f>
        <v>0</v>
      </c>
      <c r="W64" s="126" t="n">
        <f aca="false">+W62+W63</f>
        <v>0</v>
      </c>
      <c r="X64" s="126" t="n">
        <f aca="false">+X62+X63</f>
        <v>0</v>
      </c>
      <c r="Y64" s="126" t="n">
        <f aca="false">+Y62+Y63</f>
        <v>0</v>
      </c>
      <c r="Z64" s="126" t="n">
        <f aca="false">+Z62+Z63</f>
        <v>0</v>
      </c>
      <c r="AA64" s="126" t="n">
        <f aca="false">+AA62+AA63</f>
        <v>0</v>
      </c>
      <c r="AB64" s="126" t="n">
        <f aca="false">+AB62+AB63</f>
        <v>0</v>
      </c>
      <c r="AC64" s="126" t="n">
        <f aca="false">+AC62+AC63</f>
        <v>0</v>
      </c>
    </row>
    <row r="65" customFormat="false" ht="11.25" hidden="false" customHeight="false" outlineLevel="0" collapsed="false">
      <c r="A65" s="109"/>
      <c r="B65" s="35" t="str">
        <f aca="false">+"Gas Revenues ("&amp;$F$5</f>
        <v>Gas Revenues (Thousands)</v>
      </c>
      <c r="D65" s="35"/>
      <c r="I65" s="127" t="e">
        <f aca="false">I60*1000*I64/unit</f>
        <v>#N/A</v>
      </c>
      <c r="J65" s="127" t="e">
        <f aca="false">J60*1000*J64/unit</f>
        <v>#VALUE!</v>
      </c>
      <c r="K65" s="127" t="e">
        <f aca="false">K60*1000*K64/unit</f>
        <v>#VALUE!</v>
      </c>
      <c r="L65" s="127" t="e">
        <f aca="false">L60*1000*L64/unit</f>
        <v>#VALUE!</v>
      </c>
      <c r="M65" s="127" t="e">
        <f aca="false">M60*1000*M64/unit</f>
        <v>#VALUE!</v>
      </c>
      <c r="N65" s="127" t="e">
        <f aca="false">N60*1000*N64/unit</f>
        <v>#VALUE!</v>
      </c>
      <c r="O65" s="127" t="e">
        <f aca="false">O60*1000*O64/unit</f>
        <v>#VALUE!</v>
      </c>
      <c r="P65" s="127" t="e">
        <f aca="false">P60*1000*P64/unit</f>
        <v>#VALUE!</v>
      </c>
      <c r="Q65" s="127" t="e">
        <f aca="false">Q60*1000*Q64/unit</f>
        <v>#VALUE!</v>
      </c>
      <c r="R65" s="127" t="e">
        <f aca="false">R60*1000*R64/unit</f>
        <v>#VALUE!</v>
      </c>
      <c r="S65" s="127" t="e">
        <f aca="false">S60*1000*S64/unit</f>
        <v>#VALUE!</v>
      </c>
      <c r="T65" s="127" t="e">
        <f aca="false">T60*1000*T64/unit</f>
        <v>#VALUE!</v>
      </c>
      <c r="U65" s="127" t="e">
        <f aca="false">U60*1000*U64/unit</f>
        <v>#VALUE!</v>
      </c>
      <c r="V65" s="127" t="e">
        <f aca="false">V60*1000*V64/unit</f>
        <v>#VALUE!</v>
      </c>
      <c r="W65" s="127" t="e">
        <f aca="false">W60*1000*W64/unit</f>
        <v>#VALUE!</v>
      </c>
      <c r="X65" s="127" t="e">
        <f aca="false">X60*1000*X64/unit</f>
        <v>#VALUE!</v>
      </c>
      <c r="Y65" s="127" t="e">
        <f aca="false">Y60*1000*Y64/unit</f>
        <v>#VALUE!</v>
      </c>
      <c r="Z65" s="127" t="e">
        <f aca="false">Z60*1000*Z64/unit</f>
        <v>#VALUE!</v>
      </c>
      <c r="AA65" s="127" t="e">
        <f aca="false">AA60*1000*AA64/unit</f>
        <v>#VALUE!</v>
      </c>
      <c r="AB65" s="127" t="e">
        <f aca="false">AB60*1000*AB64/unit</f>
        <v>#VALUE!</v>
      </c>
      <c r="AC65" s="127" t="e">
        <f aca="false">AC60*1000*AC64/unit</f>
        <v>#VALUE!</v>
      </c>
    </row>
    <row r="66" customFormat="false" ht="11.25" hidden="false" customHeight="false" outlineLevel="0" collapsed="false">
      <c r="A66" s="109"/>
      <c r="B66" s="35"/>
      <c r="D66" s="35"/>
      <c r="E66" s="128"/>
      <c r="F66" s="128"/>
      <c r="G66" s="128"/>
      <c r="H66" s="111"/>
      <c r="I66" s="111"/>
      <c r="J66" s="111"/>
      <c r="K66" s="111"/>
      <c r="L66" s="111"/>
      <c r="M66" s="111"/>
      <c r="N66" s="111"/>
      <c r="O66" s="111"/>
      <c r="P66" s="111"/>
      <c r="Q66" s="111"/>
      <c r="R66" s="111"/>
      <c r="S66" s="111"/>
      <c r="T66" s="111"/>
      <c r="U66" s="111"/>
      <c r="V66" s="111"/>
      <c r="W66" s="111"/>
      <c r="X66" s="111"/>
      <c r="Y66" s="117"/>
      <c r="Z66" s="117"/>
      <c r="AA66" s="117"/>
      <c r="AB66" s="117"/>
      <c r="AC66" s="117"/>
    </row>
    <row r="67" customFormat="false" ht="11.25" hidden="false" customHeight="false" outlineLevel="0" collapsed="false">
      <c r="A67" s="4" t="s">
        <v>191</v>
      </c>
      <c r="D67" s="35"/>
      <c r="I67" s="111" t="e">
        <f aca="false">I65+I54</f>
        <v>#N/A</v>
      </c>
      <c r="J67" s="111" t="e">
        <f aca="false">J65+J54</f>
        <v>#VALUE!</v>
      </c>
      <c r="K67" s="111" t="e">
        <f aca="false">K65+K54</f>
        <v>#VALUE!</v>
      </c>
      <c r="L67" s="111" t="e">
        <f aca="false">L65+L54</f>
        <v>#VALUE!</v>
      </c>
      <c r="M67" s="111" t="e">
        <f aca="false">M65+M54</f>
        <v>#VALUE!</v>
      </c>
      <c r="N67" s="111" t="e">
        <f aca="false">N65+N54</f>
        <v>#VALUE!</v>
      </c>
      <c r="O67" s="111" t="e">
        <f aca="false">O65+O54</f>
        <v>#VALUE!</v>
      </c>
      <c r="P67" s="111" t="e">
        <f aca="false">P65+P54</f>
        <v>#VALUE!</v>
      </c>
      <c r="Q67" s="111" t="e">
        <f aca="false">Q65+Q54</f>
        <v>#VALUE!</v>
      </c>
      <c r="R67" s="111" t="e">
        <f aca="false">R65+R54</f>
        <v>#VALUE!</v>
      </c>
      <c r="S67" s="111" t="e">
        <f aca="false">S65+S54</f>
        <v>#VALUE!</v>
      </c>
      <c r="T67" s="111" t="e">
        <f aca="false">T65+T54</f>
        <v>#VALUE!</v>
      </c>
      <c r="U67" s="111" t="e">
        <f aca="false">U65+U54</f>
        <v>#VALUE!</v>
      </c>
      <c r="V67" s="111" t="e">
        <f aca="false">V65+V54</f>
        <v>#VALUE!</v>
      </c>
      <c r="W67" s="111" t="e">
        <f aca="false">W65+W54</f>
        <v>#VALUE!</v>
      </c>
      <c r="X67" s="111" t="e">
        <f aca="false">X65+X54</f>
        <v>#VALUE!</v>
      </c>
      <c r="Y67" s="111" t="e">
        <f aca="false">Y65+Y54</f>
        <v>#VALUE!</v>
      </c>
      <c r="Z67" s="111" t="e">
        <f aca="false">Z65+Z54</f>
        <v>#VALUE!</v>
      </c>
      <c r="AA67" s="111" t="e">
        <f aca="false">AA65+AA54</f>
        <v>#VALUE!</v>
      </c>
      <c r="AB67" s="111" t="e">
        <f aca="false">AB65+AB54</f>
        <v>#VALUE!</v>
      </c>
      <c r="AC67" s="111" t="e">
        <f aca="false">AC65+AC54</f>
        <v>#VALUE!</v>
      </c>
    </row>
    <row r="68" customFormat="false" ht="12" hidden="false" customHeight="false" outlineLevel="0" collapsed="false">
      <c r="A68" s="4"/>
      <c r="B68" s="35"/>
      <c r="D68" s="35"/>
      <c r="E68" s="129"/>
      <c r="F68" s="129"/>
      <c r="G68" s="129"/>
      <c r="H68" s="111"/>
      <c r="I68" s="111"/>
      <c r="J68" s="111"/>
      <c r="K68" s="111"/>
      <c r="L68" s="111"/>
      <c r="M68" s="111"/>
      <c r="N68" s="111"/>
      <c r="O68" s="111"/>
      <c r="P68" s="111"/>
      <c r="Q68" s="111"/>
      <c r="R68" s="111"/>
      <c r="S68" s="111"/>
      <c r="T68" s="111"/>
      <c r="U68" s="111"/>
      <c r="V68" s="111"/>
      <c r="W68" s="111"/>
      <c r="X68" s="111"/>
      <c r="Y68" s="117"/>
      <c r="Z68" s="117"/>
      <c r="AA68" s="117"/>
      <c r="AB68" s="117"/>
      <c r="AC68" s="117"/>
    </row>
    <row r="69" customFormat="false" ht="12" hidden="false" customHeight="false" outlineLevel="0" collapsed="false">
      <c r="A69" s="130"/>
      <c r="B69" s="130"/>
      <c r="C69" s="130"/>
      <c r="D69" s="130"/>
      <c r="E69" s="130"/>
      <c r="F69" s="130"/>
      <c r="G69" s="130"/>
      <c r="H69" s="130"/>
      <c r="I69" s="130"/>
      <c r="J69" s="130"/>
      <c r="K69" s="130"/>
      <c r="L69" s="130"/>
      <c r="M69" s="130"/>
      <c r="N69" s="130"/>
      <c r="O69" s="130"/>
      <c r="P69" s="130"/>
      <c r="Q69" s="130"/>
      <c r="R69" s="130"/>
      <c r="S69" s="130"/>
      <c r="T69" s="130"/>
      <c r="U69" s="130"/>
      <c r="V69" s="130"/>
      <c r="W69" s="130"/>
      <c r="X69" s="130"/>
      <c r="Y69" s="130"/>
      <c r="Z69" s="130"/>
      <c r="AA69" s="130"/>
      <c r="AB69" s="130"/>
      <c r="AC69" s="130"/>
    </row>
    <row r="70" customFormat="false" ht="11.25" hidden="false" customHeight="false" outlineLevel="0" collapsed="false">
      <c r="A70" s="4"/>
      <c r="B70" s="4" t="s">
        <v>192</v>
      </c>
      <c r="C70" s="103"/>
      <c r="D70" s="103"/>
      <c r="E70" s="111"/>
      <c r="F70" s="111"/>
      <c r="G70" s="111"/>
      <c r="H70" s="111"/>
      <c r="I70" s="111"/>
      <c r="J70" s="111"/>
      <c r="K70" s="111"/>
      <c r="L70" s="111"/>
      <c r="M70" s="111"/>
      <c r="N70" s="111"/>
      <c r="O70" s="111"/>
      <c r="P70" s="111"/>
      <c r="Q70" s="111"/>
      <c r="R70" s="111"/>
      <c r="S70" s="111"/>
      <c r="T70" s="111"/>
      <c r="U70" s="111"/>
      <c r="V70" s="111"/>
      <c r="W70" s="111"/>
      <c r="X70" s="111"/>
      <c r="Y70" s="111"/>
      <c r="Z70" s="111"/>
      <c r="AA70" s="111"/>
      <c r="AB70" s="111"/>
      <c r="AC70" s="111"/>
    </row>
    <row r="71" customFormat="false" ht="11.25" hidden="false" customHeight="false" outlineLevel="0" collapsed="false">
      <c r="A71" s="4"/>
      <c r="B71" s="43" t="s">
        <v>193</v>
      </c>
      <c r="C71" s="131" t="s">
        <v>194</v>
      </c>
      <c r="D71" s="12" t="n">
        <f aca="false">+D100</f>
        <v>6</v>
      </c>
      <c r="F71" s="111"/>
      <c r="G71" s="111"/>
      <c r="H71" s="111" t="s">
        <v>195</v>
      </c>
      <c r="I71" s="111" t="e">
        <f aca="false">+I37*1000</f>
        <v>#N/A</v>
      </c>
      <c r="J71" s="111" t="e">
        <f aca="false">+J37*1000</f>
        <v>#VALUE!</v>
      </c>
      <c r="K71" s="111" t="e">
        <f aca="false">+K37*1000</f>
        <v>#VALUE!</v>
      </c>
      <c r="L71" s="111" t="e">
        <f aca="false">+L37*1000</f>
        <v>#VALUE!</v>
      </c>
      <c r="M71" s="111" t="e">
        <f aca="false">+M37*1000</f>
        <v>#VALUE!</v>
      </c>
      <c r="N71" s="111" t="e">
        <f aca="false">+N37*1000</f>
        <v>#VALUE!</v>
      </c>
      <c r="O71" s="111" t="e">
        <f aca="false">+O37*1000</f>
        <v>#VALUE!</v>
      </c>
      <c r="P71" s="111" t="e">
        <f aca="false">+P37*1000</f>
        <v>#VALUE!</v>
      </c>
      <c r="Q71" s="111" t="e">
        <f aca="false">+Q37*1000</f>
        <v>#VALUE!</v>
      </c>
      <c r="R71" s="111" t="e">
        <f aca="false">+R37*1000</f>
        <v>#VALUE!</v>
      </c>
      <c r="S71" s="111" t="e">
        <f aca="false">+S37*1000</f>
        <v>#VALUE!</v>
      </c>
      <c r="T71" s="111" t="e">
        <f aca="false">+T37*1000</f>
        <v>#VALUE!</v>
      </c>
      <c r="U71" s="111" t="e">
        <f aca="false">+U37*1000</f>
        <v>#VALUE!</v>
      </c>
      <c r="V71" s="111" t="e">
        <f aca="false">+V37*1000</f>
        <v>#VALUE!</v>
      </c>
      <c r="W71" s="111" t="e">
        <f aca="false">+W37*1000</f>
        <v>#VALUE!</v>
      </c>
      <c r="X71" s="111" t="e">
        <f aca="false">+X37*1000</f>
        <v>#VALUE!</v>
      </c>
      <c r="Y71" s="111" t="e">
        <f aca="false">+Y37*1000</f>
        <v>#VALUE!</v>
      </c>
      <c r="Z71" s="111" t="e">
        <f aca="false">+Z37*1000</f>
        <v>#VALUE!</v>
      </c>
      <c r="AA71" s="111" t="e">
        <f aca="false">+AA37*1000</f>
        <v>#VALUE!</v>
      </c>
      <c r="AB71" s="111" t="e">
        <f aca="false">+AB37*1000</f>
        <v>#VALUE!</v>
      </c>
      <c r="AC71" s="111" t="e">
        <f aca="false">+AC37*1000</f>
        <v>#VALUE!</v>
      </c>
    </row>
    <row r="72" customFormat="false" ht="11.25" hidden="false" customHeight="false" outlineLevel="0" collapsed="false">
      <c r="A72" s="4"/>
      <c r="B72" s="65"/>
      <c r="C72" s="131"/>
      <c r="D72" s="103"/>
      <c r="E72" s="111"/>
      <c r="F72" s="111"/>
      <c r="G72" s="111"/>
      <c r="H72" s="111"/>
      <c r="I72" s="111"/>
      <c r="J72" s="111"/>
      <c r="K72" s="111"/>
      <c r="L72" s="111"/>
      <c r="M72" s="111"/>
      <c r="N72" s="111"/>
      <c r="O72" s="111"/>
      <c r="P72" s="111"/>
      <c r="Q72" s="111"/>
      <c r="R72" s="111"/>
      <c r="S72" s="111"/>
      <c r="T72" s="111"/>
      <c r="U72" s="111"/>
      <c r="V72" s="111"/>
      <c r="W72" s="111"/>
      <c r="X72" s="111"/>
      <c r="Y72" s="111"/>
      <c r="Z72" s="111"/>
      <c r="AA72" s="111"/>
      <c r="AB72" s="111"/>
      <c r="AC72" s="111"/>
    </row>
    <row r="73" customFormat="false" ht="11.25" hidden="false" customHeight="false" outlineLevel="0" collapsed="false">
      <c r="A73" s="4"/>
      <c r="B73" s="94" t="s">
        <v>157</v>
      </c>
      <c r="C73" s="132" t="s">
        <v>162</v>
      </c>
      <c r="E73" s="43" t="s">
        <v>196</v>
      </c>
      <c r="H73" s="95" t="n">
        <v>3.822</v>
      </c>
    </row>
    <row r="74" customFormat="false" ht="11.25" hidden="false" customHeight="false" outlineLevel="0" collapsed="false">
      <c r="A74" s="4"/>
      <c r="B74" s="133" t="s">
        <v>158</v>
      </c>
      <c r="C74" s="132"/>
      <c r="E74" s="12" t="s">
        <v>197</v>
      </c>
      <c r="H74" s="134" t="n">
        <v>1</v>
      </c>
    </row>
    <row r="75" customFormat="false" ht="11.25" hidden="false" customHeight="false" outlineLevel="0" collapsed="false">
      <c r="A75" s="4"/>
      <c r="B75" s="133" t="s">
        <v>159</v>
      </c>
      <c r="C75" s="132"/>
      <c r="E75" s="43" t="s">
        <v>198</v>
      </c>
      <c r="H75" s="135" t="n">
        <f aca="false">+H73*H74</f>
        <v>3.822</v>
      </c>
    </row>
    <row r="76" customFormat="false" ht="11.25" hidden="false" customHeight="false" outlineLevel="0" collapsed="false">
      <c r="A76" s="4"/>
      <c r="B76" s="133" t="s">
        <v>160</v>
      </c>
      <c r="C76" s="132"/>
      <c r="E76" s="43" t="s">
        <v>199</v>
      </c>
      <c r="H76" s="136" t="n">
        <v>3</v>
      </c>
      <c r="I76" s="137"/>
      <c r="J76" s="137"/>
      <c r="K76" s="137"/>
      <c r="L76" s="137"/>
      <c r="M76" s="137"/>
      <c r="N76" s="137"/>
      <c r="O76" s="137"/>
      <c r="P76" s="137"/>
      <c r="Q76" s="137"/>
      <c r="R76" s="137"/>
      <c r="S76" s="137"/>
      <c r="T76" s="137"/>
      <c r="U76" s="137"/>
      <c r="V76" s="137"/>
      <c r="W76" s="137"/>
      <c r="X76" s="137"/>
      <c r="Y76" s="137"/>
      <c r="Z76" s="137"/>
      <c r="AA76" s="137"/>
      <c r="AB76" s="137"/>
      <c r="AC76" s="137"/>
    </row>
    <row r="77" customFormat="false" ht="11.25" hidden="false" customHeight="false" outlineLevel="0" collapsed="false">
      <c r="A77" s="4"/>
      <c r="B77" s="138" t="s">
        <v>200</v>
      </c>
      <c r="E77" s="88"/>
      <c r="F77" s="88"/>
      <c r="G77" s="88"/>
      <c r="H77" s="88"/>
      <c r="I77" s="88" t="e">
        <f aca="false">($H75)*(I71)*(IF($H76=1,EP!I$185,IF($H76=2,EP!I$188,IF($H76=3,EP!I$191,0))))/unit</f>
        <v>#N/A</v>
      </c>
      <c r="J77" s="88" t="e">
        <f aca="false">($H75)*(J71)*(IF($H76=1,EP!J$185,IF($H76=2,EP!J$188,IF($H76=3,EP!J$191,0))))/unit</f>
        <v>#VALUE!</v>
      </c>
      <c r="K77" s="88" t="e">
        <f aca="false">($H75)*(K71)*(IF($H76=1,EP!K$185,IF($H76=2,EP!K$188,IF($H76=3,EP!K$191,0))))/unit</f>
        <v>#VALUE!</v>
      </c>
      <c r="L77" s="88" t="e">
        <f aca="false">($H75)*(L71)*(IF($H76=1,EP!L$185,IF($H76=2,EP!L$188,IF($H76=3,EP!L$191,0))))/unit</f>
        <v>#VALUE!</v>
      </c>
      <c r="M77" s="88" t="e">
        <f aca="false">($H75)*(M71)*(IF($H76=1,EP!M$185,IF($H76=2,EP!M$188,IF($H76=3,EP!M$191,0))))/unit</f>
        <v>#VALUE!</v>
      </c>
      <c r="N77" s="88" t="e">
        <f aca="false">($H75)*(N71)*(IF($H76=1,EP!N$185,IF($H76=2,EP!N$188,IF($H76=3,EP!N$191,0))))/unit</f>
        <v>#VALUE!</v>
      </c>
      <c r="O77" s="88" t="e">
        <f aca="false">($H75)*(O71)*(IF($H76=1,EP!O$185,IF($H76=2,EP!O$188,IF($H76=3,EP!O$191,0))))/unit</f>
        <v>#VALUE!</v>
      </c>
      <c r="P77" s="88" t="e">
        <f aca="false">($H75)*(P71)*(IF($H76=1,EP!P$185,IF($H76=2,EP!P$188,IF($H76=3,EP!P$191,0))))/unit</f>
        <v>#VALUE!</v>
      </c>
      <c r="Q77" s="88" t="e">
        <f aca="false">($H75)*(Q71)*(IF($H76=1,EP!Q$185,IF($H76=2,EP!Q$188,IF($H76=3,EP!Q$191,0))))/unit</f>
        <v>#VALUE!</v>
      </c>
      <c r="R77" s="88" t="e">
        <f aca="false">($H75)*(R71)*(IF($H76=1,EP!R$185,IF($H76=2,EP!R$188,IF($H76=3,EP!R$191,0))))/unit</f>
        <v>#VALUE!</v>
      </c>
      <c r="S77" s="88" t="e">
        <f aca="false">($H75)*(S71)*(IF($H76=1,EP!S$185,IF($H76=2,EP!S$188,IF($H76=3,EP!S$191,0))))/unit</f>
        <v>#VALUE!</v>
      </c>
      <c r="T77" s="88" t="e">
        <f aca="false">($H75)*(T71)*(IF($H76=1,EP!T$185,IF($H76=2,EP!T$188,IF($H76=3,EP!T$191,0))))/unit</f>
        <v>#VALUE!</v>
      </c>
      <c r="U77" s="88" t="e">
        <f aca="false">($H75)*(U71)*(IF($H76=1,EP!U$185,IF($H76=2,EP!U$188,IF($H76=3,EP!U$191,0))))/unit</f>
        <v>#VALUE!</v>
      </c>
      <c r="V77" s="88" t="e">
        <f aca="false">($H75)*(V71)*(IF($H76=1,EP!V$185,IF($H76=2,EP!V$188,IF($H76=3,EP!V$191,0))))/unit</f>
        <v>#VALUE!</v>
      </c>
      <c r="W77" s="88" t="e">
        <f aca="false">($H75)*(W71)*(IF($H76=1,EP!W$185,IF($H76=2,EP!W$188,IF($H76=3,EP!W$191,0))))/unit</f>
        <v>#VALUE!</v>
      </c>
      <c r="X77" s="88" t="e">
        <f aca="false">($H75)*(X71)*(IF($H76=1,EP!X$185,IF($H76=2,EP!X$188,IF($H76=3,EP!X$191,0))))/unit</f>
        <v>#VALUE!</v>
      </c>
      <c r="Y77" s="88" t="e">
        <f aca="false">($H75)*(Y71)*(IF($H76=1,EP!Y$185,IF($H76=2,EP!Y$188,IF($H76=3,EP!Y$191,0))))/unit</f>
        <v>#VALUE!</v>
      </c>
      <c r="Z77" s="88" t="e">
        <f aca="false">($H75)*(Z71)*(IF($H76=1,EP!Z$185,IF($H76=2,EP!Z$188,IF($H76=3,EP!Z$191,0))))/unit</f>
        <v>#VALUE!</v>
      </c>
      <c r="AA77" s="88" t="e">
        <f aca="false">($H75)*(AA71)*(IF($H76=1,EP!AA$185,IF($H76=2,EP!AA$188,IF($H76=3,EP!AA$191,0))))/unit</f>
        <v>#VALUE!</v>
      </c>
      <c r="AB77" s="88" t="e">
        <f aca="false">($H75)*(AB71)*(IF($H76=1,EP!AB$185,IF($H76=2,EP!AB$188,IF($H76=3,EP!AB$191,0))))/unit</f>
        <v>#VALUE!</v>
      </c>
      <c r="AC77" s="88" t="e">
        <f aca="false">($H75)*(AC71)*(IF($H76=1,EP!AC$185,IF($H76=2,EP!AC$188,IF($H76=3,EP!AC$191,0))))/unit</f>
        <v>#VALUE!</v>
      </c>
    </row>
    <row r="78" customFormat="false" ht="11.25" hidden="false" customHeight="false" outlineLevel="0" collapsed="false">
      <c r="A78" s="4"/>
      <c r="B78" s="138"/>
      <c r="E78" s="88"/>
      <c r="F78" s="88"/>
      <c r="G78" s="88"/>
      <c r="H78" s="88"/>
      <c r="I78" s="88"/>
      <c r="J78" s="88"/>
      <c r="K78" s="88"/>
      <c r="L78" s="88"/>
      <c r="M78" s="88"/>
      <c r="N78" s="88"/>
      <c r="O78" s="88"/>
      <c r="P78" s="88"/>
      <c r="Q78" s="88"/>
      <c r="R78" s="88"/>
      <c r="S78" s="88"/>
      <c r="T78" s="88"/>
      <c r="U78" s="88"/>
      <c r="V78" s="88"/>
      <c r="W78" s="88"/>
      <c r="X78" s="88"/>
      <c r="Y78" s="88"/>
      <c r="Z78" s="88"/>
      <c r="AA78" s="88"/>
      <c r="AB78" s="88"/>
      <c r="AC78" s="88"/>
    </row>
    <row r="79" customFormat="false" ht="11.25" hidden="false" customHeight="false" outlineLevel="0" collapsed="false">
      <c r="A79" s="4"/>
      <c r="B79" s="138" t="s">
        <v>201</v>
      </c>
      <c r="E79" s="139" t="s">
        <v>202</v>
      </c>
      <c r="F79" s="88"/>
      <c r="G79" s="88"/>
      <c r="H79" s="134" t="n">
        <v>0.092</v>
      </c>
      <c r="I79" s="88" t="e">
        <f aca="false">+$H79*I67</f>
        <v>#N/A</v>
      </c>
      <c r="J79" s="88" t="e">
        <f aca="false">+$H79*J67</f>
        <v>#VALUE!</v>
      </c>
      <c r="K79" s="88" t="e">
        <f aca="false">+$H79*K67</f>
        <v>#VALUE!</v>
      </c>
      <c r="L79" s="88" t="e">
        <f aca="false">+$H79*L67</f>
        <v>#VALUE!</v>
      </c>
      <c r="M79" s="88" t="e">
        <f aca="false">+$H79*M67</f>
        <v>#VALUE!</v>
      </c>
      <c r="N79" s="88" t="e">
        <f aca="false">+$H79*N67</f>
        <v>#VALUE!</v>
      </c>
      <c r="O79" s="88" t="e">
        <f aca="false">+$H79*O67</f>
        <v>#VALUE!</v>
      </c>
      <c r="P79" s="88" t="e">
        <f aca="false">+$H79*P67</f>
        <v>#VALUE!</v>
      </c>
      <c r="Q79" s="88" t="e">
        <f aca="false">+$H79*Q67</f>
        <v>#VALUE!</v>
      </c>
      <c r="R79" s="88" t="e">
        <f aca="false">+$H79*R67</f>
        <v>#VALUE!</v>
      </c>
      <c r="S79" s="88" t="e">
        <f aca="false">+$H79*S67</f>
        <v>#VALUE!</v>
      </c>
      <c r="T79" s="88" t="e">
        <f aca="false">+$H79*T67</f>
        <v>#VALUE!</v>
      </c>
      <c r="U79" s="88" t="e">
        <f aca="false">+$H79*U67</f>
        <v>#VALUE!</v>
      </c>
      <c r="V79" s="88" t="e">
        <f aca="false">+$H79*V67</f>
        <v>#VALUE!</v>
      </c>
      <c r="W79" s="88" t="e">
        <f aca="false">+$H79*W67</f>
        <v>#VALUE!</v>
      </c>
      <c r="X79" s="88" t="e">
        <f aca="false">+$H79*X67</f>
        <v>#VALUE!</v>
      </c>
      <c r="Y79" s="88" t="e">
        <f aca="false">+$H79*Y67</f>
        <v>#VALUE!</v>
      </c>
      <c r="Z79" s="88" t="e">
        <f aca="false">+$H79*Z67</f>
        <v>#VALUE!</v>
      </c>
      <c r="AA79" s="88" t="e">
        <f aca="false">+$H79*AA67</f>
        <v>#VALUE!</v>
      </c>
      <c r="AB79" s="88" t="e">
        <f aca="false">+$H79*AB67</f>
        <v>#VALUE!</v>
      </c>
      <c r="AC79" s="88" t="e">
        <f aca="false">+$H79*AC67</f>
        <v>#VALUE!</v>
      </c>
    </row>
    <row r="80" customFormat="false" ht="11.25" hidden="false" customHeight="false" outlineLevel="0" collapsed="false">
      <c r="A80" s="4"/>
      <c r="B80" s="138"/>
      <c r="E80" s="88"/>
      <c r="F80" s="88"/>
      <c r="G80" s="88"/>
      <c r="H80" s="88"/>
      <c r="I80" s="88"/>
      <c r="J80" s="88"/>
      <c r="K80" s="88"/>
      <c r="L80" s="88"/>
      <c r="M80" s="88"/>
      <c r="N80" s="88"/>
      <c r="O80" s="88"/>
      <c r="P80" s="88"/>
      <c r="Q80" s="88"/>
      <c r="R80" s="88"/>
      <c r="S80" s="88"/>
      <c r="T80" s="88"/>
      <c r="U80" s="88"/>
      <c r="V80" s="88"/>
      <c r="W80" s="88"/>
      <c r="X80" s="88"/>
      <c r="Y80" s="88"/>
      <c r="Z80" s="88"/>
      <c r="AA80" s="88"/>
      <c r="AB80" s="88"/>
      <c r="AC80" s="88"/>
    </row>
    <row r="81" customFormat="false" ht="11.25" hidden="false" customHeight="false" outlineLevel="0" collapsed="false">
      <c r="A81" s="4"/>
      <c r="B81" s="138" t="s">
        <v>203</v>
      </c>
      <c r="E81" s="88"/>
      <c r="F81" s="88"/>
      <c r="G81" s="88"/>
      <c r="H81" s="88"/>
      <c r="I81" s="88"/>
      <c r="J81" s="88"/>
      <c r="K81" s="88"/>
      <c r="L81" s="88"/>
      <c r="M81" s="88"/>
      <c r="N81" s="88"/>
      <c r="O81" s="88"/>
      <c r="P81" s="88"/>
      <c r="Q81" s="88"/>
      <c r="R81" s="88"/>
      <c r="S81" s="88"/>
      <c r="T81" s="88"/>
      <c r="U81" s="88"/>
      <c r="V81" s="88"/>
      <c r="W81" s="88"/>
      <c r="X81" s="88"/>
      <c r="Y81" s="88"/>
      <c r="Z81" s="88"/>
      <c r="AA81" s="88"/>
      <c r="AB81" s="88"/>
      <c r="AC81" s="88"/>
    </row>
    <row r="82" customFormat="false" ht="11.25" hidden="false" customHeight="false" outlineLevel="0" collapsed="false">
      <c r="A82" s="4"/>
      <c r="B82" s="94" t="s">
        <v>157</v>
      </c>
      <c r="C82" s="132" t="s">
        <v>162</v>
      </c>
      <c r="E82" s="43" t="s">
        <v>204</v>
      </c>
      <c r="H82" s="136" t="n">
        <v>0</v>
      </c>
      <c r="I82" s="140"/>
      <c r="J82" s="140"/>
      <c r="K82" s="140"/>
      <c r="L82" s="140"/>
      <c r="M82" s="140"/>
      <c r="N82" s="140"/>
      <c r="O82" s="140"/>
      <c r="P82" s="140"/>
      <c r="Q82" s="140"/>
      <c r="R82" s="140"/>
      <c r="S82" s="140"/>
      <c r="T82" s="140"/>
      <c r="U82" s="140"/>
      <c r="V82" s="140"/>
      <c r="W82" s="140"/>
      <c r="X82" s="140"/>
      <c r="Y82" s="140"/>
      <c r="Z82" s="140"/>
      <c r="AA82" s="140"/>
      <c r="AB82" s="140"/>
      <c r="AC82" s="140"/>
    </row>
    <row r="83" customFormat="false" ht="11.25" hidden="false" customHeight="false" outlineLevel="0" collapsed="false">
      <c r="A83" s="4"/>
      <c r="B83" s="133" t="s">
        <v>158</v>
      </c>
      <c r="C83" s="132"/>
      <c r="E83" s="12" t="s">
        <v>197</v>
      </c>
      <c r="H83" s="134" t="n">
        <v>1</v>
      </c>
      <c r="I83" s="80"/>
      <c r="J83" s="80"/>
      <c r="K83" s="80"/>
      <c r="L83" s="80"/>
      <c r="M83" s="80"/>
      <c r="N83" s="80"/>
      <c r="O83" s="80"/>
      <c r="P83" s="80"/>
      <c r="Q83" s="80"/>
      <c r="R83" s="80"/>
      <c r="S83" s="80"/>
      <c r="T83" s="80"/>
      <c r="U83" s="80"/>
      <c r="V83" s="80"/>
      <c r="W83" s="80"/>
      <c r="X83" s="80"/>
      <c r="Y83" s="80"/>
      <c r="Z83" s="80"/>
      <c r="AA83" s="80"/>
      <c r="AB83" s="80"/>
      <c r="AC83" s="80"/>
    </row>
    <row r="84" customFormat="false" ht="11.25" hidden="false" customHeight="false" outlineLevel="0" collapsed="false">
      <c r="A84" s="4"/>
      <c r="B84" s="133" t="s">
        <v>159</v>
      </c>
      <c r="C84" s="132"/>
      <c r="E84" s="43" t="s">
        <v>198</v>
      </c>
      <c r="H84" s="88" t="n">
        <f aca="false">+H82*H83</f>
        <v>0</v>
      </c>
    </row>
    <row r="85" customFormat="false" ht="11.25" hidden="false" customHeight="false" outlineLevel="0" collapsed="false">
      <c r="A85" s="4"/>
      <c r="B85" s="133" t="s">
        <v>160</v>
      </c>
      <c r="C85" s="132"/>
      <c r="E85" s="43" t="s">
        <v>199</v>
      </c>
      <c r="H85" s="136" t="n">
        <v>3</v>
      </c>
      <c r="I85" s="137"/>
      <c r="J85" s="137"/>
      <c r="K85" s="137"/>
      <c r="L85" s="137"/>
      <c r="M85" s="137"/>
      <c r="N85" s="137"/>
      <c r="O85" s="137"/>
      <c r="P85" s="137"/>
      <c r="Q85" s="137"/>
      <c r="R85" s="137"/>
      <c r="S85" s="137"/>
      <c r="T85" s="137"/>
      <c r="U85" s="137"/>
      <c r="V85" s="137"/>
      <c r="W85" s="137"/>
      <c r="X85" s="137"/>
      <c r="Y85" s="137"/>
      <c r="Z85" s="137"/>
      <c r="AA85" s="137"/>
      <c r="AB85" s="137"/>
      <c r="AC85" s="137"/>
    </row>
    <row r="86" customFormat="false" ht="11.25" hidden="false" customHeight="false" outlineLevel="0" collapsed="false">
      <c r="A86" s="4"/>
      <c r="B86" s="138" t="s">
        <v>205</v>
      </c>
      <c r="E86" s="88"/>
      <c r="F86" s="88"/>
      <c r="G86" s="88"/>
      <c r="H86" s="88"/>
      <c r="I86" s="88" t="n">
        <f aca="false">($H84)*(IF($H85=1,EP!I$185,IF($H85=2,EP!I$188,IF($H85=3,EP!I$191,0))))*(stub)</f>
        <v>0</v>
      </c>
      <c r="J86" s="88" t="n">
        <f aca="false">($H84)*(IF($H85=1,EP!J$185,IF($H85=2,EP!J$188,IF($H85=3,EP!J$191,0))))</f>
        <v>0</v>
      </c>
      <c r="K86" s="88" t="n">
        <f aca="false">($H84)*(IF($H85=1,EP!K$185,IF($H85=2,EP!K$188,IF($H85=3,EP!K$191,0))))</f>
        <v>0</v>
      </c>
      <c r="L86" s="88" t="n">
        <f aca="false">($H84)*(IF($H85=1,EP!L$185,IF($H85=2,EP!L$188,IF($H85=3,EP!L$191,0))))</f>
        <v>0</v>
      </c>
      <c r="M86" s="88" t="n">
        <f aca="false">($H84)*(IF($H85=1,EP!M$185,IF($H85=2,EP!M$188,IF($H85=3,EP!M$191,0))))</f>
        <v>0</v>
      </c>
      <c r="N86" s="88" t="n">
        <f aca="false">($H84)*(IF($H85=1,EP!N$185,IF($H85=2,EP!N$188,IF($H85=3,EP!N$191,0))))</f>
        <v>0</v>
      </c>
      <c r="O86" s="88" t="n">
        <f aca="false">($H84)*(IF($H85=1,EP!O$185,IF($H85=2,EP!O$188,IF($H85=3,EP!O$191,0))))</f>
        <v>0</v>
      </c>
      <c r="P86" s="88" t="n">
        <f aca="false">($H84)*(IF($H85=1,EP!P$185,IF($H85=2,EP!P$188,IF($H85=3,EP!P$191,0))))</f>
        <v>0</v>
      </c>
      <c r="Q86" s="88" t="n">
        <f aca="false">($H84)*(IF($H85=1,EP!Q$185,IF($H85=2,EP!Q$188,IF($H85=3,EP!Q$191,0))))</f>
        <v>0</v>
      </c>
      <c r="R86" s="88" t="n">
        <f aca="false">($H84)*(IF($H85=1,EP!R$185,IF($H85=2,EP!R$188,IF($H85=3,EP!R$191,0))))</f>
        <v>0</v>
      </c>
      <c r="S86" s="88" t="n">
        <f aca="false">($H84)*(IF($H85=1,EP!S$185,IF($H85=2,EP!S$188,IF($H85=3,EP!S$191,0))))</f>
        <v>0</v>
      </c>
      <c r="T86" s="88" t="n">
        <f aca="false">($H84)*(IF($H85=1,EP!T$185,IF($H85=2,EP!T$188,IF($H85=3,EP!T$191,0))))</f>
        <v>0</v>
      </c>
      <c r="U86" s="88" t="n">
        <f aca="false">($H84)*(IF($H85=1,EP!U$185,IF($H85=2,EP!U$188,IF($H85=3,EP!U$191,0))))</f>
        <v>0</v>
      </c>
      <c r="V86" s="88" t="n">
        <f aca="false">($H84)*(IF($H85=1,EP!V$185,IF($H85=2,EP!V$188,IF($H85=3,EP!V$191,0))))</f>
        <v>0</v>
      </c>
      <c r="W86" s="88" t="n">
        <f aca="false">($H84)*(IF($H85=1,EP!W$185,IF($H85=2,EP!W$188,IF($H85=3,EP!W$191,0))))</f>
        <v>0</v>
      </c>
      <c r="X86" s="88" t="n">
        <f aca="false">($H84)*(IF($H85=1,EP!X$185,IF($H85=2,EP!X$188,IF($H85=3,EP!X$191,0))))</f>
        <v>0</v>
      </c>
      <c r="Y86" s="88" t="n">
        <f aca="false">($H84)*(IF($H85=1,EP!Y$185,IF($H85=2,EP!Y$188,IF($H85=3,EP!Y$191,0))))</f>
        <v>0</v>
      </c>
      <c r="Z86" s="88" t="n">
        <f aca="false">($H84)*(IF($H85=1,EP!Z$185,IF($H85=2,EP!Z$188,IF($H85=3,EP!Z$191,0))))</f>
        <v>0</v>
      </c>
      <c r="AA86" s="88" t="n">
        <f aca="false">($H84)*(IF($H85=1,EP!AA$185,IF($H85=2,EP!AA$188,IF($H85=3,EP!AA$191,0))))</f>
        <v>0</v>
      </c>
      <c r="AB86" s="88" t="n">
        <f aca="false">($H84)*(IF($H85=1,EP!AB$185,IF($H85=2,EP!AB$188,IF($H85=3,EP!AB$191,0))))</f>
        <v>0</v>
      </c>
      <c r="AC86" s="88" t="n">
        <f aca="false">($H84)*(IF($H85=1,EP!AC$185,IF($H85=2,EP!AC$188,IF($H85=3,EP!AC$191,0))))</f>
        <v>0</v>
      </c>
    </row>
    <row r="87" customFormat="false" ht="11.25" hidden="false" customHeight="false" outlineLevel="0" collapsed="false">
      <c r="A87" s="4"/>
      <c r="B87" s="138"/>
      <c r="E87" s="88"/>
      <c r="F87" s="88"/>
      <c r="G87" s="88"/>
      <c r="H87" s="88"/>
      <c r="I87" s="88"/>
      <c r="J87" s="88"/>
      <c r="K87" s="88"/>
      <c r="L87" s="88"/>
      <c r="M87" s="88"/>
      <c r="N87" s="88"/>
      <c r="O87" s="88"/>
      <c r="P87" s="88"/>
      <c r="Q87" s="88"/>
      <c r="R87" s="88"/>
      <c r="S87" s="88"/>
      <c r="T87" s="88"/>
      <c r="U87" s="88"/>
      <c r="V87" s="88"/>
      <c r="W87" s="88"/>
      <c r="X87" s="88"/>
      <c r="Y87" s="88"/>
      <c r="Z87" s="88"/>
      <c r="AA87" s="88"/>
      <c r="AB87" s="88"/>
      <c r="AC87" s="88"/>
    </row>
    <row r="88" customFormat="false" ht="11.25" hidden="false" customHeight="false" outlineLevel="0" collapsed="false">
      <c r="A88" s="4"/>
      <c r="B88" s="138" t="s">
        <v>206</v>
      </c>
      <c r="E88" s="88"/>
      <c r="F88" s="88"/>
      <c r="G88" s="88"/>
      <c r="H88" s="88"/>
      <c r="I88" s="141" t="n">
        <v>0</v>
      </c>
      <c r="J88" s="141" t="n">
        <v>0</v>
      </c>
      <c r="K88" s="141" t="n">
        <v>0</v>
      </c>
      <c r="L88" s="141" t="n">
        <v>0</v>
      </c>
      <c r="M88" s="141" t="n">
        <v>0</v>
      </c>
      <c r="N88" s="141" t="n">
        <v>0</v>
      </c>
      <c r="O88" s="141" t="n">
        <v>0</v>
      </c>
      <c r="P88" s="141" t="n">
        <v>0</v>
      </c>
      <c r="Q88" s="141" t="n">
        <v>0</v>
      </c>
      <c r="R88" s="141" t="n">
        <v>0</v>
      </c>
      <c r="S88" s="141" t="n">
        <v>0</v>
      </c>
      <c r="T88" s="141" t="n">
        <v>0</v>
      </c>
      <c r="U88" s="141" t="n">
        <v>0</v>
      </c>
      <c r="V88" s="141" t="n">
        <v>0</v>
      </c>
      <c r="W88" s="141" t="n">
        <v>0</v>
      </c>
      <c r="X88" s="141" t="n">
        <v>0</v>
      </c>
      <c r="Y88" s="141" t="n">
        <v>0</v>
      </c>
      <c r="Z88" s="141" t="n">
        <v>0</v>
      </c>
      <c r="AA88" s="141" t="n">
        <v>0</v>
      </c>
      <c r="AB88" s="141" t="n">
        <v>0</v>
      </c>
      <c r="AC88" s="141" t="n">
        <v>0</v>
      </c>
    </row>
    <row r="89" customFormat="false" ht="11.25" hidden="false" customHeight="false" outlineLevel="0" collapsed="false">
      <c r="A89" s="4"/>
      <c r="B89" s="142" t="s">
        <v>207</v>
      </c>
      <c r="I89" s="143" t="e">
        <f aca="false">+I86+I77+I79+I88</f>
        <v>#N/A</v>
      </c>
      <c r="J89" s="143" t="e">
        <f aca="false">+J86+J77+J79+J88</f>
        <v>#VALUE!</v>
      </c>
      <c r="K89" s="143" t="e">
        <f aca="false">+K86+K77+K79+K88</f>
        <v>#VALUE!</v>
      </c>
      <c r="L89" s="143" t="e">
        <f aca="false">+L86+L77+L79+L88</f>
        <v>#VALUE!</v>
      </c>
      <c r="M89" s="143" t="e">
        <f aca="false">+M86+M77+M79+M88</f>
        <v>#VALUE!</v>
      </c>
      <c r="N89" s="143" t="e">
        <f aca="false">+N86+N77+N79+N88</f>
        <v>#VALUE!</v>
      </c>
      <c r="O89" s="143" t="e">
        <f aca="false">+O86+O77+O79+O88</f>
        <v>#VALUE!</v>
      </c>
      <c r="P89" s="143" t="e">
        <f aca="false">+P86+P77+P79+P88</f>
        <v>#VALUE!</v>
      </c>
      <c r="Q89" s="143" t="e">
        <f aca="false">+Q86+Q77+Q79+Q88</f>
        <v>#VALUE!</v>
      </c>
      <c r="R89" s="143" t="e">
        <f aca="false">+R86+R77+R79+R88</f>
        <v>#VALUE!</v>
      </c>
      <c r="S89" s="143" t="e">
        <f aca="false">+S86+S77+S79+S88</f>
        <v>#VALUE!</v>
      </c>
      <c r="T89" s="143" t="e">
        <f aca="false">+T86+T77+T79+T88</f>
        <v>#VALUE!</v>
      </c>
      <c r="U89" s="143" t="e">
        <f aca="false">+U86+U77+U79+U88</f>
        <v>#VALUE!</v>
      </c>
      <c r="V89" s="143" t="e">
        <f aca="false">+V86+V77+V79+V88</f>
        <v>#VALUE!</v>
      </c>
      <c r="W89" s="143" t="e">
        <f aca="false">+W86+W77+W79+W88</f>
        <v>#VALUE!</v>
      </c>
      <c r="X89" s="143" t="e">
        <f aca="false">+X86+X77+X79+X88</f>
        <v>#VALUE!</v>
      </c>
      <c r="Y89" s="143" t="e">
        <f aca="false">+Y86+Y77+Y79+Y88</f>
        <v>#VALUE!</v>
      </c>
      <c r="Z89" s="143" t="e">
        <f aca="false">+Z86+Z77+Z79+Z88</f>
        <v>#VALUE!</v>
      </c>
      <c r="AA89" s="143" t="e">
        <f aca="false">+AA86+AA77+AA79+AA88</f>
        <v>#VALUE!</v>
      </c>
      <c r="AB89" s="143" t="e">
        <f aca="false">+AB86+AB77+AB79+AB88</f>
        <v>#VALUE!</v>
      </c>
      <c r="AC89" s="143" t="e">
        <f aca="false">+AC86+AC77+AC79+AC88</f>
        <v>#VALUE!</v>
      </c>
    </row>
    <row r="90" customFormat="false" ht="11.25" hidden="false" customHeight="false" outlineLevel="0" collapsed="false">
      <c r="A90" s="4"/>
      <c r="B90" s="4" t="s">
        <v>208</v>
      </c>
      <c r="D90" s="35"/>
      <c r="I90" s="127" t="e">
        <f aca="false">+I67-I89</f>
        <v>#N/A</v>
      </c>
      <c r="J90" s="127" t="e">
        <f aca="false">+J67-J89</f>
        <v>#VALUE!</v>
      </c>
      <c r="K90" s="127" t="e">
        <f aca="false">+K67-K89</f>
        <v>#VALUE!</v>
      </c>
      <c r="L90" s="127" t="e">
        <f aca="false">+L67-L89</f>
        <v>#VALUE!</v>
      </c>
      <c r="M90" s="127" t="e">
        <f aca="false">+M67-M89</f>
        <v>#VALUE!</v>
      </c>
      <c r="N90" s="127" t="e">
        <f aca="false">+N67-N89</f>
        <v>#VALUE!</v>
      </c>
      <c r="O90" s="127" t="e">
        <f aca="false">+O67-O89</f>
        <v>#VALUE!</v>
      </c>
      <c r="P90" s="127" t="e">
        <f aca="false">+P67-P89</f>
        <v>#VALUE!</v>
      </c>
      <c r="Q90" s="127" t="e">
        <f aca="false">+Q67-Q89</f>
        <v>#VALUE!</v>
      </c>
      <c r="R90" s="127" t="e">
        <f aca="false">+R67-R89</f>
        <v>#VALUE!</v>
      </c>
      <c r="S90" s="127" t="e">
        <f aca="false">+S67-S89</f>
        <v>#VALUE!</v>
      </c>
      <c r="T90" s="127" t="e">
        <f aca="false">+T67-T89</f>
        <v>#VALUE!</v>
      </c>
      <c r="U90" s="127" t="e">
        <f aca="false">+U67-U89</f>
        <v>#VALUE!</v>
      </c>
      <c r="V90" s="127" t="e">
        <f aca="false">+V67-V89</f>
        <v>#VALUE!</v>
      </c>
      <c r="W90" s="127" t="e">
        <f aca="false">+W67-W89</f>
        <v>#VALUE!</v>
      </c>
      <c r="X90" s="127" t="e">
        <f aca="false">+X67-X89</f>
        <v>#VALUE!</v>
      </c>
      <c r="Y90" s="127" t="e">
        <f aca="false">+Y67-Y89</f>
        <v>#VALUE!</v>
      </c>
      <c r="Z90" s="127" t="e">
        <f aca="false">+Z67-Z89</f>
        <v>#VALUE!</v>
      </c>
      <c r="AA90" s="127" t="e">
        <f aca="false">+AA67-AA89</f>
        <v>#VALUE!</v>
      </c>
      <c r="AB90" s="127" t="e">
        <f aca="false">+AB67-AB89</f>
        <v>#VALUE!</v>
      </c>
      <c r="AC90" s="127" t="e">
        <f aca="false">+AC67-AC89</f>
        <v>#VALUE!</v>
      </c>
    </row>
    <row r="91" customFormat="false" ht="11.25" hidden="false" customHeight="false" outlineLevel="0" collapsed="false">
      <c r="A91" s="4"/>
      <c r="B91" s="35"/>
      <c r="D91" s="35"/>
      <c r="E91" s="110"/>
      <c r="F91" s="110"/>
      <c r="G91" s="110"/>
      <c r="H91" s="111"/>
      <c r="I91" s="111"/>
      <c r="J91" s="111"/>
      <c r="K91" s="111"/>
      <c r="L91" s="111"/>
      <c r="M91" s="111"/>
      <c r="N91" s="111"/>
      <c r="O91" s="111"/>
      <c r="P91" s="111"/>
      <c r="Q91" s="111"/>
      <c r="R91" s="111"/>
      <c r="S91" s="111"/>
      <c r="T91" s="111"/>
      <c r="U91" s="111"/>
      <c r="V91" s="111"/>
      <c r="W91" s="111"/>
      <c r="X91" s="111"/>
      <c r="Y91" s="117"/>
      <c r="Z91" s="117"/>
      <c r="AA91" s="117"/>
      <c r="AB91" s="117"/>
      <c r="AC91" s="117"/>
    </row>
    <row r="92" customFormat="false" ht="12" hidden="false" customHeight="false" outlineLevel="0" collapsed="false"/>
    <row r="93" customFormat="false" ht="12.75" hidden="false" customHeight="false" outlineLevel="0" collapsed="false">
      <c r="A93" s="144"/>
      <c r="B93" s="79"/>
      <c r="C93" s="79"/>
      <c r="D93" s="79"/>
      <c r="E93" s="79"/>
      <c r="F93" s="79"/>
      <c r="G93" s="79"/>
      <c r="H93" s="79"/>
      <c r="I93" s="145"/>
      <c r="J93" s="145"/>
      <c r="K93" s="145"/>
      <c r="L93" s="145"/>
      <c r="M93" s="145"/>
      <c r="N93" s="145"/>
      <c r="O93" s="145"/>
      <c r="P93" s="145"/>
      <c r="Q93" s="145"/>
      <c r="R93" s="145"/>
      <c r="S93" s="145"/>
      <c r="T93" s="145"/>
      <c r="U93" s="145"/>
      <c r="V93" s="145"/>
      <c r="W93" s="145"/>
      <c r="X93" s="145"/>
      <c r="Y93" s="145"/>
      <c r="Z93" s="145"/>
      <c r="AA93" s="145"/>
      <c r="AB93" s="145"/>
      <c r="AC93" s="145"/>
    </row>
    <row r="94" customFormat="false" ht="12.75" hidden="false" customHeight="false" outlineLevel="0" collapsed="false">
      <c r="A94" s="4" t="s">
        <v>209</v>
      </c>
      <c r="H94" s="146" t="n">
        <f aca="false">+EOP</f>
        <v>36341</v>
      </c>
      <c r="I94" s="146" t="n">
        <f aca="false">+EOP</f>
        <v>36525</v>
      </c>
      <c r="J94" s="146" t="n">
        <f aca="false">+EOP</f>
        <v>36891</v>
      </c>
      <c r="K94" s="146" t="n">
        <f aca="false">+EOP</f>
        <v>37256</v>
      </c>
      <c r="L94" s="146" t="n">
        <f aca="false">+EOP</f>
        <v>37621</v>
      </c>
      <c r="M94" s="146" t="n">
        <f aca="false">+EOP</f>
        <v>37986</v>
      </c>
      <c r="N94" s="146" t="n">
        <f aca="false">+EOP</f>
        <v>38352</v>
      </c>
      <c r="O94" s="146" t="n">
        <f aca="false">+EOP</f>
        <v>38717</v>
      </c>
      <c r="P94" s="146" t="n">
        <f aca="false">+EOP</f>
        <v>39082</v>
      </c>
      <c r="Q94" s="146" t="n">
        <f aca="false">+EOP</f>
        <v>39447</v>
      </c>
      <c r="R94" s="146" t="n">
        <f aca="false">+EOP</f>
        <v>39813</v>
      </c>
      <c r="S94" s="146" t="n">
        <f aca="false">+EOP</f>
        <v>40178</v>
      </c>
      <c r="T94" s="146" t="n">
        <f aca="false">+EOP</f>
        <v>40543</v>
      </c>
      <c r="U94" s="146" t="n">
        <f aca="false">+EOP</f>
        <v>40908</v>
      </c>
      <c r="V94" s="146" t="n">
        <f aca="false">+EOP</f>
        <v>41274</v>
      </c>
      <c r="W94" s="146" t="n">
        <f aca="false">+EOP</f>
        <v>41639</v>
      </c>
      <c r="X94" s="146" t="n">
        <f aca="false">+EOP</f>
        <v>42004</v>
      </c>
      <c r="Y94" s="146" t="n">
        <f aca="false">+EOP</f>
        <v>42369</v>
      </c>
      <c r="Z94" s="146" t="n">
        <f aca="false">+EOP</f>
        <v>42735</v>
      </c>
      <c r="AA94" s="146" t="n">
        <f aca="false">+EOP</f>
        <v>43100</v>
      </c>
      <c r="AB94" s="146" t="n">
        <f aca="false">+EOP</f>
        <v>43465</v>
      </c>
      <c r="AC94" s="146" t="n">
        <f aca="false">+EOP</f>
        <v>43830</v>
      </c>
    </row>
    <row r="95" customFormat="false" ht="12" hidden="false" customHeight="false" outlineLevel="0" collapsed="false"/>
    <row r="96" customFormat="false" ht="11.25" hidden="false" customHeight="false" outlineLevel="0" collapsed="false">
      <c r="B96" s="12" t="s">
        <v>210</v>
      </c>
      <c r="H96" s="147"/>
      <c r="I96" s="12" t="n">
        <v>0</v>
      </c>
      <c r="J96" s="35" t="e">
        <f aca="false">+I96+I97-I103</f>
        <v>#N/A</v>
      </c>
      <c r="K96" s="35" t="e">
        <f aca="false">+J96+J97-J103</f>
        <v>#N/A</v>
      </c>
      <c r="L96" s="35" t="e">
        <f aca="false">+K96+K97-K103</f>
        <v>#N/A</v>
      </c>
      <c r="M96" s="35" t="e">
        <f aca="false">+L96+L97-L103</f>
        <v>#N/A</v>
      </c>
      <c r="N96" s="35" t="e">
        <f aca="false">+M96+M97-M103</f>
        <v>#N/A</v>
      </c>
      <c r="O96" s="35" t="e">
        <f aca="false">+N96+N97-N103</f>
        <v>#N/A</v>
      </c>
      <c r="P96" s="35" t="e">
        <f aca="false">+O96+O97-O103</f>
        <v>#N/A</v>
      </c>
      <c r="Q96" s="35" t="e">
        <f aca="false">+P96+P97-P103</f>
        <v>#N/A</v>
      </c>
      <c r="R96" s="35" t="e">
        <f aca="false">+Q96+Q97-Q103</f>
        <v>#N/A</v>
      </c>
      <c r="S96" s="35" t="e">
        <f aca="false">+R96+R97-R103</f>
        <v>#N/A</v>
      </c>
      <c r="T96" s="35" t="e">
        <f aca="false">+S96+S97-S103</f>
        <v>#N/A</v>
      </c>
      <c r="U96" s="35" t="e">
        <f aca="false">+T96+T97-T103</f>
        <v>#N/A</v>
      </c>
      <c r="V96" s="35" t="e">
        <f aca="false">+U96+U97-U103</f>
        <v>#N/A</v>
      </c>
      <c r="W96" s="35" t="e">
        <f aca="false">+V96+V97-V103</f>
        <v>#N/A</v>
      </c>
      <c r="X96" s="35" t="e">
        <f aca="false">+W96+W97-W103</f>
        <v>#N/A</v>
      </c>
      <c r="Y96" s="35" t="e">
        <f aca="false">+X96+X97-X103</f>
        <v>#N/A</v>
      </c>
      <c r="Z96" s="35" t="e">
        <f aca="false">+Y96+Y97-Y103</f>
        <v>#N/A</v>
      </c>
      <c r="AA96" s="35" t="e">
        <f aca="false">+Z96+Z97-Z103</f>
        <v>#N/A</v>
      </c>
      <c r="AB96" s="35" t="e">
        <f aca="false">+AA96+AA97-AA103</f>
        <v>#N/A</v>
      </c>
      <c r="AC96" s="35" t="e">
        <f aca="false">+AB96+AB97-AB103</f>
        <v>#N/A</v>
      </c>
    </row>
    <row r="97" customFormat="false" ht="11.25" hidden="false" customHeight="false" outlineLevel="0" collapsed="false">
      <c r="B97" s="44" t="s">
        <v>211</v>
      </c>
      <c r="E97" s="97"/>
      <c r="F97" s="35"/>
      <c r="G97" s="35"/>
      <c r="H97" s="148" t="n">
        <v>0</v>
      </c>
      <c r="I97" s="35" t="e">
        <f aca="false">+I23</f>
        <v>#N/A</v>
      </c>
      <c r="J97" s="35" t="e">
        <f aca="false">+J23</f>
        <v>#N/A</v>
      </c>
      <c r="K97" s="35" t="e">
        <f aca="false">+K23</f>
        <v>#N/A</v>
      </c>
      <c r="L97" s="35" t="e">
        <f aca="false">+L23</f>
        <v>#N/A</v>
      </c>
      <c r="M97" s="35" t="e">
        <f aca="false">+M23</f>
        <v>#N/A</v>
      </c>
      <c r="N97" s="35" t="e">
        <f aca="false">+N23</f>
        <v>#N/A</v>
      </c>
      <c r="O97" s="35" t="e">
        <f aca="false">+O23</f>
        <v>#N/A</v>
      </c>
      <c r="P97" s="35" t="e">
        <f aca="false">+P23</f>
        <v>#N/A</v>
      </c>
      <c r="Q97" s="35" t="e">
        <f aca="false">+Q23</f>
        <v>#N/A</v>
      </c>
      <c r="R97" s="35" t="e">
        <f aca="false">+R23</f>
        <v>#N/A</v>
      </c>
      <c r="S97" s="35" t="e">
        <f aca="false">+S23</f>
        <v>#N/A</v>
      </c>
      <c r="T97" s="35" t="e">
        <f aca="false">+T23</f>
        <v>#N/A</v>
      </c>
      <c r="U97" s="35" t="e">
        <f aca="false">+U23</f>
        <v>#N/A</v>
      </c>
      <c r="V97" s="35" t="e">
        <f aca="false">+V23</f>
        <v>#N/A</v>
      </c>
      <c r="W97" s="35" t="e">
        <f aca="false">+W23</f>
        <v>#N/A</v>
      </c>
      <c r="X97" s="35" t="e">
        <f aca="false">+X23</f>
        <v>#N/A</v>
      </c>
      <c r="Y97" s="35" t="e">
        <f aca="false">+Y23</f>
        <v>#N/A</v>
      </c>
      <c r="Z97" s="35" t="e">
        <f aca="false">+Z23</f>
        <v>#N/A</v>
      </c>
      <c r="AA97" s="35" t="e">
        <f aca="false">+AA23</f>
        <v>#N/A</v>
      </c>
      <c r="AB97" s="35" t="e">
        <f aca="false">+AB23</f>
        <v>#N/A</v>
      </c>
      <c r="AC97" s="35" t="e">
        <f aca="false">+AC23</f>
        <v>#N/A</v>
      </c>
    </row>
    <row r="98" customFormat="false" ht="11.25" hidden="false" customHeight="false" outlineLevel="0" collapsed="false">
      <c r="A98" s="35"/>
      <c r="B98" s="35"/>
      <c r="E98" s="35"/>
      <c r="F98" s="35"/>
      <c r="G98" s="65"/>
      <c r="H98" s="35"/>
      <c r="I98" s="35"/>
      <c r="J98" s="35"/>
      <c r="K98" s="35"/>
      <c r="L98" s="35"/>
      <c r="M98" s="35"/>
      <c r="N98" s="35"/>
      <c r="O98" s="35"/>
      <c r="P98" s="35"/>
      <c r="Q98" s="35"/>
      <c r="R98" s="35"/>
      <c r="S98" s="35"/>
      <c r="T98" s="35"/>
      <c r="U98" s="35"/>
      <c r="V98" s="35"/>
      <c r="W98" s="35"/>
      <c r="X98" s="149"/>
      <c r="Y98" s="149"/>
      <c r="Z98" s="149"/>
      <c r="AA98" s="149"/>
      <c r="AB98" s="149"/>
      <c r="AC98" s="149"/>
    </row>
    <row r="99" customFormat="false" ht="11.25" hidden="false" customHeight="false" outlineLevel="0" collapsed="false">
      <c r="B99" s="35"/>
      <c r="D99" s="133" t="s">
        <v>212</v>
      </c>
      <c r="E99" s="35"/>
      <c r="F99" s="35"/>
      <c r="G99" s="65" t="s">
        <v>213</v>
      </c>
      <c r="I99" s="35" t="e">
        <f aca="false">+I71</f>
        <v>#N/A</v>
      </c>
      <c r="J99" s="35" t="e">
        <f aca="false">+J71</f>
        <v>#VALUE!</v>
      </c>
      <c r="K99" s="35" t="e">
        <f aca="false">+K71</f>
        <v>#VALUE!</v>
      </c>
      <c r="L99" s="35" t="e">
        <f aca="false">+L71</f>
        <v>#VALUE!</v>
      </c>
      <c r="M99" s="35" t="e">
        <f aca="false">+M71</f>
        <v>#VALUE!</v>
      </c>
      <c r="N99" s="35" t="e">
        <f aca="false">+N71</f>
        <v>#VALUE!</v>
      </c>
      <c r="O99" s="35" t="e">
        <f aca="false">+O71</f>
        <v>#VALUE!</v>
      </c>
      <c r="P99" s="35" t="e">
        <f aca="false">+P71</f>
        <v>#VALUE!</v>
      </c>
      <c r="Q99" s="35" t="e">
        <f aca="false">+Q71</f>
        <v>#VALUE!</v>
      </c>
      <c r="R99" s="35" t="e">
        <f aca="false">+R71</f>
        <v>#VALUE!</v>
      </c>
      <c r="S99" s="35" t="e">
        <f aca="false">+S71</f>
        <v>#VALUE!</v>
      </c>
      <c r="T99" s="35" t="e">
        <f aca="false">+T71</f>
        <v>#VALUE!</v>
      </c>
      <c r="U99" s="35" t="e">
        <f aca="false">+U71</f>
        <v>#VALUE!</v>
      </c>
      <c r="V99" s="35" t="e">
        <f aca="false">+V71</f>
        <v>#VALUE!</v>
      </c>
      <c r="W99" s="35" t="e">
        <f aca="false">+W71</f>
        <v>#VALUE!</v>
      </c>
      <c r="X99" s="35" t="e">
        <f aca="false">+X71</f>
        <v>#VALUE!</v>
      </c>
      <c r="Y99" s="35" t="e">
        <f aca="false">+Y71</f>
        <v>#VALUE!</v>
      </c>
      <c r="Z99" s="35" t="e">
        <f aca="false">+Z71</f>
        <v>#VALUE!</v>
      </c>
      <c r="AA99" s="35" t="e">
        <f aca="false">+AA71</f>
        <v>#VALUE!</v>
      </c>
      <c r="AB99" s="35" t="e">
        <f aca="false">+AB71</f>
        <v>#VALUE!</v>
      </c>
      <c r="AC99" s="35" t="e">
        <f aca="false">+AC71</f>
        <v>#VALUE!</v>
      </c>
    </row>
    <row r="100" customFormat="false" ht="11.25" hidden="false" customHeight="false" outlineLevel="0" collapsed="false">
      <c r="D100" s="150" t="n">
        <f aca="false">+EP!D137</f>
        <v>6</v>
      </c>
      <c r="G100" s="65" t="s">
        <v>214</v>
      </c>
      <c r="I100" s="151" t="e">
        <f aca="false">+I97+I96</f>
        <v>#N/A</v>
      </c>
      <c r="J100" s="151" t="e">
        <f aca="false">+J97+J96</f>
        <v>#N/A</v>
      </c>
      <c r="K100" s="151" t="e">
        <f aca="false">+K97+K96</f>
        <v>#N/A</v>
      </c>
      <c r="L100" s="151" t="e">
        <f aca="false">+L97+L96</f>
        <v>#N/A</v>
      </c>
      <c r="M100" s="151" t="e">
        <f aca="false">+M97+M96</f>
        <v>#N/A</v>
      </c>
      <c r="N100" s="151" t="e">
        <f aca="false">+N97+N96</f>
        <v>#N/A</v>
      </c>
      <c r="O100" s="151" t="e">
        <f aca="false">+O97+O96</f>
        <v>#N/A</v>
      </c>
      <c r="P100" s="151" t="e">
        <f aca="false">+P97+P96</f>
        <v>#N/A</v>
      </c>
      <c r="Q100" s="151" t="e">
        <f aca="false">+Q97+Q96</f>
        <v>#N/A</v>
      </c>
      <c r="R100" s="151" t="e">
        <f aca="false">+R97+R96</f>
        <v>#N/A</v>
      </c>
      <c r="S100" s="151" t="e">
        <f aca="false">+S97+S96</f>
        <v>#N/A</v>
      </c>
      <c r="T100" s="151" t="e">
        <f aca="false">+T97+T96</f>
        <v>#N/A</v>
      </c>
      <c r="U100" s="151" t="e">
        <f aca="false">+U97+U96</f>
        <v>#N/A</v>
      </c>
      <c r="V100" s="151" t="e">
        <f aca="false">+V97+V96</f>
        <v>#N/A</v>
      </c>
      <c r="W100" s="151" t="e">
        <f aca="false">+W97+W96</f>
        <v>#N/A</v>
      </c>
      <c r="X100" s="151" t="e">
        <f aca="false">+X97+X96</f>
        <v>#N/A</v>
      </c>
      <c r="Y100" s="151" t="e">
        <f aca="false">+Y97+Y96</f>
        <v>#N/A</v>
      </c>
      <c r="Z100" s="151" t="e">
        <f aca="false">+Z97+Z96</f>
        <v>#N/A</v>
      </c>
      <c r="AA100" s="151" t="e">
        <f aca="false">+AA97+AA96</f>
        <v>#N/A</v>
      </c>
      <c r="AB100" s="151" t="e">
        <f aca="false">+AB97+AB96</f>
        <v>#N/A</v>
      </c>
      <c r="AC100" s="151" t="e">
        <f aca="false">+AC97+AC96</f>
        <v>#N/A</v>
      </c>
    </row>
    <row r="101" customFormat="false" ht="11.25" hidden="false" customHeight="false" outlineLevel="0" collapsed="false">
      <c r="A101" s="43"/>
      <c r="G101" s="152" t="s">
        <v>215</v>
      </c>
      <c r="I101" s="151" t="e">
        <f aca="false">SUM(I99:$AC99)</f>
        <v>#N/A</v>
      </c>
      <c r="J101" s="151" t="e">
        <f aca="false">SUM(J99:$AC99)</f>
        <v>#VALUE!</v>
      </c>
      <c r="K101" s="151" t="e">
        <f aca="false">SUM(K99:$AC99)</f>
        <v>#VALUE!</v>
      </c>
      <c r="L101" s="151" t="e">
        <f aca="false">SUM(L99:$AC99)</f>
        <v>#VALUE!</v>
      </c>
      <c r="M101" s="151" t="e">
        <f aca="false">SUM(M99:$AC99)</f>
        <v>#VALUE!</v>
      </c>
      <c r="N101" s="151" t="e">
        <f aca="false">SUM(N99:$AC99)</f>
        <v>#VALUE!</v>
      </c>
      <c r="O101" s="151" t="e">
        <f aca="false">SUM(O99:$AC99)</f>
        <v>#VALUE!</v>
      </c>
      <c r="P101" s="151" t="e">
        <f aca="false">SUM(P99:$AC99)</f>
        <v>#VALUE!</v>
      </c>
      <c r="Q101" s="151" t="e">
        <f aca="false">SUM(Q99:$AC99)</f>
        <v>#VALUE!</v>
      </c>
      <c r="R101" s="151" t="e">
        <f aca="false">SUM(R99:$AC99)</f>
        <v>#VALUE!</v>
      </c>
      <c r="S101" s="151" t="e">
        <f aca="false">SUM(S99:$AC99)</f>
        <v>#VALUE!</v>
      </c>
      <c r="T101" s="151" t="e">
        <f aca="false">SUM(T99:$AC99)</f>
        <v>#VALUE!</v>
      </c>
      <c r="U101" s="151" t="e">
        <f aca="false">SUM(U99:$AC99)</f>
        <v>#VALUE!</v>
      </c>
      <c r="V101" s="151" t="e">
        <f aca="false">SUM(V99:$AC99)</f>
        <v>#VALUE!</v>
      </c>
      <c r="W101" s="151" t="e">
        <f aca="false">SUM(W99:$AC99)</f>
        <v>#VALUE!</v>
      </c>
      <c r="X101" s="151" t="e">
        <f aca="false">SUM(X99:$AC99)</f>
        <v>#VALUE!</v>
      </c>
      <c r="Y101" s="151" t="e">
        <f aca="false">SUM(Y99:$AC99)</f>
        <v>#VALUE!</v>
      </c>
      <c r="Z101" s="151" t="e">
        <f aca="false">SUM(Z99:$AC99)</f>
        <v>#VALUE!</v>
      </c>
      <c r="AA101" s="151" t="e">
        <f aca="false">SUM(AA99:$AC99)</f>
        <v>#VALUE!</v>
      </c>
      <c r="AB101" s="151" t="e">
        <f aca="false">SUM(AB99:$AC99)</f>
        <v>#VALUE!</v>
      </c>
      <c r="AC101" s="151" t="e">
        <f aca="false">SUM(AC99:$AC99)</f>
        <v>#VALUE!</v>
      </c>
    </row>
    <row r="102" customFormat="false" ht="11.25" hidden="false" customHeight="false" outlineLevel="0" collapsed="false">
      <c r="D102" s="112"/>
      <c r="G102" s="65" t="s">
        <v>216</v>
      </c>
      <c r="I102" s="112" t="e">
        <f aca="false">IF(I101=0,0,I100/I101)</f>
        <v>#N/A</v>
      </c>
      <c r="J102" s="112" t="e">
        <f aca="false">IF(J101=0,0,J100/J101)</f>
        <v>#VALUE!</v>
      </c>
      <c r="K102" s="112" t="e">
        <f aca="false">IF(K101=0,0,K100/K101)</f>
        <v>#VALUE!</v>
      </c>
      <c r="L102" s="112" t="e">
        <f aca="false">IF(L101=0,0,L100/L101)</f>
        <v>#VALUE!</v>
      </c>
      <c r="M102" s="112" t="e">
        <f aca="false">IF(M101=0,0,M100/M101)</f>
        <v>#VALUE!</v>
      </c>
      <c r="N102" s="112" t="e">
        <f aca="false">IF(N101=0,0,N100/N101)</f>
        <v>#VALUE!</v>
      </c>
      <c r="O102" s="112" t="e">
        <f aca="false">IF(O101=0,0,O100/O101)</f>
        <v>#VALUE!</v>
      </c>
      <c r="P102" s="112" t="e">
        <f aca="false">IF(P101=0,0,P100/P101)</f>
        <v>#VALUE!</v>
      </c>
      <c r="Q102" s="112" t="e">
        <f aca="false">IF(Q101=0,0,Q100/Q101)</f>
        <v>#VALUE!</v>
      </c>
      <c r="R102" s="112" t="e">
        <f aca="false">IF(R101=0,0,R100/R101)</f>
        <v>#VALUE!</v>
      </c>
      <c r="S102" s="112" t="e">
        <f aca="false">IF(S101=0,0,S100/S101)</f>
        <v>#VALUE!</v>
      </c>
      <c r="T102" s="112" t="e">
        <f aca="false">IF(T101=0,0,T100/T101)</f>
        <v>#VALUE!</v>
      </c>
      <c r="U102" s="112" t="e">
        <f aca="false">IF(U101=0,0,U100/U101)</f>
        <v>#VALUE!</v>
      </c>
      <c r="V102" s="112" t="e">
        <f aca="false">IF(V101=0,0,V100/V101)</f>
        <v>#VALUE!</v>
      </c>
      <c r="W102" s="112" t="e">
        <f aca="false">IF(W101=0,0,W100/W101)</f>
        <v>#VALUE!</v>
      </c>
      <c r="X102" s="112" t="e">
        <f aca="false">IF(X101=0,0,X100/X101)</f>
        <v>#VALUE!</v>
      </c>
      <c r="Y102" s="112" t="e">
        <f aca="false">IF(Y101=0,0,Y100/Y101)</f>
        <v>#VALUE!</v>
      </c>
      <c r="Z102" s="112" t="e">
        <f aca="false">IF(Z101=0,0,Z100/Z101)</f>
        <v>#VALUE!</v>
      </c>
      <c r="AA102" s="112" t="e">
        <f aca="false">IF(AA101=0,0,AA100/AA101)</f>
        <v>#VALUE!</v>
      </c>
      <c r="AB102" s="112" t="e">
        <f aca="false">IF(AB101=0,0,AB100/AB101)</f>
        <v>#VALUE!</v>
      </c>
      <c r="AC102" s="112" t="e">
        <f aca="false">IF(AC101=0,0,AC100/AC101)</f>
        <v>#VALUE!</v>
      </c>
    </row>
    <row r="103" customFormat="false" ht="11.25" hidden="false" customHeight="false" outlineLevel="0" collapsed="false">
      <c r="A103" s="35"/>
      <c r="B103" s="35"/>
      <c r="E103" s="35"/>
      <c r="F103" s="35"/>
      <c r="G103" s="65" t="s">
        <v>217</v>
      </c>
      <c r="I103" s="88" t="e">
        <f aca="false">I102*I99</f>
        <v>#N/A</v>
      </c>
      <c r="J103" s="88" t="e">
        <f aca="false">J102*J99</f>
        <v>#VALUE!</v>
      </c>
      <c r="K103" s="88" t="e">
        <f aca="false">K102*K99</f>
        <v>#VALUE!</v>
      </c>
      <c r="L103" s="88" t="e">
        <f aca="false">L102*L99</f>
        <v>#VALUE!</v>
      </c>
      <c r="M103" s="88" t="e">
        <f aca="false">M102*M99</f>
        <v>#VALUE!</v>
      </c>
      <c r="N103" s="88" t="e">
        <f aca="false">N102*N99</f>
        <v>#VALUE!</v>
      </c>
      <c r="O103" s="88" t="e">
        <f aca="false">O102*O99</f>
        <v>#VALUE!</v>
      </c>
      <c r="P103" s="88" t="e">
        <f aca="false">P102*P99</f>
        <v>#VALUE!</v>
      </c>
      <c r="Q103" s="88" t="e">
        <f aca="false">Q102*Q99</f>
        <v>#VALUE!</v>
      </c>
      <c r="R103" s="88" t="e">
        <f aca="false">R102*R99</f>
        <v>#VALUE!</v>
      </c>
      <c r="S103" s="88" t="e">
        <f aca="false">S102*S99</f>
        <v>#VALUE!</v>
      </c>
      <c r="T103" s="88" t="e">
        <f aca="false">T102*T99</f>
        <v>#VALUE!</v>
      </c>
      <c r="U103" s="88" t="e">
        <f aca="false">U102*U99</f>
        <v>#VALUE!</v>
      </c>
      <c r="V103" s="88" t="e">
        <f aca="false">V102*V99</f>
        <v>#VALUE!</v>
      </c>
      <c r="W103" s="88" t="e">
        <f aca="false">W102*W99</f>
        <v>#VALUE!</v>
      </c>
      <c r="X103" s="88" t="e">
        <f aca="false">X102*X99</f>
        <v>#VALUE!</v>
      </c>
      <c r="Y103" s="88" t="e">
        <f aca="false">Y102*Y99</f>
        <v>#VALUE!</v>
      </c>
      <c r="Z103" s="88" t="e">
        <f aca="false">Z102*Z99</f>
        <v>#VALUE!</v>
      </c>
      <c r="AA103" s="88" t="e">
        <f aca="false">AA102*AA99</f>
        <v>#VALUE!</v>
      </c>
      <c r="AB103" s="88" t="e">
        <f aca="false">AB102*AB99</f>
        <v>#VALUE!</v>
      </c>
      <c r="AC103" s="88" t="e">
        <f aca="false">AC102*AC99</f>
        <v>#VALUE!</v>
      </c>
    </row>
    <row r="104" customFormat="false" ht="11.25" hidden="false" customHeight="false" outlineLevel="0" collapsed="false">
      <c r="A104" s="153"/>
      <c r="I104" s="137" t="e">
        <f aca="false">SUM(I97:AC97)-SUM(I103:AC103)</f>
        <v>#N/A</v>
      </c>
      <c r="J104" s="137"/>
      <c r="K104" s="137"/>
      <c r="L104" s="137"/>
      <c r="M104" s="137"/>
      <c r="N104" s="137"/>
      <c r="O104" s="137"/>
      <c r="P104" s="137"/>
      <c r="Q104" s="137"/>
      <c r="R104" s="137"/>
      <c r="S104" s="137"/>
      <c r="T104" s="137"/>
      <c r="U104" s="137"/>
      <c r="V104" s="137"/>
      <c r="W104" s="137"/>
      <c r="X104" s="137"/>
      <c r="Y104" s="137"/>
      <c r="Z104" s="137"/>
      <c r="AA104" s="137"/>
      <c r="AB104" s="137"/>
      <c r="AC104" s="137"/>
    </row>
    <row r="105" customFormat="false" ht="12" hidden="false" customHeight="false" outlineLevel="0" collapsed="false">
      <c r="A105" s="105"/>
      <c r="B105" s="105"/>
      <c r="C105" s="105"/>
      <c r="D105" s="105"/>
      <c r="E105" s="105"/>
      <c r="F105" s="105"/>
      <c r="G105" s="105"/>
      <c r="H105" s="105"/>
      <c r="I105" s="105"/>
      <c r="J105" s="105"/>
      <c r="K105" s="105"/>
      <c r="L105" s="105"/>
      <c r="M105" s="105"/>
      <c r="N105" s="105"/>
      <c r="O105" s="105"/>
      <c r="P105" s="105"/>
      <c r="Q105" s="105"/>
      <c r="R105" s="105"/>
      <c r="S105" s="105"/>
      <c r="T105" s="105"/>
      <c r="U105" s="105"/>
      <c r="V105" s="105"/>
      <c r="W105" s="105"/>
      <c r="X105" s="105"/>
      <c r="Y105" s="105"/>
      <c r="Z105" s="105"/>
      <c r="AA105" s="105"/>
      <c r="AB105" s="105"/>
      <c r="AC105" s="105"/>
    </row>
    <row r="106" customFormat="false" ht="12.75" hidden="false" customHeight="false" outlineLevel="0" collapsed="false">
      <c r="F106" s="43"/>
    </row>
    <row r="107" customFormat="false" ht="12.75" hidden="false" customHeight="false" outlineLevel="0" collapsed="false">
      <c r="A107" s="154" t="s">
        <v>218</v>
      </c>
      <c r="C107" s="35"/>
      <c r="D107" s="35"/>
      <c r="E107" s="35"/>
      <c r="F107" s="35"/>
      <c r="G107" s="35"/>
      <c r="H107" s="35"/>
      <c r="I107" s="81" t="str">
        <f aca="false">+I$3</f>
        <v>6 M/1999 </v>
      </c>
      <c r="J107" s="81" t="n">
        <f aca="false">+J$3</f>
        <v>2000</v>
      </c>
      <c r="K107" s="81" t="n">
        <f aca="false">+K$3</f>
        <v>2001</v>
      </c>
      <c r="L107" s="81" t="n">
        <f aca="false">+L$3</f>
        <v>2002</v>
      </c>
      <c r="M107" s="81" t="n">
        <f aca="false">+M$3</f>
        <v>2003</v>
      </c>
      <c r="N107" s="81" t="n">
        <f aca="false">+N$3</f>
        <v>2004</v>
      </c>
      <c r="O107" s="81" t="n">
        <f aca="false">+O$3</f>
        <v>2005</v>
      </c>
      <c r="P107" s="81" t="n">
        <f aca="false">+P$3</f>
        <v>2006</v>
      </c>
      <c r="Q107" s="81" t="n">
        <f aca="false">+Q$3</f>
        <v>2007</v>
      </c>
      <c r="R107" s="81" t="n">
        <f aca="false">+R$3</f>
        <v>2008</v>
      </c>
      <c r="S107" s="81" t="n">
        <f aca="false">+S$3</f>
        <v>2009</v>
      </c>
      <c r="T107" s="81" t="n">
        <f aca="false">+T$3</f>
        <v>2010</v>
      </c>
      <c r="U107" s="81" t="n">
        <f aca="false">+U$3</f>
        <v>2011</v>
      </c>
      <c r="V107" s="81" t="n">
        <f aca="false">+V$3</f>
        <v>2012</v>
      </c>
      <c r="W107" s="81" t="n">
        <f aca="false">+W$3</f>
        <v>2013</v>
      </c>
      <c r="X107" s="81" t="n">
        <f aca="false">+X$3</f>
        <v>2014</v>
      </c>
      <c r="Y107" s="81" t="n">
        <f aca="false">+Y$3</f>
        <v>2015</v>
      </c>
      <c r="Z107" s="81" t="n">
        <f aca="false">+Z$3</f>
        <v>2016</v>
      </c>
      <c r="AA107" s="81" t="n">
        <f aca="false">+AA$3</f>
        <v>2017</v>
      </c>
      <c r="AB107" s="81" t="n">
        <f aca="false">+AB$3</f>
        <v>2018</v>
      </c>
      <c r="AC107" s="81" t="n">
        <f aca="false">+AC$3</f>
        <v>2019</v>
      </c>
    </row>
    <row r="108" customFormat="false" ht="12" hidden="false" customHeight="false" outlineLevel="0" collapsed="false">
      <c r="A108" s="155" t="s">
        <v>219</v>
      </c>
      <c r="C108" s="35"/>
      <c r="D108" s="35"/>
      <c r="E108" s="35"/>
      <c r="F108" s="35"/>
      <c r="G108" s="35"/>
      <c r="H108" s="35"/>
      <c r="I108" s="108"/>
      <c r="J108" s="108"/>
      <c r="K108" s="108"/>
      <c r="L108" s="108"/>
      <c r="M108" s="108"/>
      <c r="N108" s="108"/>
      <c r="O108" s="108"/>
      <c r="P108" s="108"/>
      <c r="Q108" s="108"/>
      <c r="R108" s="108"/>
      <c r="S108" s="108"/>
      <c r="T108" s="108"/>
      <c r="U108" s="108"/>
      <c r="V108" s="108"/>
      <c r="W108" s="108"/>
      <c r="X108" s="108"/>
      <c r="Y108" s="108"/>
      <c r="Z108" s="108"/>
      <c r="AA108" s="108"/>
      <c r="AB108" s="108"/>
      <c r="AC108" s="108"/>
    </row>
    <row r="109" customFormat="false" ht="11.25" hidden="false" customHeight="false" outlineLevel="0" collapsed="false">
      <c r="A109" s="35" t="s">
        <v>220</v>
      </c>
      <c r="C109" s="103"/>
      <c r="D109" s="103"/>
      <c r="E109" s="111"/>
      <c r="F109" s="111"/>
      <c r="G109" s="111"/>
      <c r="H109" s="111"/>
      <c r="I109" s="111"/>
      <c r="J109" s="111"/>
      <c r="K109" s="111"/>
      <c r="L109" s="111"/>
      <c r="M109" s="111"/>
      <c r="N109" s="111"/>
      <c r="O109" s="111"/>
      <c r="P109" s="111"/>
      <c r="Q109" s="111"/>
      <c r="R109" s="111"/>
      <c r="S109" s="111"/>
      <c r="T109" s="111"/>
      <c r="U109" s="111"/>
      <c r="V109" s="111"/>
      <c r="W109" s="111"/>
      <c r="X109" s="111"/>
      <c r="Y109" s="111"/>
      <c r="Z109" s="111"/>
      <c r="AA109" s="111"/>
      <c r="AB109" s="111"/>
      <c r="AC109" s="111"/>
    </row>
    <row r="110" customFormat="false" ht="11.25" hidden="false" customHeight="false" outlineLevel="0" collapsed="false">
      <c r="A110" s="138"/>
      <c r="B110" s="94" t="s">
        <v>157</v>
      </c>
      <c r="C110" s="132" t="s">
        <v>162</v>
      </c>
      <c r="E110" s="43" t="s">
        <v>204</v>
      </c>
      <c r="H110" s="136" t="n">
        <v>0</v>
      </c>
      <c r="I110" s="140"/>
      <c r="J110" s="140"/>
      <c r="K110" s="140"/>
      <c r="L110" s="140"/>
      <c r="M110" s="140"/>
      <c r="N110" s="140"/>
      <c r="O110" s="140"/>
      <c r="P110" s="140"/>
      <c r="Q110" s="140"/>
      <c r="R110" s="140"/>
      <c r="S110" s="140"/>
      <c r="T110" s="140"/>
      <c r="U110" s="140"/>
      <c r="V110" s="140"/>
      <c r="W110" s="140"/>
      <c r="X110" s="140"/>
      <c r="Y110" s="140"/>
      <c r="Z110" s="140"/>
      <c r="AA110" s="140"/>
      <c r="AB110" s="140"/>
      <c r="AC110" s="140"/>
    </row>
    <row r="111" customFormat="false" ht="11.25" hidden="false" customHeight="false" outlineLevel="0" collapsed="false">
      <c r="A111" s="80"/>
      <c r="B111" s="133" t="s">
        <v>158</v>
      </c>
      <c r="C111" s="132"/>
      <c r="E111" s="12" t="s">
        <v>197</v>
      </c>
      <c r="H111" s="134" t="n">
        <v>1</v>
      </c>
      <c r="I111" s="80"/>
      <c r="J111" s="80"/>
      <c r="K111" s="80"/>
      <c r="L111" s="80"/>
      <c r="M111" s="80"/>
      <c r="N111" s="80"/>
      <c r="O111" s="80"/>
      <c r="P111" s="80"/>
      <c r="Q111" s="80"/>
      <c r="R111" s="80"/>
      <c r="S111" s="80"/>
      <c r="T111" s="80"/>
      <c r="U111" s="80"/>
      <c r="V111" s="80"/>
      <c r="W111" s="80"/>
      <c r="X111" s="80"/>
      <c r="Y111" s="80"/>
      <c r="Z111" s="80"/>
      <c r="AA111" s="80"/>
      <c r="AB111" s="80"/>
      <c r="AC111" s="80"/>
    </row>
    <row r="112" customFormat="false" ht="11.25" hidden="false" customHeight="false" outlineLevel="0" collapsed="false">
      <c r="B112" s="133" t="s">
        <v>159</v>
      </c>
      <c r="C112" s="132"/>
      <c r="E112" s="43" t="s">
        <v>198</v>
      </c>
      <c r="H112" s="88" t="n">
        <f aca="false">+H110*H111</f>
        <v>0</v>
      </c>
    </row>
    <row r="113" customFormat="false" ht="11.25" hidden="false" customHeight="false" outlineLevel="0" collapsed="false">
      <c r="A113" s="138"/>
      <c r="B113" s="133" t="s">
        <v>160</v>
      </c>
      <c r="C113" s="132"/>
      <c r="E113" s="43" t="s">
        <v>199</v>
      </c>
      <c r="H113" s="136" t="n">
        <v>1</v>
      </c>
      <c r="I113" s="137"/>
      <c r="J113" s="137"/>
      <c r="K113" s="137"/>
      <c r="L113" s="137"/>
      <c r="M113" s="137"/>
      <c r="N113" s="137"/>
      <c r="O113" s="137"/>
      <c r="P113" s="137"/>
      <c r="Q113" s="137"/>
      <c r="R113" s="137"/>
      <c r="S113" s="137"/>
      <c r="T113" s="137"/>
      <c r="U113" s="137"/>
      <c r="V113" s="137"/>
      <c r="W113" s="137"/>
      <c r="X113" s="137"/>
      <c r="Y113" s="137"/>
      <c r="Z113" s="137"/>
      <c r="AA113" s="137"/>
      <c r="AB113" s="137"/>
      <c r="AC113" s="137"/>
    </row>
    <row r="114" customFormat="false" ht="11.25" hidden="false" customHeight="false" outlineLevel="0" collapsed="false">
      <c r="A114" s="138"/>
      <c r="I114" s="137"/>
      <c r="J114" s="137"/>
      <c r="K114" s="137"/>
      <c r="L114" s="137"/>
      <c r="M114" s="137"/>
      <c r="N114" s="137"/>
      <c r="O114" s="137"/>
      <c r="P114" s="137"/>
      <c r="Q114" s="137"/>
      <c r="R114" s="137"/>
      <c r="S114" s="137"/>
      <c r="T114" s="137"/>
      <c r="U114" s="137"/>
      <c r="V114" s="137"/>
      <c r="W114" s="137"/>
      <c r="X114" s="137"/>
      <c r="Y114" s="137"/>
      <c r="Z114" s="137"/>
      <c r="AA114" s="137"/>
      <c r="AB114" s="137"/>
      <c r="AC114" s="137"/>
    </row>
    <row r="115" customFormat="false" ht="11.25" hidden="false" customHeight="false" outlineLevel="0" collapsed="false">
      <c r="A115" s="138"/>
      <c r="B115" s="138" t="s">
        <v>133</v>
      </c>
      <c r="E115" s="141" t="n">
        <v>0</v>
      </c>
      <c r="F115" s="141" t="n">
        <v>0</v>
      </c>
      <c r="G115" s="141" t="n">
        <v>0</v>
      </c>
      <c r="H115" s="141" t="n">
        <v>0</v>
      </c>
      <c r="I115" s="88" t="n">
        <f aca="false">($H112)*(IF($H113=1,EP!I$185,IF($H113=2,EP!I$188,IF($H113=3,EP!I$191,0))))*(stub)</f>
        <v>0</v>
      </c>
      <c r="J115" s="88" t="n">
        <f aca="false">($H112)*(IF($H113=1,EP!J$185,IF($H113=2,EP!J$188,IF($H113=3,EP!J$191,0))))</f>
        <v>0</v>
      </c>
      <c r="K115" s="88" t="n">
        <f aca="false">($H112)*(IF($H113=1,EP!K$185,IF($H113=2,EP!K$188,IF($H113=3,EP!K$191,0))))</f>
        <v>0</v>
      </c>
      <c r="L115" s="88" t="n">
        <f aca="false">($H112)*(IF($H113=1,EP!L$185,IF($H113=2,EP!L$188,IF($H113=3,EP!L$191,0))))</f>
        <v>0</v>
      </c>
      <c r="M115" s="88" t="n">
        <f aca="false">($H112)*(IF($H113=1,EP!M$185,IF($H113=2,EP!M$188,IF($H113=3,EP!M$191,0))))</f>
        <v>0</v>
      </c>
      <c r="N115" s="88" t="n">
        <f aca="false">($H112)*(IF($H113=1,EP!N$185,IF($H113=2,EP!N$188,IF($H113=3,EP!N$191,0))))</f>
        <v>0</v>
      </c>
      <c r="O115" s="88" t="n">
        <f aca="false">($H112)*(IF($H113=1,EP!O$185,IF($H113=2,EP!O$188,IF($H113=3,EP!O$191,0))))</f>
        <v>0</v>
      </c>
      <c r="P115" s="88" t="n">
        <f aca="false">($H112)*(IF($H113=1,EP!P$185,IF($H113=2,EP!P$188,IF($H113=3,EP!P$191,0))))</f>
        <v>0</v>
      </c>
      <c r="Q115" s="88" t="n">
        <f aca="false">($H112)*(IF($H113=1,EP!Q$185,IF($H113=2,EP!Q$188,IF($H113=3,EP!Q$191,0))))</f>
        <v>0</v>
      </c>
      <c r="R115" s="88" t="n">
        <f aca="false">($H112)*(IF($H113=1,EP!R$185,IF($H113=2,EP!R$188,IF($H113=3,EP!R$191,0))))</f>
        <v>0</v>
      </c>
      <c r="S115" s="88" t="n">
        <f aca="false">($H112)*(IF($H113=1,EP!S$185,IF($H113=2,EP!S$188,IF($H113=3,EP!S$191,0))))</f>
        <v>0</v>
      </c>
      <c r="T115" s="88" t="n">
        <f aca="false">($H112)*(IF($H113=1,EP!T$185,IF($H113=2,EP!T$188,IF($H113=3,EP!T$191,0))))</f>
        <v>0</v>
      </c>
      <c r="U115" s="88" t="n">
        <f aca="false">($H112)*(IF($H113=1,EP!U$185,IF($H113=2,EP!U$188,IF($H113=3,EP!U$191,0))))</f>
        <v>0</v>
      </c>
      <c r="V115" s="88" t="n">
        <f aca="false">($H112)*(IF($H113=1,EP!V$185,IF($H113=2,EP!V$188,IF($H113=3,EP!V$191,0))))</f>
        <v>0</v>
      </c>
      <c r="W115" s="88" t="n">
        <f aca="false">($H112)*(IF($H113=1,EP!W$185,IF($H113=2,EP!W$188,IF($H113=3,EP!W$191,0))))</f>
        <v>0</v>
      </c>
      <c r="X115" s="88" t="n">
        <f aca="false">($H112)*(IF($H113=1,EP!X$185,IF($H113=2,EP!X$188,IF($H113=3,EP!X$191,0))))</f>
        <v>0</v>
      </c>
      <c r="Y115" s="88" t="n">
        <f aca="false">($H112)*(IF($H113=1,EP!Y$185,IF($H113=2,EP!Y$188,IF($H113=3,EP!Y$191,0))))</f>
        <v>0</v>
      </c>
      <c r="Z115" s="88" t="n">
        <f aca="false">($H112)*(IF($H113=1,EP!Z$185,IF($H113=2,EP!Z$188,IF($H113=3,EP!Z$191,0))))</f>
        <v>0</v>
      </c>
      <c r="AA115" s="88" t="n">
        <f aca="false">($H112)*(IF($H113=1,EP!AA$185,IF($H113=2,EP!AA$188,IF($H113=3,EP!AA$191,0))))</f>
        <v>0</v>
      </c>
      <c r="AB115" s="88" t="n">
        <f aca="false">($H112)*(IF($H113=1,EP!AB$185,IF($H113=2,EP!AB$188,IF($H113=3,EP!AB$191,0))))</f>
        <v>0</v>
      </c>
      <c r="AC115" s="88" t="n">
        <f aca="false">($H112)*(IF($H113=1,EP!AC$185,IF($H113=2,EP!AC$188,IF($H113=3,EP!AC$191,0))))</f>
        <v>0</v>
      </c>
    </row>
    <row r="116" customFormat="false" ht="11.25" hidden="false" customHeight="false" outlineLevel="0" collapsed="false">
      <c r="A116" s="138"/>
      <c r="H116" s="80"/>
      <c r="I116" s="137"/>
      <c r="J116" s="137"/>
      <c r="K116" s="137"/>
      <c r="L116" s="137"/>
      <c r="M116" s="137"/>
      <c r="N116" s="137"/>
      <c r="O116" s="137"/>
      <c r="P116" s="137"/>
      <c r="Q116" s="137"/>
      <c r="R116" s="137"/>
      <c r="S116" s="137"/>
      <c r="T116" s="137"/>
      <c r="U116" s="137"/>
      <c r="V116" s="137"/>
      <c r="W116" s="137"/>
      <c r="X116" s="137"/>
      <c r="Y116" s="137"/>
      <c r="Z116" s="137"/>
      <c r="AA116" s="137"/>
      <c r="AB116" s="137"/>
      <c r="AC116" s="137"/>
    </row>
    <row r="117" customFormat="false" ht="11.25" hidden="false" customHeight="false" outlineLevel="0" collapsed="false">
      <c r="A117" s="138" t="s">
        <v>221</v>
      </c>
      <c r="H117" s="80"/>
      <c r="I117" s="137"/>
      <c r="J117" s="137"/>
      <c r="K117" s="137"/>
      <c r="L117" s="137"/>
      <c r="M117" s="137"/>
      <c r="N117" s="137"/>
      <c r="O117" s="137"/>
      <c r="P117" s="137"/>
      <c r="Q117" s="137"/>
      <c r="R117" s="137"/>
      <c r="S117" s="137"/>
      <c r="T117" s="137"/>
      <c r="U117" s="137"/>
      <c r="V117" s="137"/>
      <c r="W117" s="137"/>
      <c r="X117" s="137"/>
      <c r="Y117" s="137"/>
      <c r="Z117" s="137"/>
      <c r="AA117" s="137"/>
      <c r="AB117" s="137"/>
      <c r="AC117" s="137"/>
    </row>
    <row r="118" customFormat="false" ht="11.25" hidden="false" customHeight="false" outlineLevel="0" collapsed="false">
      <c r="B118" s="94" t="s">
        <v>157</v>
      </c>
      <c r="C118" s="132" t="s">
        <v>162</v>
      </c>
      <c r="E118" s="43" t="s">
        <v>222</v>
      </c>
      <c r="H118" s="134" t="n">
        <v>0</v>
      </c>
      <c r="I118" s="137"/>
      <c r="J118" s="137"/>
      <c r="K118" s="13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37"/>
      <c r="AA118" s="137"/>
      <c r="AB118" s="137"/>
      <c r="AC118" s="137"/>
    </row>
    <row r="119" customFormat="false" ht="11.25" hidden="false" customHeight="false" outlineLevel="0" collapsed="false">
      <c r="A119" s="138"/>
      <c r="B119" s="133" t="s">
        <v>158</v>
      </c>
      <c r="C119" s="132"/>
      <c r="E119" s="12" t="s">
        <v>197</v>
      </c>
      <c r="H119" s="134" t="n">
        <v>1</v>
      </c>
      <c r="I119" s="137"/>
      <c r="J119" s="137"/>
      <c r="K119" s="137"/>
      <c r="L119" s="137"/>
      <c r="M119" s="137"/>
      <c r="N119" s="137"/>
      <c r="O119" s="137"/>
      <c r="P119" s="137"/>
      <c r="Q119" s="137"/>
      <c r="R119" s="137"/>
      <c r="S119" s="137"/>
      <c r="T119" s="137"/>
      <c r="U119" s="137"/>
      <c r="V119" s="137"/>
      <c r="W119" s="137"/>
      <c r="X119" s="137"/>
      <c r="Y119" s="137"/>
      <c r="Z119" s="137"/>
      <c r="AA119" s="137"/>
      <c r="AB119" s="137"/>
      <c r="AC119" s="137"/>
    </row>
    <row r="120" customFormat="false" ht="11.25" hidden="false" customHeight="false" outlineLevel="0" collapsed="false">
      <c r="A120" s="138"/>
      <c r="B120" s="133" t="s">
        <v>159</v>
      </c>
      <c r="C120" s="132"/>
      <c r="E120" s="43" t="s">
        <v>198</v>
      </c>
      <c r="H120" s="90" t="n">
        <f aca="false">+H118*H119</f>
        <v>0</v>
      </c>
      <c r="I120" s="137"/>
      <c r="J120" s="137"/>
      <c r="K120" s="137"/>
      <c r="L120" s="137"/>
      <c r="M120" s="137"/>
      <c r="N120" s="137"/>
      <c r="O120" s="137"/>
      <c r="P120" s="137"/>
      <c r="Q120" s="137"/>
      <c r="R120" s="137"/>
      <c r="S120" s="137"/>
      <c r="T120" s="137"/>
      <c r="U120" s="137"/>
      <c r="V120" s="137"/>
      <c r="W120" s="137"/>
      <c r="X120" s="137"/>
      <c r="Y120" s="137"/>
      <c r="Z120" s="137"/>
      <c r="AA120" s="137"/>
      <c r="AB120" s="137"/>
      <c r="AC120" s="137"/>
    </row>
    <row r="121" customFormat="false" ht="11.25" hidden="false" customHeight="false" outlineLevel="0" collapsed="false">
      <c r="A121" s="138"/>
      <c r="B121" s="133" t="s">
        <v>160</v>
      </c>
      <c r="C121" s="132"/>
      <c r="E121" s="43" t="s">
        <v>199</v>
      </c>
      <c r="H121" s="156" t="n">
        <v>1</v>
      </c>
      <c r="I121" s="137"/>
      <c r="J121" s="137"/>
      <c r="K121" s="137"/>
      <c r="L121" s="137"/>
      <c r="M121" s="137"/>
      <c r="N121" s="137"/>
      <c r="O121" s="137"/>
      <c r="P121" s="137"/>
      <c r="Q121" s="137"/>
      <c r="R121" s="137"/>
      <c r="S121" s="137"/>
      <c r="T121" s="137"/>
      <c r="U121" s="137"/>
      <c r="V121" s="137"/>
      <c r="W121" s="137"/>
      <c r="X121" s="137"/>
      <c r="Y121" s="137"/>
      <c r="Z121" s="137"/>
      <c r="AA121" s="137"/>
      <c r="AB121" s="137"/>
      <c r="AC121" s="137"/>
    </row>
    <row r="122" customFormat="false" ht="11.25" hidden="false" customHeight="false" outlineLevel="0" collapsed="false">
      <c r="A122" s="138"/>
      <c r="I122" s="137"/>
      <c r="J122" s="137"/>
      <c r="K122" s="137"/>
      <c r="L122" s="137"/>
      <c r="M122" s="137"/>
      <c r="N122" s="137"/>
      <c r="O122" s="137"/>
      <c r="P122" s="137"/>
      <c r="Q122" s="137"/>
      <c r="R122" s="137"/>
      <c r="S122" s="137"/>
      <c r="T122" s="137"/>
      <c r="U122" s="137"/>
      <c r="V122" s="137"/>
      <c r="W122" s="137"/>
      <c r="X122" s="137"/>
      <c r="Y122" s="137"/>
      <c r="Z122" s="137"/>
      <c r="AA122" s="137"/>
      <c r="AB122" s="137"/>
      <c r="AC122" s="137"/>
    </row>
    <row r="123" customFormat="false" ht="11.25" hidden="false" customHeight="false" outlineLevel="0" collapsed="false">
      <c r="A123" s="138"/>
      <c r="B123" s="138" t="s">
        <v>223</v>
      </c>
      <c r="I123" s="88" t="e">
        <f aca="false">($H120*I67)*(IF($H121=1,EP!I$185,IF($H121=2,EP!I$188,IF($H121=3,EP!I$191,0))))</f>
        <v>#N/A</v>
      </c>
      <c r="J123" s="88" t="e">
        <f aca="false">($H120*J67)*(IF($H121=1,EP!J$185,IF($H121=2,EP!J$188,IF($H121=3,EP!J$191,0))))</f>
        <v>#VALUE!</v>
      </c>
      <c r="K123" s="88" t="e">
        <f aca="false">($H120*K67)*(IF($H121=1,EP!K$185,IF($H121=2,EP!K$188,IF($H121=3,EP!K$191,0))))</f>
        <v>#VALUE!</v>
      </c>
      <c r="L123" s="88" t="e">
        <f aca="false">($H120*L67)*(IF($H121=1,EP!L$185,IF($H121=2,EP!L$188,IF($H121=3,EP!L$191,0))))</f>
        <v>#VALUE!</v>
      </c>
      <c r="M123" s="88" t="e">
        <f aca="false">($H120*M67)*(IF($H121=1,EP!M$185,IF($H121=2,EP!M$188,IF($H121=3,EP!M$191,0))))</f>
        <v>#VALUE!</v>
      </c>
      <c r="N123" s="88" t="e">
        <f aca="false">($H120*N67)*(IF($H121=1,EP!N$185,IF($H121=2,EP!N$188,IF($H121=3,EP!N$191,0))))</f>
        <v>#VALUE!</v>
      </c>
      <c r="O123" s="88" t="e">
        <f aca="false">($H120*O67)*(IF($H121=1,EP!O$185,IF($H121=2,EP!O$188,IF($H121=3,EP!O$191,0))))</f>
        <v>#VALUE!</v>
      </c>
      <c r="P123" s="88" t="e">
        <f aca="false">($H120*P67)*(IF($H121=1,EP!P$185,IF($H121=2,EP!P$188,IF($H121=3,EP!P$191,0))))</f>
        <v>#VALUE!</v>
      </c>
      <c r="Q123" s="88" t="e">
        <f aca="false">($H120*Q67)*(IF($H121=1,EP!Q$185,IF($H121=2,EP!Q$188,IF($H121=3,EP!Q$191,0))))</f>
        <v>#VALUE!</v>
      </c>
      <c r="R123" s="88" t="e">
        <f aca="false">($H120*R67)*(IF($H121=1,EP!R$185,IF($H121=2,EP!R$188,IF($H121=3,EP!R$191,0))))</f>
        <v>#VALUE!</v>
      </c>
      <c r="S123" s="88" t="e">
        <f aca="false">($H120*S67)*(IF($H121=1,EP!S$185,IF($H121=2,EP!S$188,IF($H121=3,EP!S$191,0))))</f>
        <v>#VALUE!</v>
      </c>
      <c r="T123" s="88" t="e">
        <f aca="false">($H120*T67)*(IF($H121=1,EP!T$185,IF($H121=2,EP!T$188,IF($H121=3,EP!T$191,0))))</f>
        <v>#VALUE!</v>
      </c>
      <c r="U123" s="88" t="e">
        <f aca="false">($H120*U67)*(IF($H121=1,EP!U$185,IF($H121=2,EP!U$188,IF($H121=3,EP!U$191,0))))</f>
        <v>#VALUE!</v>
      </c>
      <c r="V123" s="88" t="e">
        <f aca="false">($H120*V67)*(IF($H121=1,EP!V$185,IF($H121=2,EP!V$188,IF($H121=3,EP!V$191,0))))</f>
        <v>#VALUE!</v>
      </c>
      <c r="W123" s="88" t="e">
        <f aca="false">($H120*W67)*(IF($H121=1,EP!W$185,IF($H121=2,EP!W$188,IF($H121=3,EP!W$191,0))))</f>
        <v>#VALUE!</v>
      </c>
      <c r="X123" s="88" t="e">
        <f aca="false">($H120*X67)*(IF($H121=1,EP!X$185,IF($H121=2,EP!X$188,IF($H121=3,EP!X$191,0))))</f>
        <v>#VALUE!</v>
      </c>
      <c r="Y123" s="88" t="e">
        <f aca="false">($H120*Y67)*(IF($H121=1,EP!Y$185,IF($H121=2,EP!Y$188,IF($H121=3,EP!Y$191,0))))</f>
        <v>#VALUE!</v>
      </c>
      <c r="Z123" s="88" t="e">
        <f aca="false">($H120*Z67)*(IF($H121=1,EP!Z$185,IF($H121=2,EP!Z$188,IF($H121=3,EP!Z$191,0))))</f>
        <v>#VALUE!</v>
      </c>
      <c r="AA123" s="88" t="e">
        <f aca="false">($H120*AA67)*(IF($H121=1,EP!AA$185,IF($H121=2,EP!AA$188,IF($H121=3,EP!AA$191,0))))</f>
        <v>#VALUE!</v>
      </c>
      <c r="AB123" s="88" t="e">
        <f aca="false">($H120*AB67)*(IF($H121=1,EP!AB$185,IF($H121=2,EP!AB$188,IF($H121=3,EP!AB$191,0))))</f>
        <v>#VALUE!</v>
      </c>
      <c r="AC123" s="88" t="e">
        <f aca="false">($H120*AC67)*(IF($H121=1,EP!AC$185,IF($H121=2,EP!AC$188,IF($H121=3,EP!AC$191,0))))</f>
        <v>#VALUE!</v>
      </c>
    </row>
    <row r="124" customFormat="false" ht="11.25" hidden="false" customHeight="false" outlineLevel="0" collapsed="false">
      <c r="A124" s="138"/>
      <c r="B124" s="138"/>
      <c r="I124" s="88"/>
      <c r="J124" s="88"/>
      <c r="K124" s="88"/>
      <c r="L124" s="88"/>
      <c r="M124" s="88"/>
      <c r="N124" s="88"/>
      <c r="O124" s="88"/>
      <c r="P124" s="88"/>
      <c r="Q124" s="88"/>
      <c r="R124" s="88"/>
      <c r="S124" s="88"/>
      <c r="T124" s="88"/>
      <c r="U124" s="88"/>
      <c r="V124" s="88"/>
      <c r="W124" s="88"/>
      <c r="X124" s="88"/>
      <c r="Y124" s="88"/>
      <c r="Z124" s="88"/>
      <c r="AA124" s="88"/>
      <c r="AB124" s="88"/>
      <c r="AC124" s="88"/>
    </row>
    <row r="125" customFormat="false" ht="11.25" hidden="false" customHeight="false" outlineLevel="0" collapsed="false">
      <c r="A125" s="43" t="s">
        <v>224</v>
      </c>
      <c r="C125" s="35"/>
      <c r="D125" s="35"/>
      <c r="I125" s="35" t="e">
        <f aca="false">+I123+I115</f>
        <v>#N/A</v>
      </c>
      <c r="J125" s="35" t="e">
        <f aca="false">+J123+J115</f>
        <v>#VALUE!</v>
      </c>
      <c r="K125" s="35" t="e">
        <f aca="false">+K123+K115</f>
        <v>#VALUE!</v>
      </c>
      <c r="L125" s="35" t="e">
        <f aca="false">+L123+L115</f>
        <v>#VALUE!</v>
      </c>
      <c r="M125" s="35" t="e">
        <f aca="false">+M123+M115</f>
        <v>#VALUE!</v>
      </c>
      <c r="N125" s="35" t="e">
        <f aca="false">+N123+N115</f>
        <v>#VALUE!</v>
      </c>
      <c r="O125" s="35" t="e">
        <f aca="false">+O123+O115</f>
        <v>#VALUE!</v>
      </c>
      <c r="P125" s="35" t="e">
        <f aca="false">+P123+P115</f>
        <v>#VALUE!</v>
      </c>
      <c r="Q125" s="35" t="e">
        <f aca="false">+Q123+Q115</f>
        <v>#VALUE!</v>
      </c>
      <c r="R125" s="35" t="e">
        <f aca="false">+R123+R115</f>
        <v>#VALUE!</v>
      </c>
      <c r="S125" s="35" t="e">
        <f aca="false">+S123+S115</f>
        <v>#VALUE!</v>
      </c>
      <c r="T125" s="35" t="e">
        <f aca="false">+T123+T115</f>
        <v>#VALUE!</v>
      </c>
      <c r="U125" s="35" t="e">
        <f aca="false">+U123+U115</f>
        <v>#VALUE!</v>
      </c>
      <c r="V125" s="35" t="e">
        <f aca="false">+V123+V115</f>
        <v>#VALUE!</v>
      </c>
      <c r="W125" s="35" t="e">
        <f aca="false">+W123+W115</f>
        <v>#VALUE!</v>
      </c>
      <c r="X125" s="35" t="e">
        <f aca="false">+X123+X115</f>
        <v>#VALUE!</v>
      </c>
      <c r="Y125" s="35" t="e">
        <f aca="false">+Y123+Y115</f>
        <v>#VALUE!</v>
      </c>
      <c r="Z125" s="35" t="e">
        <f aca="false">+Z123+Z115</f>
        <v>#VALUE!</v>
      </c>
      <c r="AA125" s="35" t="e">
        <f aca="false">+AA123+AA115</f>
        <v>#VALUE!</v>
      </c>
      <c r="AB125" s="35" t="e">
        <f aca="false">+AB123+AB115</f>
        <v>#VALUE!</v>
      </c>
      <c r="AC125" s="35" t="e">
        <f aca="false">+AC123+AC115</f>
        <v>#VALUE!</v>
      </c>
    </row>
    <row r="126" customFormat="false" ht="11.25" hidden="false" customHeight="false" outlineLevel="0" collapsed="false">
      <c r="A126" s="35" t="s">
        <v>225</v>
      </c>
      <c r="C126" s="35"/>
      <c r="D126" s="35"/>
      <c r="I126" s="5" t="e">
        <f aca="false">+I89</f>
        <v>#N/A</v>
      </c>
      <c r="J126" s="5" t="e">
        <f aca="false">+J89</f>
        <v>#VALUE!</v>
      </c>
      <c r="K126" s="5" t="e">
        <f aca="false">+K89</f>
        <v>#VALUE!</v>
      </c>
      <c r="L126" s="5" t="e">
        <f aca="false">+L89</f>
        <v>#VALUE!</v>
      </c>
      <c r="M126" s="5" t="e">
        <f aca="false">+M89</f>
        <v>#VALUE!</v>
      </c>
      <c r="N126" s="5" t="e">
        <f aca="false">+N89</f>
        <v>#VALUE!</v>
      </c>
      <c r="O126" s="5" t="e">
        <f aca="false">+O89</f>
        <v>#VALUE!</v>
      </c>
      <c r="P126" s="5" t="e">
        <f aca="false">+P89</f>
        <v>#VALUE!</v>
      </c>
      <c r="Q126" s="5" t="e">
        <f aca="false">+Q89</f>
        <v>#VALUE!</v>
      </c>
      <c r="R126" s="5" t="e">
        <f aca="false">+R89</f>
        <v>#VALUE!</v>
      </c>
      <c r="S126" s="5" t="e">
        <f aca="false">+S89</f>
        <v>#VALUE!</v>
      </c>
      <c r="T126" s="5" t="e">
        <f aca="false">+T89</f>
        <v>#VALUE!</v>
      </c>
      <c r="U126" s="5" t="e">
        <f aca="false">+U89</f>
        <v>#VALUE!</v>
      </c>
      <c r="V126" s="5" t="e">
        <f aca="false">+V89</f>
        <v>#VALUE!</v>
      </c>
      <c r="W126" s="5" t="e">
        <f aca="false">+W89</f>
        <v>#VALUE!</v>
      </c>
      <c r="X126" s="5" t="e">
        <f aca="false">+X89</f>
        <v>#VALUE!</v>
      </c>
      <c r="Y126" s="5" t="e">
        <f aca="false">+Y89</f>
        <v>#VALUE!</v>
      </c>
      <c r="Z126" s="5" t="e">
        <f aca="false">+Z89</f>
        <v>#VALUE!</v>
      </c>
      <c r="AA126" s="5" t="e">
        <f aca="false">+AA89</f>
        <v>#VALUE!</v>
      </c>
      <c r="AB126" s="5" t="e">
        <f aca="false">+AB89</f>
        <v>#VALUE!</v>
      </c>
      <c r="AC126" s="5" t="e">
        <f aca="false">+AC89</f>
        <v>#VALUE!</v>
      </c>
    </row>
    <row r="127" customFormat="false" ht="11.25" hidden="false" customHeight="false" outlineLevel="0" collapsed="false">
      <c r="A127" s="35" t="s">
        <v>226</v>
      </c>
      <c r="C127" s="35"/>
      <c r="D127" s="35"/>
      <c r="I127" s="157" t="e">
        <f aca="false">+I125+I126</f>
        <v>#N/A</v>
      </c>
      <c r="J127" s="157" t="e">
        <f aca="false">+J125+J126</f>
        <v>#VALUE!</v>
      </c>
      <c r="K127" s="157" t="e">
        <f aca="false">+K125+K126</f>
        <v>#VALUE!</v>
      </c>
      <c r="L127" s="157" t="e">
        <f aca="false">+L125+L126</f>
        <v>#VALUE!</v>
      </c>
      <c r="M127" s="157" t="e">
        <f aca="false">+M125+M126</f>
        <v>#VALUE!</v>
      </c>
      <c r="N127" s="157" t="e">
        <f aca="false">+N125+N126</f>
        <v>#VALUE!</v>
      </c>
      <c r="O127" s="157" t="e">
        <f aca="false">+O125+O126</f>
        <v>#VALUE!</v>
      </c>
      <c r="P127" s="157" t="e">
        <f aca="false">+P125+P126</f>
        <v>#VALUE!</v>
      </c>
      <c r="Q127" s="157" t="e">
        <f aca="false">+Q125+Q126</f>
        <v>#VALUE!</v>
      </c>
      <c r="R127" s="157" t="e">
        <f aca="false">+R125+R126</f>
        <v>#VALUE!</v>
      </c>
      <c r="S127" s="157" t="e">
        <f aca="false">+S125+S126</f>
        <v>#VALUE!</v>
      </c>
      <c r="T127" s="157" t="e">
        <f aca="false">+T125+T126</f>
        <v>#VALUE!</v>
      </c>
      <c r="U127" s="157" t="e">
        <f aca="false">+U125+U126</f>
        <v>#VALUE!</v>
      </c>
      <c r="V127" s="157" t="e">
        <f aca="false">+V125+V126</f>
        <v>#VALUE!</v>
      </c>
      <c r="W127" s="157" t="e">
        <f aca="false">+W125+W126</f>
        <v>#VALUE!</v>
      </c>
      <c r="X127" s="157" t="e">
        <f aca="false">+X125+X126</f>
        <v>#VALUE!</v>
      </c>
      <c r="Y127" s="157" t="e">
        <f aca="false">+Y125+Y126</f>
        <v>#VALUE!</v>
      </c>
      <c r="Z127" s="157" t="e">
        <f aca="false">+Z125+Z126</f>
        <v>#VALUE!</v>
      </c>
      <c r="AA127" s="157" t="e">
        <f aca="false">+AA125+AA126</f>
        <v>#VALUE!</v>
      </c>
      <c r="AB127" s="157" t="e">
        <f aca="false">+AB125+AB126</f>
        <v>#VALUE!</v>
      </c>
      <c r="AC127" s="157" t="e">
        <f aca="false">+AC125+AC126</f>
        <v>#VALUE!</v>
      </c>
    </row>
    <row r="128" customFormat="false" ht="12" hidden="false" customHeight="false" outlineLevel="0" collapsed="false">
      <c r="A128" s="35"/>
      <c r="C128" s="35"/>
      <c r="D128" s="35"/>
      <c r="E128" s="35"/>
      <c r="F128" s="35"/>
      <c r="G128" s="35"/>
      <c r="H128" s="35"/>
      <c r="I128" s="35"/>
      <c r="J128" s="35"/>
      <c r="K128" s="35"/>
      <c r="L128" s="35"/>
      <c r="M128" s="35"/>
      <c r="N128" s="35"/>
      <c r="O128" s="35"/>
      <c r="P128" s="35"/>
      <c r="Q128" s="35"/>
      <c r="R128" s="35"/>
      <c r="S128" s="35"/>
      <c r="T128" s="35"/>
      <c r="U128" s="35"/>
      <c r="V128" s="35"/>
      <c r="W128" s="35"/>
      <c r="X128" s="149"/>
      <c r="Y128" s="149"/>
      <c r="Z128" s="149"/>
      <c r="AA128" s="149"/>
      <c r="AB128" s="149"/>
      <c r="AC128" s="149"/>
    </row>
    <row r="129" customFormat="false" ht="12" hidden="false" customHeight="false" outlineLevel="0" collapsed="false">
      <c r="A129" s="130"/>
      <c r="B129" s="130"/>
      <c r="C129" s="130"/>
      <c r="D129" s="130"/>
      <c r="E129" s="130"/>
      <c r="F129" s="130"/>
      <c r="G129" s="130"/>
      <c r="H129" s="130"/>
      <c r="I129" s="130"/>
      <c r="J129" s="130"/>
      <c r="K129" s="130"/>
      <c r="L129" s="130"/>
      <c r="M129" s="130"/>
      <c r="N129" s="130"/>
      <c r="O129" s="130"/>
      <c r="P129" s="130"/>
      <c r="Q129" s="130"/>
      <c r="R129" s="130"/>
      <c r="S129" s="130"/>
      <c r="T129" s="130"/>
      <c r="U129" s="130"/>
      <c r="V129" s="130"/>
      <c r="W129" s="130"/>
      <c r="X129" s="130"/>
      <c r="Y129" s="130"/>
      <c r="Z129" s="130"/>
      <c r="AA129" s="130"/>
      <c r="AB129" s="130"/>
      <c r="AC129" s="130"/>
    </row>
    <row r="130" customFormat="false" ht="11.25" hidden="false" customHeight="false" outlineLevel="0" collapsed="false">
      <c r="A130" s="153" t="s">
        <v>227</v>
      </c>
      <c r="C130" s="35"/>
      <c r="D130" s="35"/>
      <c r="E130" s="35"/>
      <c r="F130" s="35"/>
      <c r="G130" s="35"/>
      <c r="H130" s="35"/>
      <c r="I130" s="35"/>
      <c r="J130" s="35"/>
      <c r="K130" s="35"/>
      <c r="L130" s="35"/>
      <c r="M130" s="35"/>
      <c r="N130" s="35"/>
      <c r="O130" s="35"/>
      <c r="P130" s="35"/>
      <c r="Q130" s="35"/>
      <c r="R130" s="35"/>
      <c r="S130" s="35"/>
      <c r="T130" s="35"/>
      <c r="U130" s="35"/>
      <c r="V130" s="35"/>
      <c r="W130" s="35"/>
      <c r="X130" s="149"/>
      <c r="Y130" s="149"/>
      <c r="Z130" s="149"/>
      <c r="AA130" s="149"/>
      <c r="AB130" s="149"/>
      <c r="AC130" s="149"/>
    </row>
    <row r="131" customFormat="false" ht="11.25" hidden="false" customHeight="false" outlineLevel="0" collapsed="false">
      <c r="A131" s="43" t="s">
        <v>228</v>
      </c>
      <c r="C131" s="103"/>
      <c r="D131" s="103"/>
      <c r="E131" s="111"/>
      <c r="F131" s="111"/>
      <c r="G131" s="111"/>
      <c r="H131" s="111"/>
      <c r="I131" s="111"/>
      <c r="J131" s="111"/>
      <c r="K131" s="111"/>
      <c r="L131" s="111"/>
      <c r="M131" s="111"/>
      <c r="N131" s="111"/>
      <c r="O131" s="111"/>
      <c r="P131" s="111"/>
      <c r="Q131" s="111"/>
      <c r="R131" s="111"/>
      <c r="S131" s="111"/>
      <c r="T131" s="111"/>
      <c r="U131" s="111"/>
      <c r="V131" s="111"/>
      <c r="W131" s="111"/>
      <c r="X131" s="111"/>
      <c r="Y131" s="111"/>
      <c r="Z131" s="111"/>
      <c r="AA131" s="111"/>
      <c r="AB131" s="111"/>
      <c r="AC131" s="111"/>
    </row>
    <row r="132" customFormat="false" ht="11.25" hidden="false" customHeight="false" outlineLevel="0" collapsed="false">
      <c r="A132" s="138"/>
      <c r="B132" s="94" t="s">
        <v>157</v>
      </c>
      <c r="C132" s="132" t="s">
        <v>162</v>
      </c>
      <c r="E132" s="43" t="s">
        <v>204</v>
      </c>
      <c r="H132" s="136" t="n">
        <v>0</v>
      </c>
      <c r="I132" s="140"/>
      <c r="J132" s="140"/>
      <c r="K132" s="140"/>
      <c r="L132" s="140"/>
      <c r="M132" s="140"/>
      <c r="N132" s="140"/>
      <c r="O132" s="140"/>
      <c r="P132" s="140"/>
      <c r="Q132" s="140"/>
      <c r="R132" s="140"/>
      <c r="S132" s="140"/>
      <c r="T132" s="140"/>
      <c r="U132" s="140"/>
      <c r="V132" s="140"/>
      <c r="W132" s="140"/>
      <c r="X132" s="140"/>
      <c r="Y132" s="140"/>
      <c r="Z132" s="140"/>
      <c r="AA132" s="140"/>
      <c r="AB132" s="140"/>
      <c r="AC132" s="140"/>
    </row>
    <row r="133" customFormat="false" ht="11.25" hidden="false" customHeight="false" outlineLevel="0" collapsed="false">
      <c r="A133" s="80"/>
      <c r="B133" s="133" t="s">
        <v>158</v>
      </c>
      <c r="C133" s="132"/>
      <c r="E133" s="12" t="s">
        <v>197</v>
      </c>
      <c r="H133" s="134" t="n">
        <v>1</v>
      </c>
      <c r="I133" s="80"/>
      <c r="J133" s="80"/>
      <c r="K133" s="80"/>
      <c r="L133" s="80"/>
      <c r="M133" s="80"/>
      <c r="N133" s="80"/>
      <c r="O133" s="80"/>
      <c r="P133" s="80"/>
      <c r="Q133" s="80"/>
      <c r="R133" s="80"/>
      <c r="S133" s="80"/>
      <c r="T133" s="80"/>
      <c r="U133" s="80"/>
      <c r="V133" s="80"/>
      <c r="W133" s="80"/>
      <c r="X133" s="80"/>
      <c r="Y133" s="80"/>
      <c r="Z133" s="80"/>
      <c r="AA133" s="80"/>
      <c r="AB133" s="80"/>
      <c r="AC133" s="80"/>
    </row>
    <row r="134" customFormat="false" ht="11.25" hidden="false" customHeight="false" outlineLevel="0" collapsed="false">
      <c r="B134" s="133" t="s">
        <v>159</v>
      </c>
      <c r="C134" s="132"/>
      <c r="E134" s="43" t="s">
        <v>198</v>
      </c>
      <c r="H134" s="88" t="n">
        <f aca="false">+H132*H133</f>
        <v>0</v>
      </c>
    </row>
    <row r="135" customFormat="false" ht="11.25" hidden="false" customHeight="false" outlineLevel="0" collapsed="false">
      <c r="A135" s="138"/>
      <c r="B135" s="133" t="s">
        <v>160</v>
      </c>
      <c r="C135" s="132"/>
      <c r="E135" s="43" t="s">
        <v>199</v>
      </c>
      <c r="H135" s="136" t="n">
        <v>3</v>
      </c>
      <c r="I135" s="137"/>
      <c r="J135" s="137"/>
      <c r="K135" s="137"/>
      <c r="L135" s="137"/>
      <c r="M135" s="137"/>
      <c r="N135" s="137"/>
      <c r="O135" s="137"/>
      <c r="P135" s="137"/>
      <c r="Q135" s="137"/>
      <c r="R135" s="137"/>
      <c r="S135" s="137"/>
      <c r="T135" s="137"/>
      <c r="U135" s="137"/>
      <c r="V135" s="137"/>
      <c r="W135" s="137"/>
      <c r="X135" s="137"/>
      <c r="Y135" s="137"/>
      <c r="Z135" s="137"/>
      <c r="AA135" s="137"/>
      <c r="AB135" s="137"/>
      <c r="AC135" s="137"/>
    </row>
    <row r="136" customFormat="false" ht="11.25" hidden="false" customHeight="false" outlineLevel="0" collapsed="false">
      <c r="A136" s="138"/>
      <c r="I136" s="137"/>
      <c r="J136" s="137"/>
      <c r="K136" s="137"/>
      <c r="L136" s="137"/>
      <c r="M136" s="137"/>
      <c r="N136" s="137"/>
      <c r="O136" s="137"/>
      <c r="P136" s="137"/>
      <c r="Q136" s="137"/>
      <c r="R136" s="137"/>
      <c r="S136" s="137"/>
      <c r="T136" s="137"/>
      <c r="U136" s="137"/>
      <c r="V136" s="137"/>
      <c r="W136" s="137"/>
      <c r="X136" s="137"/>
      <c r="Y136" s="137"/>
      <c r="Z136" s="137"/>
      <c r="AA136" s="137"/>
      <c r="AB136" s="137"/>
      <c r="AC136" s="137"/>
    </row>
    <row r="137" customFormat="false" ht="11.25" hidden="false" customHeight="false" outlineLevel="0" collapsed="false">
      <c r="A137" s="138"/>
      <c r="B137" s="138" t="s">
        <v>133</v>
      </c>
      <c r="I137" s="88" t="n">
        <f aca="false">($H134)*(IF($H135=1,EP!I$185,IF($H135=2,EP!I$188,IF($H135=3,EP!I$191,0))))*(stub)</f>
        <v>0</v>
      </c>
      <c r="J137" s="88" t="n">
        <f aca="false">($H134)*(IF($H135=1,EP!J$185,IF($H135=2,EP!J$188,IF($H135=3,EP!J$191,0))))</f>
        <v>0</v>
      </c>
      <c r="K137" s="88" t="n">
        <f aca="false">($H134)*(IF($H135=1,EP!K$185,IF($H135=2,EP!K$188,IF($H135=3,EP!K$191,0))))</f>
        <v>0</v>
      </c>
      <c r="L137" s="88" t="n">
        <f aca="false">($H134)*(IF($H135=1,EP!L$185,IF($H135=2,EP!L$188,IF($H135=3,EP!L$191,0))))</f>
        <v>0</v>
      </c>
      <c r="M137" s="88" t="n">
        <f aca="false">($H134)*(IF($H135=1,EP!M$185,IF($H135=2,EP!M$188,IF($H135=3,EP!M$191,0))))</f>
        <v>0</v>
      </c>
      <c r="N137" s="88" t="n">
        <f aca="false">($H134)*(IF($H135=1,EP!N$185,IF($H135=2,EP!N$188,IF($H135=3,EP!N$191,0))))</f>
        <v>0</v>
      </c>
      <c r="O137" s="88" t="n">
        <f aca="false">($H134)*(IF($H135=1,EP!O$185,IF($H135=2,EP!O$188,IF($H135=3,EP!O$191,0))))</f>
        <v>0</v>
      </c>
      <c r="P137" s="88" t="n">
        <f aca="false">($H134)*(IF($H135=1,EP!P$185,IF($H135=2,EP!P$188,IF($H135=3,EP!P$191,0))))</f>
        <v>0</v>
      </c>
      <c r="Q137" s="88" t="n">
        <f aca="false">($H134)*(IF($H135=1,EP!Q$185,IF($H135=2,EP!Q$188,IF($H135=3,EP!Q$191,0))))</f>
        <v>0</v>
      </c>
      <c r="R137" s="88" t="n">
        <f aca="false">($H134)*(IF($H135=1,EP!R$185,IF($H135=2,EP!R$188,IF($H135=3,EP!R$191,0))))</f>
        <v>0</v>
      </c>
      <c r="S137" s="88" t="n">
        <f aca="false">($H134)*(IF($H135=1,EP!S$185,IF($H135=2,EP!S$188,IF($H135=3,EP!S$191,0))))</f>
        <v>0</v>
      </c>
      <c r="T137" s="88" t="n">
        <f aca="false">($H134)*(IF($H135=1,EP!T$185,IF($H135=2,EP!T$188,IF($H135=3,EP!T$191,0))))</f>
        <v>0</v>
      </c>
      <c r="U137" s="88" t="n">
        <f aca="false">($H134)*(IF($H135=1,EP!U$185,IF($H135=2,EP!U$188,IF($H135=3,EP!U$191,0))))</f>
        <v>0</v>
      </c>
      <c r="V137" s="88" t="n">
        <f aca="false">($H134)*(IF($H135=1,EP!V$185,IF($H135=2,EP!V$188,IF($H135=3,EP!V$191,0))))</f>
        <v>0</v>
      </c>
      <c r="W137" s="88" t="n">
        <f aca="false">($H134)*(IF($H135=1,EP!W$185,IF($H135=2,EP!W$188,IF($H135=3,EP!W$191,0))))</f>
        <v>0</v>
      </c>
      <c r="X137" s="88" t="n">
        <f aca="false">($H134)*(IF($H135=1,EP!X$185,IF($H135=2,EP!X$188,IF($H135=3,EP!X$191,0))))</f>
        <v>0</v>
      </c>
      <c r="Y137" s="88" t="n">
        <f aca="false">($H134)*(IF($H135=1,EP!Y$185,IF($H135=2,EP!Y$188,IF($H135=3,EP!Y$191,0))))</f>
        <v>0</v>
      </c>
      <c r="Z137" s="88" t="n">
        <f aca="false">($H134)*(IF($H135=1,EP!Z$185,IF($H135=2,EP!Z$188,IF($H135=3,EP!Z$191,0))))</f>
        <v>0</v>
      </c>
      <c r="AA137" s="88" t="n">
        <f aca="false">($H134)*(IF($H135=1,EP!AA$185,IF($H135=2,EP!AA$188,IF($H135=3,EP!AA$191,0))))</f>
        <v>0</v>
      </c>
      <c r="AB137" s="88" t="n">
        <f aca="false">($H134)*(IF($H135=1,EP!AB$185,IF($H135=2,EP!AB$188,IF($H135=3,EP!AB$191,0))))</f>
        <v>0</v>
      </c>
      <c r="AC137" s="88" t="n">
        <f aca="false">($H134)*(IF($H135=1,EP!AC$185,IF($H135=2,EP!AC$188,IF($H135=3,EP!AC$191,0))))</f>
        <v>0</v>
      </c>
    </row>
    <row r="138" customFormat="false" ht="11.25" hidden="false" customHeight="false" outlineLevel="0" collapsed="false">
      <c r="A138" s="138"/>
      <c r="H138" s="80"/>
      <c r="I138" s="137"/>
      <c r="J138" s="137"/>
      <c r="K138" s="137"/>
      <c r="L138" s="137"/>
      <c r="M138" s="137"/>
      <c r="N138" s="137"/>
      <c r="O138" s="137"/>
      <c r="P138" s="137"/>
      <c r="Q138" s="137"/>
      <c r="R138" s="137"/>
      <c r="S138" s="137"/>
      <c r="T138" s="137"/>
      <c r="U138" s="137"/>
      <c r="V138" s="137"/>
      <c r="W138" s="137"/>
      <c r="X138" s="137"/>
      <c r="Y138" s="137"/>
      <c r="Z138" s="137"/>
      <c r="AA138" s="137"/>
      <c r="AB138" s="137"/>
      <c r="AC138" s="137"/>
    </row>
    <row r="139" customFormat="false" ht="11.25" hidden="false" customHeight="false" outlineLevel="0" collapsed="false">
      <c r="A139" s="138" t="s">
        <v>229</v>
      </c>
      <c r="H139" s="80"/>
      <c r="I139" s="137"/>
      <c r="J139" s="137"/>
      <c r="K139" s="137"/>
      <c r="L139" s="137"/>
      <c r="M139" s="137"/>
      <c r="N139" s="137"/>
      <c r="O139" s="137"/>
      <c r="P139" s="137"/>
      <c r="Q139" s="137"/>
      <c r="R139" s="137"/>
      <c r="S139" s="137"/>
      <c r="T139" s="137"/>
      <c r="U139" s="137"/>
      <c r="V139" s="137"/>
      <c r="W139" s="137"/>
      <c r="X139" s="137"/>
      <c r="Y139" s="137"/>
      <c r="Z139" s="137"/>
      <c r="AA139" s="137"/>
      <c r="AB139" s="137"/>
      <c r="AC139" s="137"/>
    </row>
    <row r="140" customFormat="false" ht="11.25" hidden="false" customHeight="false" outlineLevel="0" collapsed="false">
      <c r="B140" s="94" t="s">
        <v>157</v>
      </c>
      <c r="C140" s="132" t="s">
        <v>162</v>
      </c>
      <c r="E140" s="43" t="s">
        <v>222</v>
      </c>
      <c r="H140" s="134" t="n">
        <v>0.3</v>
      </c>
      <c r="I140" s="137"/>
      <c r="J140" s="137"/>
      <c r="K140" s="137"/>
      <c r="L140" s="137"/>
      <c r="M140" s="137"/>
      <c r="N140" s="137"/>
      <c r="O140" s="137"/>
      <c r="P140" s="137"/>
      <c r="Q140" s="137"/>
      <c r="R140" s="137"/>
      <c r="S140" s="137"/>
      <c r="T140" s="137"/>
      <c r="U140" s="137"/>
      <c r="V140" s="137"/>
      <c r="W140" s="137"/>
      <c r="X140" s="137"/>
      <c r="Y140" s="137"/>
      <c r="Z140" s="137"/>
      <c r="AA140" s="137"/>
      <c r="AB140" s="137"/>
      <c r="AC140" s="137"/>
    </row>
    <row r="141" customFormat="false" ht="11.25" hidden="false" customHeight="false" outlineLevel="0" collapsed="false">
      <c r="A141" s="138"/>
      <c r="B141" s="133" t="s">
        <v>158</v>
      </c>
      <c r="C141" s="132"/>
      <c r="E141" s="12" t="s">
        <v>197</v>
      </c>
      <c r="H141" s="134" t="n">
        <v>1</v>
      </c>
      <c r="I141" s="137"/>
      <c r="J141" s="137"/>
      <c r="K141" s="137"/>
      <c r="L141" s="137"/>
      <c r="M141" s="137"/>
      <c r="N141" s="137"/>
      <c r="O141" s="137"/>
      <c r="P141" s="137"/>
      <c r="Q141" s="137"/>
      <c r="R141" s="137"/>
      <c r="S141" s="137"/>
      <c r="T141" s="137"/>
      <c r="U141" s="137"/>
      <c r="V141" s="137"/>
      <c r="W141" s="137"/>
      <c r="X141" s="137"/>
      <c r="Y141" s="137"/>
      <c r="Z141" s="137"/>
      <c r="AA141" s="137"/>
      <c r="AB141" s="137"/>
      <c r="AC141" s="137"/>
    </row>
    <row r="142" customFormat="false" ht="11.25" hidden="false" customHeight="false" outlineLevel="0" collapsed="false">
      <c r="A142" s="138"/>
      <c r="B142" s="133" t="s">
        <v>159</v>
      </c>
      <c r="C142" s="132"/>
      <c r="E142" s="43" t="s">
        <v>198</v>
      </c>
      <c r="H142" s="90" t="n">
        <f aca="false">+H140*H141</f>
        <v>0.3</v>
      </c>
      <c r="I142" s="137"/>
      <c r="J142" s="137"/>
      <c r="K142" s="137"/>
      <c r="L142" s="137"/>
      <c r="M142" s="137"/>
      <c r="N142" s="137"/>
      <c r="O142" s="137"/>
      <c r="P142" s="137"/>
      <c r="Q142" s="137"/>
      <c r="R142" s="137"/>
      <c r="S142" s="137"/>
      <c r="T142" s="137"/>
      <c r="U142" s="137"/>
      <c r="V142" s="137"/>
      <c r="W142" s="137"/>
      <c r="X142" s="137"/>
      <c r="Y142" s="137"/>
      <c r="Z142" s="137"/>
      <c r="AA142" s="137"/>
      <c r="AB142" s="137"/>
      <c r="AC142" s="137"/>
    </row>
    <row r="143" customFormat="false" ht="11.25" hidden="false" customHeight="false" outlineLevel="0" collapsed="false">
      <c r="A143" s="138"/>
      <c r="B143" s="133" t="s">
        <v>160</v>
      </c>
      <c r="C143" s="132"/>
      <c r="E143" s="43" t="s">
        <v>199</v>
      </c>
      <c r="H143" s="156" t="n">
        <v>1</v>
      </c>
      <c r="I143" s="137"/>
      <c r="J143" s="137"/>
      <c r="K143" s="137"/>
      <c r="L143" s="137"/>
      <c r="M143" s="137"/>
      <c r="N143" s="137"/>
      <c r="O143" s="137"/>
      <c r="P143" s="137"/>
      <c r="Q143" s="137"/>
      <c r="R143" s="137"/>
      <c r="S143" s="137"/>
      <c r="T143" s="137"/>
      <c r="U143" s="137"/>
      <c r="V143" s="137"/>
      <c r="W143" s="137"/>
      <c r="X143" s="137"/>
      <c r="Y143" s="137"/>
      <c r="Z143" s="137"/>
      <c r="AA143" s="137"/>
      <c r="AB143" s="137"/>
      <c r="AC143" s="137"/>
    </row>
    <row r="144" customFormat="false" ht="11.25" hidden="false" customHeight="false" outlineLevel="0" collapsed="false">
      <c r="A144" s="138"/>
      <c r="I144" s="137"/>
      <c r="J144" s="137"/>
      <c r="K144" s="137"/>
      <c r="L144" s="137"/>
      <c r="M144" s="137"/>
      <c r="N144" s="137"/>
      <c r="O144" s="137"/>
      <c r="P144" s="137"/>
      <c r="Q144" s="137"/>
      <c r="R144" s="137"/>
      <c r="S144" s="137"/>
      <c r="T144" s="137"/>
      <c r="U144" s="137"/>
      <c r="V144" s="137"/>
      <c r="W144" s="137"/>
      <c r="X144" s="137"/>
      <c r="Y144" s="137"/>
      <c r="Z144" s="137"/>
      <c r="AA144" s="137"/>
      <c r="AB144" s="137"/>
      <c r="AC144" s="137"/>
    </row>
    <row r="145" customFormat="false" ht="11.25" hidden="false" customHeight="false" outlineLevel="0" collapsed="false">
      <c r="A145" s="138"/>
      <c r="B145" s="138" t="s">
        <v>223</v>
      </c>
      <c r="I145" s="88" t="e">
        <f aca="false">($H142*I67)*(IF($H143=1,EP!I$185,IF($H143=2,EP!I$188,IF($H143=3,EP!I$191,0))))*(stub)</f>
        <v>#N/A</v>
      </c>
      <c r="J145" s="88" t="e">
        <f aca="false">($H142*J67)*(IF($H143=1,EP!J$185,IF($H143=2,EP!J$188,IF($H143=3,EP!J$191,0))))</f>
        <v>#VALUE!</v>
      </c>
      <c r="K145" s="88" t="e">
        <f aca="false">($H142*K67)*(IF($H143=1,EP!K$185,IF($H143=2,EP!K$188,IF($H143=3,EP!K$191,0))))</f>
        <v>#VALUE!</v>
      </c>
      <c r="L145" s="88" t="e">
        <f aca="false">($H142*L67)*(IF($H143=1,EP!L$185,IF($H143=2,EP!L$188,IF($H143=3,EP!L$191,0))))</f>
        <v>#VALUE!</v>
      </c>
      <c r="M145" s="88" t="e">
        <f aca="false">($H142*M67)*(IF($H143=1,EP!M$185,IF($H143=2,EP!M$188,IF($H143=3,EP!M$191,0))))</f>
        <v>#VALUE!</v>
      </c>
      <c r="N145" s="88" t="e">
        <f aca="false">($H142*N67)*(IF($H143=1,EP!N$185,IF($H143=2,EP!N$188,IF($H143=3,EP!N$191,0))))</f>
        <v>#VALUE!</v>
      </c>
      <c r="O145" s="88" t="e">
        <f aca="false">($H142*O67)*(IF($H143=1,EP!O$185,IF($H143=2,EP!O$188,IF($H143=3,EP!O$191,0))))</f>
        <v>#VALUE!</v>
      </c>
      <c r="P145" s="88" t="e">
        <f aca="false">($H142*P67)*(IF($H143=1,EP!P$185,IF($H143=2,EP!P$188,IF($H143=3,EP!P$191,0))))</f>
        <v>#VALUE!</v>
      </c>
      <c r="Q145" s="88" t="e">
        <f aca="false">($H142*Q67)*(IF($H143=1,EP!Q$185,IF($H143=2,EP!Q$188,IF($H143=3,EP!Q$191,0))))</f>
        <v>#VALUE!</v>
      </c>
      <c r="R145" s="88" t="e">
        <f aca="false">($H142*R67)*(IF($H143=1,EP!R$185,IF($H143=2,EP!R$188,IF($H143=3,EP!R$191,0))))</f>
        <v>#VALUE!</v>
      </c>
      <c r="S145" s="88" t="e">
        <f aca="false">($H142*S67)*(IF($H143=1,EP!S$185,IF($H143=2,EP!S$188,IF($H143=3,EP!S$191,0))))</f>
        <v>#VALUE!</v>
      </c>
      <c r="T145" s="88" t="e">
        <f aca="false">($H142*T67)*(IF($H143=1,EP!T$185,IF($H143=2,EP!T$188,IF($H143=3,EP!T$191,0))))</f>
        <v>#VALUE!</v>
      </c>
      <c r="U145" s="88" t="e">
        <f aca="false">($H142*U67)*(IF($H143=1,EP!U$185,IF($H143=2,EP!U$188,IF($H143=3,EP!U$191,0))))</f>
        <v>#VALUE!</v>
      </c>
      <c r="V145" s="88" t="e">
        <f aca="false">($H142*V67)*(IF($H143=1,EP!V$185,IF($H143=2,EP!V$188,IF($H143=3,EP!V$191,0))))</f>
        <v>#VALUE!</v>
      </c>
      <c r="W145" s="88" t="e">
        <f aca="false">($H142*W67)*(IF($H143=1,EP!W$185,IF($H143=2,EP!W$188,IF($H143=3,EP!W$191,0))))</f>
        <v>#VALUE!</v>
      </c>
      <c r="X145" s="88" t="e">
        <f aca="false">($H142*X67)*(IF($H143=1,EP!X$185,IF($H143=2,EP!X$188,IF($H143=3,EP!X$191,0))))</f>
        <v>#VALUE!</v>
      </c>
      <c r="Y145" s="88" t="e">
        <f aca="false">($H142*Y67)*(IF($H143=1,EP!Y$185,IF($H143=2,EP!Y$188,IF($H143=3,EP!Y$191,0))))</f>
        <v>#VALUE!</v>
      </c>
      <c r="Z145" s="88" t="e">
        <f aca="false">($H142*Z67)*(IF($H143=1,EP!Z$185,IF($H143=2,EP!Z$188,IF($H143=3,EP!Z$191,0))))</f>
        <v>#VALUE!</v>
      </c>
      <c r="AA145" s="88" t="e">
        <f aca="false">($H142*AA67)*(IF($H143=1,EP!AA$185,IF($H143=2,EP!AA$188,IF($H143=3,EP!AA$191,0))))</f>
        <v>#VALUE!</v>
      </c>
      <c r="AB145" s="88" t="e">
        <f aca="false">($H142*AB67)*(IF($H143=1,EP!AB$185,IF($H143=2,EP!AB$188,IF($H143=3,EP!AB$191,0))))</f>
        <v>#VALUE!</v>
      </c>
      <c r="AC145" s="88" t="e">
        <f aca="false">($H142*AC67)*(IF($H143=1,EP!AC$185,IF($H143=2,EP!AC$188,IF($H143=3,EP!AC$191,0))))</f>
        <v>#VALUE!</v>
      </c>
    </row>
    <row r="146" customFormat="false" ht="11.25" hidden="false" customHeight="false" outlineLevel="0" collapsed="false">
      <c r="A146" s="138"/>
      <c r="B146" s="138"/>
      <c r="I146" s="88"/>
      <c r="J146" s="88"/>
      <c r="K146" s="88"/>
      <c r="L146" s="88"/>
      <c r="M146" s="88"/>
      <c r="N146" s="88"/>
      <c r="O146" s="88"/>
      <c r="P146" s="88"/>
      <c r="Q146" s="88"/>
      <c r="R146" s="88"/>
      <c r="S146" s="88"/>
      <c r="T146" s="88"/>
      <c r="U146" s="88"/>
      <c r="V146" s="88"/>
      <c r="W146" s="88"/>
      <c r="X146" s="88"/>
      <c r="Y146" s="88"/>
      <c r="Z146" s="88"/>
      <c r="AA146" s="88"/>
      <c r="AB146" s="88"/>
      <c r="AC146" s="88"/>
    </row>
    <row r="147" customFormat="false" ht="11.25" hidden="false" customHeight="false" outlineLevel="0" collapsed="false">
      <c r="A147" s="138" t="s">
        <v>230</v>
      </c>
      <c r="B147" s="138"/>
      <c r="I147" s="141" t="n">
        <v>0</v>
      </c>
      <c r="J147" s="141" t="n">
        <v>0</v>
      </c>
      <c r="K147" s="141" t="n">
        <v>0</v>
      </c>
      <c r="L147" s="141" t="n">
        <v>0</v>
      </c>
      <c r="M147" s="141" t="n">
        <v>0</v>
      </c>
      <c r="N147" s="141" t="n">
        <v>0</v>
      </c>
      <c r="O147" s="141" t="n">
        <v>0</v>
      </c>
      <c r="P147" s="141" t="n">
        <v>0</v>
      </c>
      <c r="Q147" s="141" t="n">
        <v>0</v>
      </c>
      <c r="R147" s="141" t="n">
        <v>0</v>
      </c>
      <c r="S147" s="141" t="n">
        <v>0</v>
      </c>
      <c r="T147" s="141" t="n">
        <v>0</v>
      </c>
      <c r="U147" s="141" t="n">
        <v>0</v>
      </c>
      <c r="V147" s="141" t="n">
        <v>0</v>
      </c>
      <c r="W147" s="141" t="n">
        <v>0</v>
      </c>
      <c r="X147" s="141" t="n">
        <v>0</v>
      </c>
      <c r="Y147" s="141" t="n">
        <v>0</v>
      </c>
      <c r="Z147" s="141" t="n">
        <v>0</v>
      </c>
      <c r="AA147" s="141" t="n">
        <v>0</v>
      </c>
      <c r="AB147" s="141" t="n">
        <v>0</v>
      </c>
      <c r="AC147" s="141" t="n">
        <v>0</v>
      </c>
    </row>
    <row r="148" customFormat="false" ht="11.25" hidden="false" customHeight="false" outlineLevel="0" collapsed="false">
      <c r="A148" s="43" t="s">
        <v>231</v>
      </c>
      <c r="C148" s="35"/>
      <c r="D148" s="35"/>
      <c r="I148" s="158" t="e">
        <f aca="false">+I145+I137+I147</f>
        <v>#N/A</v>
      </c>
      <c r="J148" s="158" t="e">
        <f aca="false">+J145+J137+J147</f>
        <v>#VALUE!</v>
      </c>
      <c r="K148" s="158" t="e">
        <f aca="false">+K145+K137+K147</f>
        <v>#VALUE!</v>
      </c>
      <c r="L148" s="158" t="e">
        <f aca="false">+L145+L137+L147</f>
        <v>#VALUE!</v>
      </c>
      <c r="M148" s="158" t="e">
        <f aca="false">+M145+M137+M147</f>
        <v>#VALUE!</v>
      </c>
      <c r="N148" s="158" t="e">
        <f aca="false">+N145+N137+N147</f>
        <v>#VALUE!</v>
      </c>
      <c r="O148" s="158" t="e">
        <f aca="false">+O145+O137+O147</f>
        <v>#VALUE!</v>
      </c>
      <c r="P148" s="158" t="e">
        <f aca="false">+P145+P137+P147</f>
        <v>#VALUE!</v>
      </c>
      <c r="Q148" s="158" t="e">
        <f aca="false">+Q145+Q137+Q147</f>
        <v>#VALUE!</v>
      </c>
      <c r="R148" s="158" t="e">
        <f aca="false">+R145+R137+R147</f>
        <v>#VALUE!</v>
      </c>
      <c r="S148" s="158" t="e">
        <f aca="false">+S145+S137+S147</f>
        <v>#VALUE!</v>
      </c>
      <c r="T148" s="158" t="e">
        <f aca="false">+T145+T137+T147</f>
        <v>#VALUE!</v>
      </c>
      <c r="U148" s="158" t="e">
        <f aca="false">+U145+U137+U147</f>
        <v>#VALUE!</v>
      </c>
      <c r="V148" s="158" t="e">
        <f aca="false">+V145+V137+V147</f>
        <v>#VALUE!</v>
      </c>
      <c r="W148" s="158" t="e">
        <f aca="false">+W145+W137+W147</f>
        <v>#VALUE!</v>
      </c>
      <c r="X148" s="158" t="e">
        <f aca="false">+X145+X137+X147</f>
        <v>#VALUE!</v>
      </c>
      <c r="Y148" s="158" t="e">
        <f aca="false">+Y145+Y137+Y147</f>
        <v>#VALUE!</v>
      </c>
      <c r="Z148" s="158" t="e">
        <f aca="false">+Z145+Z137+Z147</f>
        <v>#VALUE!</v>
      </c>
      <c r="AA148" s="158" t="e">
        <f aca="false">+AA145+AA137+AA147</f>
        <v>#VALUE!</v>
      </c>
      <c r="AB148" s="158" t="e">
        <f aca="false">+AB145+AB137+AB147</f>
        <v>#VALUE!</v>
      </c>
      <c r="AC148" s="158" t="e">
        <f aca="false">+AC145+AC137+AC147</f>
        <v>#VALUE!</v>
      </c>
    </row>
    <row r="149" customFormat="false" ht="12" hidden="false" customHeight="false" outlineLevel="0" collapsed="false">
      <c r="A149" s="159"/>
      <c r="B149" s="160"/>
      <c r="C149" s="161"/>
      <c r="D149" s="161"/>
      <c r="E149" s="161"/>
      <c r="F149" s="161"/>
      <c r="G149" s="161"/>
      <c r="H149" s="161"/>
      <c r="I149" s="161"/>
      <c r="J149" s="161"/>
      <c r="K149" s="161"/>
      <c r="L149" s="161"/>
      <c r="M149" s="161"/>
      <c r="N149" s="161"/>
      <c r="O149" s="161"/>
      <c r="P149" s="161"/>
      <c r="Q149" s="161"/>
      <c r="R149" s="161"/>
      <c r="S149" s="161"/>
      <c r="T149" s="161"/>
      <c r="U149" s="161"/>
      <c r="V149" s="161"/>
      <c r="W149" s="161"/>
      <c r="X149" s="161"/>
      <c r="Y149" s="161"/>
      <c r="Z149" s="161"/>
      <c r="AA149" s="161"/>
      <c r="AB149" s="161"/>
      <c r="AC149" s="161"/>
    </row>
    <row r="150" customFormat="false" ht="12" hidden="false" customHeight="false" outlineLevel="0" collapsed="false">
      <c r="F150" s="43"/>
    </row>
    <row r="152" customFormat="false" ht="11.25" hidden="false" customHeight="false" outlineLevel="0" collapsed="false">
      <c r="F152" s="12" t="s">
        <v>232</v>
      </c>
      <c r="I152" s="12" t="e">
        <f aca="false">PROFILE!F100</f>
        <v>#N/A</v>
      </c>
      <c r="J152" s="12" t="e">
        <f aca="false">PROFILE!G100</f>
        <v>#N/A</v>
      </c>
      <c r="K152" s="12" t="e">
        <f aca="false">PROFILE!H100</f>
        <v>#VALUE!</v>
      </c>
      <c r="L152" s="12" t="e">
        <f aca="false">PROFILE!I100</f>
        <v>#N/A</v>
      </c>
      <c r="M152" s="12" t="e">
        <f aca="false">PROFILE!J100</f>
        <v>#N/A</v>
      </c>
      <c r="N152" s="12" t="e">
        <f aca="false">PROFILE!K100</f>
        <v>#N/A</v>
      </c>
      <c r="O152" s="12" t="e">
        <f aca="false">PROFILE!L100</f>
        <v>#N/A</v>
      </c>
      <c r="P152" s="12" t="e">
        <f aca="false">PROFILE!M100</f>
        <v>#VALUE!</v>
      </c>
      <c r="Q152" s="12" t="e">
        <f aca="false">PROFILE!N100</f>
        <v>#N/A</v>
      </c>
      <c r="R152" s="12" t="e">
        <f aca="false">PROFILE!O100</f>
        <v>#N/A</v>
      </c>
      <c r="S152" s="12" t="e">
        <f aca="false">PROFILE!P100</f>
        <v>#N/A</v>
      </c>
      <c r="T152" s="12" t="e">
        <f aca="false">PROFILE!Q100</f>
        <v>#N/A</v>
      </c>
      <c r="U152" s="12" t="e">
        <f aca="false">PROFILE!R100</f>
        <v>#N/A</v>
      </c>
      <c r="V152" s="12" t="e">
        <f aca="false">PROFILE!S100</f>
        <v>#N/A</v>
      </c>
      <c r="W152" s="12" t="e">
        <f aca="false">PROFILE!T100</f>
        <v>#N/A</v>
      </c>
      <c r="X152" s="12" t="e">
        <f aca="false">PROFILE!U100</f>
        <v>#N/A</v>
      </c>
      <c r="Y152" s="12" t="e">
        <f aca="false">PROFILE!V100</f>
        <v>#N/A</v>
      </c>
      <c r="Z152" s="12" t="e">
        <f aca="false">PROFILE!W100</f>
        <v>#N/A</v>
      </c>
      <c r="AA152" s="12" t="e">
        <f aca="false">PROFILE!X100</f>
        <v>#N/A</v>
      </c>
      <c r="AB152" s="12" t="e">
        <f aca="false">PROFILE!Y100</f>
        <v>#N/A</v>
      </c>
      <c r="AC152" s="12" t="e">
        <f aca="false">PROFILE!Z100</f>
        <v>#N/A</v>
      </c>
    </row>
    <row r="153" customFormat="false" ht="11.25" hidden="false" customHeight="false" outlineLevel="0" collapsed="false">
      <c r="G153" s="12" t="s">
        <v>7</v>
      </c>
      <c r="I153" s="12" t="n">
        <f aca="false">I152*I38</f>
        <v>97.6886856964226</v>
      </c>
      <c r="J153" s="12" t="e">
        <f aca="false">J152*J38</f>
        <v>#VALUE!</v>
      </c>
      <c r="K153" s="12" t="e">
        <f aca="false">K152*K38</f>
        <v>#VALUE!</v>
      </c>
      <c r="L153" s="12" t="e">
        <f aca="false">L152*L38</f>
        <v>#N/A</v>
      </c>
      <c r="M153" s="12" t="e">
        <f aca="false">M152*M38</f>
        <v>#N/A</v>
      </c>
      <c r="N153" s="12" t="e">
        <f aca="false">N152*N38</f>
        <v>#N/A</v>
      </c>
      <c r="O153" s="12" t="e">
        <f aca="false">O152*O38</f>
        <v>#N/A</v>
      </c>
      <c r="P153" s="12" t="e">
        <f aca="false">P152*P38</f>
        <v>#VALUE!</v>
      </c>
      <c r="Q153" s="12" t="e">
        <f aca="false">Q152*Q38</f>
        <v>#N/A</v>
      </c>
      <c r="R153" s="12" t="e">
        <f aca="false">R152*R38</f>
        <v>#N/A</v>
      </c>
      <c r="S153" s="12" t="e">
        <f aca="false">S152*S38</f>
        <v>#N/A</v>
      </c>
      <c r="T153" s="12" t="e">
        <f aca="false">T152*T38</f>
        <v>#N/A</v>
      </c>
      <c r="U153" s="12" t="e">
        <f aca="false">U152*U38</f>
        <v>#N/A</v>
      </c>
      <c r="V153" s="12" t="e">
        <f aca="false">V152*V38</f>
        <v>#N/A</v>
      </c>
      <c r="W153" s="12" t="e">
        <f aca="false">W152*W38</f>
        <v>#N/A</v>
      </c>
      <c r="X153" s="12" t="e">
        <f aca="false">X152*X38</f>
        <v>#N/A</v>
      </c>
      <c r="Y153" s="12" t="e">
        <f aca="false">Y152*Y38</f>
        <v>#N/A</v>
      </c>
      <c r="Z153" s="12" t="e">
        <f aca="false">Z152*Z38</f>
        <v>#N/A</v>
      </c>
      <c r="AA153" s="12" t="e">
        <f aca="false">AA152*AA38</f>
        <v>#N/A</v>
      </c>
      <c r="AB153" s="12" t="e">
        <f aca="false">AB152*AB38</f>
        <v>#N/A</v>
      </c>
      <c r="AC153" s="12" t="e">
        <f aca="false">AC152*AC38</f>
        <v>#N/A</v>
      </c>
    </row>
    <row r="154" customFormat="false" ht="11.25" hidden="false" customHeight="false" outlineLevel="0" collapsed="false">
      <c r="G154" s="12" t="s">
        <v>4</v>
      </c>
      <c r="I154" s="12" t="n">
        <f aca="false">I152*I39*6</f>
        <v>251.199477505087</v>
      </c>
      <c r="J154" s="12" t="e">
        <f aca="false">J152*J39*6</f>
        <v>#N/A</v>
      </c>
      <c r="K154" s="12" t="e">
        <f aca="false">K152*K39*6</f>
        <v>#VALUE!</v>
      </c>
      <c r="L154" s="12" t="e">
        <f aca="false">L152*L39*6</f>
        <v>#N/A</v>
      </c>
      <c r="M154" s="12" t="e">
        <f aca="false">M152*M39*6</f>
        <v>#N/A</v>
      </c>
      <c r="N154" s="12" t="e">
        <f aca="false">N152*N39*6</f>
        <v>#N/A</v>
      </c>
      <c r="O154" s="12" t="e">
        <f aca="false">O152*O39*6</f>
        <v>#N/A</v>
      </c>
      <c r="P154" s="12" t="e">
        <f aca="false">P152*P39*6</f>
        <v>#VALUE!</v>
      </c>
      <c r="Q154" s="12" t="e">
        <f aca="false">Q152*Q39*6</f>
        <v>#N/A</v>
      </c>
      <c r="R154" s="12" t="e">
        <f aca="false">R152*R39*6</f>
        <v>#N/A</v>
      </c>
      <c r="S154" s="12" t="e">
        <f aca="false">S152*S39*6</f>
        <v>#N/A</v>
      </c>
      <c r="T154" s="12" t="e">
        <f aca="false">T152*T39*6</f>
        <v>#N/A</v>
      </c>
      <c r="U154" s="12" t="e">
        <f aca="false">U152*U39*6</f>
        <v>#N/A</v>
      </c>
      <c r="V154" s="12" t="e">
        <f aca="false">V152*V39*6</f>
        <v>#N/A</v>
      </c>
      <c r="W154" s="12" t="e">
        <f aca="false">W152*W39*6</f>
        <v>#N/A</v>
      </c>
      <c r="X154" s="12" t="e">
        <f aca="false">X152*X39*6</f>
        <v>#N/A</v>
      </c>
      <c r="Y154" s="12" t="e">
        <f aca="false">Y152*Y39*6</f>
        <v>#N/A</v>
      </c>
      <c r="Z154" s="12" t="e">
        <f aca="false">Z152*Z39*6</f>
        <v>#N/A</v>
      </c>
      <c r="AA154" s="12" t="e">
        <f aca="false">AA152*AA39*6</f>
        <v>#N/A</v>
      </c>
      <c r="AB154" s="12" t="e">
        <f aca="false">AB152*AB39*6</f>
        <v>#N/A</v>
      </c>
      <c r="AC154" s="12" t="e">
        <f aca="false">AC152*AC39*6</f>
        <v>#N/A</v>
      </c>
    </row>
    <row r="155" customFormat="false" ht="11.25" hidden="false" customHeight="false" outlineLevel="0" collapsed="false">
      <c r="F155" s="12" t="s">
        <v>233</v>
      </c>
      <c r="J155" s="12" t="e">
        <f aca="false">PROFILE!G101</f>
        <v>#VALUE!</v>
      </c>
      <c r="K155" s="12" t="e">
        <f aca="false">PROFILE!H101</f>
        <v>#N/A</v>
      </c>
      <c r="L155" s="12" t="e">
        <f aca="false">PROFILE!I101</f>
        <v>#N/A</v>
      </c>
      <c r="M155" s="12" t="e">
        <f aca="false">PROFILE!J101</f>
        <v>#N/A</v>
      </c>
      <c r="N155" s="12" t="e">
        <f aca="false">PROFILE!K101</f>
        <v>#N/A</v>
      </c>
      <c r="O155" s="12" t="e">
        <f aca="false">PROFILE!L101</f>
        <v>#N/A</v>
      </c>
      <c r="P155" s="12" t="e">
        <f aca="false">PROFILE!M101</f>
        <v>#N/A</v>
      </c>
      <c r="Q155" s="12" t="e">
        <f aca="false">PROFILE!N101</f>
        <v>#N/A</v>
      </c>
      <c r="R155" s="12" t="e">
        <f aca="false">PROFILE!O101</f>
        <v>#N/A</v>
      </c>
      <c r="S155" s="12" t="e">
        <f aca="false">PROFILE!P101</f>
        <v>#N/A</v>
      </c>
      <c r="T155" s="12" t="e">
        <f aca="false">PROFILE!Q101</f>
        <v>#N/A</v>
      </c>
      <c r="U155" s="12" t="e">
        <f aca="false">PROFILE!R101</f>
        <v>#N/A</v>
      </c>
      <c r="V155" s="12" t="e">
        <f aca="false">PROFILE!S101</f>
        <v>#N/A</v>
      </c>
      <c r="W155" s="12" t="e">
        <f aca="false">PROFILE!T101</f>
        <v>#N/A</v>
      </c>
      <c r="X155" s="12" t="e">
        <f aca="false">PROFILE!U101</f>
        <v>#N/A</v>
      </c>
      <c r="Y155" s="12" t="e">
        <f aca="false">PROFILE!V101</f>
        <v>#N/A</v>
      </c>
      <c r="Z155" s="12" t="e">
        <f aca="false">PROFILE!W101</f>
        <v>#N/A</v>
      </c>
      <c r="AA155" s="12" t="e">
        <f aca="false">PROFILE!X101</f>
        <v>#N/A</v>
      </c>
      <c r="AB155" s="12" t="e">
        <f aca="false">PROFILE!Y101</f>
        <v>#N/A</v>
      </c>
      <c r="AC155" s="12" t="e">
        <f aca="false">PROFILE!Z101</f>
        <v>#N/A</v>
      </c>
    </row>
    <row r="156" customFormat="false" ht="11.25" hidden="false" customHeight="false" outlineLevel="0" collapsed="false">
      <c r="G156" s="12" t="s">
        <v>7</v>
      </c>
      <c r="J156" s="12" t="e">
        <f aca="false">J155*J38</f>
        <v>#VALUE!</v>
      </c>
      <c r="K156" s="12" t="e">
        <f aca="false">K155*K38</f>
        <v>#N/A</v>
      </c>
      <c r="L156" s="12" t="e">
        <f aca="false">L155*L38</f>
        <v>#N/A</v>
      </c>
      <c r="M156" s="12" t="e">
        <f aca="false">M155*M38</f>
        <v>#N/A</v>
      </c>
      <c r="N156" s="12" t="e">
        <f aca="false">N155*N38</f>
        <v>#N/A</v>
      </c>
      <c r="O156" s="12" t="e">
        <f aca="false">O155*O38</f>
        <v>#N/A</v>
      </c>
      <c r="P156" s="12" t="e">
        <f aca="false">P155*P38</f>
        <v>#VALUE!</v>
      </c>
      <c r="Q156" s="12" t="e">
        <f aca="false">Q155*Q38</f>
        <v>#N/A</v>
      </c>
      <c r="R156" s="12" t="e">
        <f aca="false">R155*R38</f>
        <v>#N/A</v>
      </c>
      <c r="S156" s="12" t="e">
        <f aca="false">S155*S38</f>
        <v>#N/A</v>
      </c>
      <c r="T156" s="12" t="e">
        <f aca="false">T155*T38</f>
        <v>#N/A</v>
      </c>
      <c r="U156" s="12" t="e">
        <f aca="false">U155*U38</f>
        <v>#N/A</v>
      </c>
      <c r="V156" s="12" t="e">
        <f aca="false">V155*V38</f>
        <v>#N/A</v>
      </c>
      <c r="W156" s="12" t="e">
        <f aca="false">W155*W38</f>
        <v>#N/A</v>
      </c>
      <c r="X156" s="12" t="e">
        <f aca="false">X155*X38</f>
        <v>#N/A</v>
      </c>
      <c r="Y156" s="12" t="e">
        <f aca="false">Y155*Y38</f>
        <v>#N/A</v>
      </c>
      <c r="Z156" s="12" t="e">
        <f aca="false">Z155*Z38</f>
        <v>#N/A</v>
      </c>
      <c r="AA156" s="12" t="e">
        <f aca="false">AA155*AA38</f>
        <v>#N/A</v>
      </c>
      <c r="AB156" s="12" t="e">
        <f aca="false">AB155*AB38</f>
        <v>#N/A</v>
      </c>
      <c r="AC156" s="12" t="e">
        <f aca="false">AC155*AC38</f>
        <v>#N/A</v>
      </c>
    </row>
    <row r="157" customFormat="false" ht="11.25" hidden="false" customHeight="false" outlineLevel="0" collapsed="false">
      <c r="G157" s="12" t="s">
        <v>4</v>
      </c>
      <c r="J157" s="12" t="e">
        <f aca="false">J155*J39*6</f>
        <v>#VALUE!</v>
      </c>
      <c r="K157" s="12" t="e">
        <f aca="false">K155*K39*6</f>
        <v>#N/A</v>
      </c>
      <c r="L157" s="12" t="e">
        <f aca="false">L155*L39*6</f>
        <v>#N/A</v>
      </c>
      <c r="M157" s="12" t="e">
        <f aca="false">M155*M39*6</f>
        <v>#N/A</v>
      </c>
      <c r="N157" s="12" t="e">
        <f aca="false">N155*N39*6</f>
        <v>#N/A</v>
      </c>
      <c r="O157" s="12" t="e">
        <f aca="false">O155*O39*6</f>
        <v>#N/A</v>
      </c>
      <c r="P157" s="12" t="e">
        <f aca="false">P155*P39*6</f>
        <v>#N/A</v>
      </c>
      <c r="Q157" s="12" t="e">
        <f aca="false">Q155*Q39*6</f>
        <v>#N/A</v>
      </c>
      <c r="R157" s="12" t="e">
        <f aca="false">R155*R39*6</f>
        <v>#N/A</v>
      </c>
      <c r="S157" s="12" t="e">
        <f aca="false">S155*S39*6</f>
        <v>#N/A</v>
      </c>
      <c r="T157" s="12" t="e">
        <f aca="false">T155*T39*6</f>
        <v>#N/A</v>
      </c>
      <c r="U157" s="12" t="e">
        <f aca="false">U155*U39*6</f>
        <v>#N/A</v>
      </c>
      <c r="V157" s="12" t="e">
        <f aca="false">V155*V39*6</f>
        <v>#N/A</v>
      </c>
      <c r="W157" s="12" t="e">
        <f aca="false">W155*W39*6</f>
        <v>#N/A</v>
      </c>
      <c r="X157" s="12" t="e">
        <f aca="false">X155*X39*6</f>
        <v>#N/A</v>
      </c>
      <c r="Y157" s="12" t="e">
        <f aca="false">Y155*Y39*6</f>
        <v>#N/A</v>
      </c>
      <c r="Z157" s="12" t="e">
        <f aca="false">Z155*Z39*6</f>
        <v>#N/A</v>
      </c>
      <c r="AA157" s="12" t="e">
        <f aca="false">AA155*AA39*6</f>
        <v>#N/A</v>
      </c>
      <c r="AB157" s="12" t="e">
        <f aca="false">AB155*AB39*6</f>
        <v>#N/A</v>
      </c>
      <c r="AC157" s="12" t="e">
        <f aca="false">AC155*AC39*6</f>
        <v>#N/A</v>
      </c>
    </row>
    <row r="158" customFormat="false" ht="11.25" hidden="false" customHeight="false" outlineLevel="0" collapsed="false">
      <c r="F158" s="12" t="s">
        <v>234</v>
      </c>
      <c r="K158" s="12" t="e">
        <f aca="false">PROFILE!H102</f>
        <v>#N/A</v>
      </c>
      <c r="L158" s="12" t="e">
        <f aca="false">PROFILE!I102</f>
        <v>#N/A</v>
      </c>
      <c r="M158" s="12" t="e">
        <f aca="false">PROFILE!J102</f>
        <v>#N/A</v>
      </c>
      <c r="N158" s="12" t="e">
        <f aca="false">PROFILE!K102</f>
        <v>#N/A</v>
      </c>
      <c r="O158" s="12" t="e">
        <f aca="false">PROFILE!L102</f>
        <v>#N/A</v>
      </c>
      <c r="P158" s="12" t="e">
        <f aca="false">PROFILE!M102</f>
        <v>#N/A</v>
      </c>
      <c r="Q158" s="12" t="e">
        <f aca="false">PROFILE!N102</f>
        <v>#N/A</v>
      </c>
      <c r="R158" s="12" t="e">
        <f aca="false">PROFILE!O102</f>
        <v>#N/A</v>
      </c>
      <c r="S158" s="12" t="e">
        <f aca="false">PROFILE!P102</f>
        <v>#N/A</v>
      </c>
      <c r="T158" s="12" t="e">
        <f aca="false">PROFILE!Q102</f>
        <v>#N/A</v>
      </c>
      <c r="U158" s="12" t="e">
        <f aca="false">PROFILE!R102</f>
        <v>#N/A</v>
      </c>
      <c r="V158" s="12" t="e">
        <f aca="false">PROFILE!S102</f>
        <v>#N/A</v>
      </c>
      <c r="W158" s="12" t="e">
        <f aca="false">PROFILE!T102</f>
        <v>#N/A</v>
      </c>
      <c r="X158" s="12" t="e">
        <f aca="false">PROFILE!U102</f>
        <v>#N/A</v>
      </c>
      <c r="Y158" s="12" t="e">
        <f aca="false">PROFILE!V102</f>
        <v>#N/A</v>
      </c>
      <c r="Z158" s="12" t="e">
        <f aca="false">PROFILE!W102</f>
        <v>#N/A</v>
      </c>
      <c r="AA158" s="12" t="e">
        <f aca="false">PROFILE!X102</f>
        <v>#N/A</v>
      </c>
      <c r="AB158" s="12" t="e">
        <f aca="false">PROFILE!Y102</f>
        <v>#N/A</v>
      </c>
      <c r="AC158" s="12" t="e">
        <f aca="false">PROFILE!Z102</f>
        <v>#N/A</v>
      </c>
    </row>
    <row r="159" customFormat="false" ht="11.25" hidden="false" customHeight="false" outlineLevel="0" collapsed="false">
      <c r="G159" s="12" t="s">
        <v>7</v>
      </c>
      <c r="K159" s="12" t="e">
        <f aca="false">K158*K38</f>
        <v>#N/A</v>
      </c>
      <c r="L159" s="12" t="e">
        <f aca="false">L158*L38</f>
        <v>#N/A</v>
      </c>
      <c r="M159" s="12" t="e">
        <f aca="false">M158*M38</f>
        <v>#N/A</v>
      </c>
      <c r="N159" s="12" t="e">
        <f aca="false">N158*N38</f>
        <v>#N/A</v>
      </c>
      <c r="O159" s="12" t="e">
        <f aca="false">O158*O38</f>
        <v>#N/A</v>
      </c>
      <c r="P159" s="12" t="e">
        <f aca="false">P158*P38</f>
        <v>#N/A</v>
      </c>
      <c r="Q159" s="12" t="e">
        <f aca="false">Q158*Q38</f>
        <v>#N/A</v>
      </c>
      <c r="R159" s="12" t="e">
        <f aca="false">R158*R38</f>
        <v>#N/A</v>
      </c>
      <c r="S159" s="12" t="e">
        <f aca="false">S158*S38</f>
        <v>#N/A</v>
      </c>
      <c r="T159" s="12" t="e">
        <f aca="false">T158*T38</f>
        <v>#N/A</v>
      </c>
      <c r="U159" s="12" t="e">
        <f aca="false">U158*U38</f>
        <v>#N/A</v>
      </c>
      <c r="V159" s="12" t="e">
        <f aca="false">V158*V38</f>
        <v>#N/A</v>
      </c>
      <c r="W159" s="12" t="e">
        <f aca="false">W158*W38</f>
        <v>#N/A</v>
      </c>
      <c r="X159" s="12" t="e">
        <f aca="false">X158*X38</f>
        <v>#N/A</v>
      </c>
      <c r="Y159" s="12" t="e">
        <f aca="false">Y158*Y38</f>
        <v>#N/A</v>
      </c>
      <c r="Z159" s="12" t="e">
        <f aca="false">Z158*Z38</f>
        <v>#N/A</v>
      </c>
      <c r="AA159" s="12" t="e">
        <f aca="false">AA158*AA38</f>
        <v>#N/A</v>
      </c>
      <c r="AB159" s="12" t="e">
        <f aca="false">AB158*AB38</f>
        <v>#N/A</v>
      </c>
      <c r="AC159" s="12" t="e">
        <f aca="false">AC158*AC38</f>
        <v>#N/A</v>
      </c>
    </row>
    <row r="160" customFormat="false" ht="11.25" hidden="false" customHeight="false" outlineLevel="0" collapsed="false">
      <c r="G160" s="12" t="s">
        <v>4</v>
      </c>
      <c r="K160" s="12" t="e">
        <f aca="false">K158*K39*6</f>
        <v>#N/A</v>
      </c>
      <c r="L160" s="12" t="e">
        <f aca="false">L158*L39*6</f>
        <v>#N/A</v>
      </c>
      <c r="M160" s="12" t="e">
        <f aca="false">M158*M39*6</f>
        <v>#N/A</v>
      </c>
      <c r="N160" s="12" t="e">
        <f aca="false">N158*N39*6</f>
        <v>#N/A</v>
      </c>
      <c r="O160" s="12" t="e">
        <f aca="false">O158*O39*6</f>
        <v>#N/A</v>
      </c>
      <c r="P160" s="12" t="e">
        <f aca="false">P158*P39*6</f>
        <v>#N/A</v>
      </c>
      <c r="Q160" s="12" t="e">
        <f aca="false">Q158*Q39*6</f>
        <v>#N/A</v>
      </c>
      <c r="R160" s="12" t="e">
        <f aca="false">R158*R39*6</f>
        <v>#N/A</v>
      </c>
      <c r="S160" s="12" t="e">
        <f aca="false">S158*S39*6</f>
        <v>#N/A</v>
      </c>
      <c r="T160" s="12" t="e">
        <f aca="false">T158*T39*6</f>
        <v>#N/A</v>
      </c>
      <c r="U160" s="12" t="e">
        <f aca="false">U158*U39*6</f>
        <v>#N/A</v>
      </c>
      <c r="V160" s="12" t="e">
        <f aca="false">V158*V39*6</f>
        <v>#N/A</v>
      </c>
      <c r="W160" s="12" t="e">
        <f aca="false">W158*W39*6</f>
        <v>#N/A</v>
      </c>
      <c r="X160" s="12" t="e">
        <f aca="false">X158*X39*6</f>
        <v>#N/A</v>
      </c>
      <c r="Y160" s="12" t="e">
        <f aca="false">Y158*Y39*6</f>
        <v>#N/A</v>
      </c>
      <c r="Z160" s="12" t="e">
        <f aca="false">Z158*Z39*6</f>
        <v>#N/A</v>
      </c>
      <c r="AA160" s="12" t="e">
        <f aca="false">AA158*AA39*6</f>
        <v>#N/A</v>
      </c>
      <c r="AB160" s="12" t="e">
        <f aca="false">AB158*AB39*6</f>
        <v>#N/A</v>
      </c>
      <c r="AC160" s="12" t="e">
        <f aca="false">AC158*AC39*6</f>
        <v>#N/A</v>
      </c>
    </row>
    <row r="161" customFormat="false" ht="11.25" hidden="false" customHeight="false" outlineLevel="0" collapsed="false">
      <c r="F161" s="12" t="s">
        <v>235</v>
      </c>
      <c r="L161" s="12" t="e">
        <f aca="false">PROFILE!I103</f>
        <v>#N/A</v>
      </c>
      <c r="M161" s="12" t="e">
        <f aca="false">PROFILE!J103</f>
        <v>#N/A</v>
      </c>
      <c r="N161" s="12" t="e">
        <f aca="false">PROFILE!K103</f>
        <v>#N/A</v>
      </c>
      <c r="O161" s="12" t="e">
        <f aca="false">PROFILE!L103</f>
        <v>#N/A</v>
      </c>
      <c r="P161" s="12" t="e">
        <f aca="false">PROFILE!M103</f>
        <v>#N/A</v>
      </c>
      <c r="Q161" s="12" t="e">
        <f aca="false">PROFILE!N103</f>
        <v>#N/A</v>
      </c>
      <c r="R161" s="12" t="e">
        <f aca="false">PROFILE!O103</f>
        <v>#N/A</v>
      </c>
      <c r="S161" s="12" t="e">
        <f aca="false">PROFILE!P103</f>
        <v>#N/A</v>
      </c>
      <c r="T161" s="12" t="e">
        <f aca="false">PROFILE!Q103</f>
        <v>#N/A</v>
      </c>
      <c r="U161" s="12" t="e">
        <f aca="false">PROFILE!R103</f>
        <v>#N/A</v>
      </c>
      <c r="V161" s="12" t="e">
        <f aca="false">PROFILE!S103</f>
        <v>#N/A</v>
      </c>
      <c r="W161" s="12" t="e">
        <f aca="false">PROFILE!T103</f>
        <v>#N/A</v>
      </c>
      <c r="X161" s="12" t="e">
        <f aca="false">PROFILE!U103</f>
        <v>#N/A</v>
      </c>
      <c r="Y161" s="12" t="e">
        <f aca="false">PROFILE!V103</f>
        <v>#N/A</v>
      </c>
      <c r="Z161" s="12" t="e">
        <f aca="false">PROFILE!W103</f>
        <v>#N/A</v>
      </c>
      <c r="AA161" s="12" t="e">
        <f aca="false">PROFILE!X103</f>
        <v>#N/A</v>
      </c>
      <c r="AB161" s="12" t="e">
        <f aca="false">PROFILE!Y103</f>
        <v>#N/A</v>
      </c>
      <c r="AC161" s="12" t="e">
        <f aca="false">PROFILE!Z103</f>
        <v>#N/A</v>
      </c>
    </row>
    <row r="162" customFormat="false" ht="11.25" hidden="false" customHeight="false" outlineLevel="0" collapsed="false">
      <c r="G162" s="12" t="s">
        <v>7</v>
      </c>
      <c r="L162" s="12" t="e">
        <f aca="false">L161*L38</f>
        <v>#N/A</v>
      </c>
      <c r="M162" s="12" t="e">
        <f aca="false">M161*M38</f>
        <v>#N/A</v>
      </c>
      <c r="N162" s="12" t="e">
        <f aca="false">N161*N38</f>
        <v>#N/A</v>
      </c>
      <c r="O162" s="12" t="e">
        <f aca="false">O161*O38</f>
        <v>#N/A</v>
      </c>
      <c r="P162" s="12" t="e">
        <f aca="false">P161*P38</f>
        <v>#N/A</v>
      </c>
      <c r="Q162" s="12" t="e">
        <f aca="false">Q161*Q38</f>
        <v>#N/A</v>
      </c>
      <c r="R162" s="12" t="e">
        <f aca="false">R161*R38</f>
        <v>#N/A</v>
      </c>
      <c r="S162" s="12" t="e">
        <f aca="false">S161*S38</f>
        <v>#N/A</v>
      </c>
      <c r="T162" s="12" t="e">
        <f aca="false">T161*T38</f>
        <v>#N/A</v>
      </c>
      <c r="U162" s="12" t="e">
        <f aca="false">U161*U38</f>
        <v>#N/A</v>
      </c>
      <c r="V162" s="12" t="e">
        <f aca="false">V161*V38</f>
        <v>#N/A</v>
      </c>
      <c r="W162" s="12" t="e">
        <f aca="false">W161*W38</f>
        <v>#N/A</v>
      </c>
      <c r="X162" s="12" t="e">
        <f aca="false">X161*X38</f>
        <v>#N/A</v>
      </c>
      <c r="Y162" s="12" t="e">
        <f aca="false">Y161*Y38</f>
        <v>#N/A</v>
      </c>
      <c r="Z162" s="12" t="e">
        <f aca="false">Z161*Z38</f>
        <v>#N/A</v>
      </c>
      <c r="AA162" s="12" t="e">
        <f aca="false">AA161*AA38</f>
        <v>#N/A</v>
      </c>
      <c r="AB162" s="12" t="e">
        <f aca="false">AB161*AB38</f>
        <v>#N/A</v>
      </c>
      <c r="AC162" s="12" t="e">
        <f aca="false">AC161*AC38</f>
        <v>#N/A</v>
      </c>
    </row>
    <row r="163" customFormat="false" ht="11.25" hidden="false" customHeight="false" outlineLevel="0" collapsed="false">
      <c r="G163" s="12" t="s">
        <v>4</v>
      </c>
      <c r="L163" s="12" t="e">
        <f aca="false">L161*L39*6</f>
        <v>#N/A</v>
      </c>
      <c r="M163" s="12" t="e">
        <f aca="false">M161*M39*6</f>
        <v>#N/A</v>
      </c>
      <c r="N163" s="12" t="e">
        <f aca="false">N161*N39*6</f>
        <v>#N/A</v>
      </c>
      <c r="O163" s="12" t="e">
        <f aca="false">O161*O39*6</f>
        <v>#N/A</v>
      </c>
      <c r="P163" s="12" t="e">
        <f aca="false">P161*P39*6</f>
        <v>#N/A</v>
      </c>
      <c r="Q163" s="12" t="e">
        <f aca="false">Q161*Q39*6</f>
        <v>#N/A</v>
      </c>
      <c r="R163" s="12" t="e">
        <f aca="false">R161*R39*6</f>
        <v>#N/A</v>
      </c>
      <c r="S163" s="12" t="e">
        <f aca="false">S161*S39*6</f>
        <v>#N/A</v>
      </c>
      <c r="T163" s="12" t="e">
        <f aca="false">T161*T39*6</f>
        <v>#N/A</v>
      </c>
      <c r="U163" s="12" t="e">
        <f aca="false">U161*U39*6</f>
        <v>#N/A</v>
      </c>
      <c r="V163" s="12" t="e">
        <f aca="false">V161*V39*6</f>
        <v>#N/A</v>
      </c>
      <c r="W163" s="12" t="e">
        <f aca="false">W161*W39*6</f>
        <v>#N/A</v>
      </c>
      <c r="X163" s="12" t="e">
        <f aca="false">X161*X39*6</f>
        <v>#N/A</v>
      </c>
      <c r="Y163" s="12" t="e">
        <f aca="false">Y161*Y39*6</f>
        <v>#N/A</v>
      </c>
      <c r="Z163" s="12" t="e">
        <f aca="false">Z161*Z39*6</f>
        <v>#N/A</v>
      </c>
      <c r="AA163" s="12" t="e">
        <f aca="false">AA161*AA39*6</f>
        <v>#N/A</v>
      </c>
      <c r="AB163" s="12" t="e">
        <f aca="false">AB161*AB39*6</f>
        <v>#N/A</v>
      </c>
      <c r="AC163" s="12" t="e">
        <f aca="false">AC161*AC39*6</f>
        <v>#N/A</v>
      </c>
    </row>
    <row r="164" customFormat="false" ht="11.25" hidden="false" customHeight="false" outlineLevel="0" collapsed="false">
      <c r="F164" s="12" t="s">
        <v>236</v>
      </c>
      <c r="M164" s="12" t="e">
        <f aca="false">PROFILE!J104</f>
        <v>#N/A</v>
      </c>
      <c r="N164" s="12" t="e">
        <f aca="false">PROFILE!K104</f>
        <v>#N/A</v>
      </c>
      <c r="O164" s="12" t="e">
        <f aca="false">PROFILE!L104</f>
        <v>#N/A</v>
      </c>
      <c r="P164" s="12" t="e">
        <f aca="false">PROFILE!M104</f>
        <v>#N/A</v>
      </c>
      <c r="Q164" s="12" t="e">
        <f aca="false">PROFILE!N104</f>
        <v>#N/A</v>
      </c>
      <c r="R164" s="12" t="e">
        <f aca="false">PROFILE!O104</f>
        <v>#N/A</v>
      </c>
      <c r="S164" s="12" t="e">
        <f aca="false">PROFILE!P104</f>
        <v>#N/A</v>
      </c>
      <c r="T164" s="12" t="e">
        <f aca="false">PROFILE!Q104</f>
        <v>#N/A</v>
      </c>
      <c r="U164" s="12" t="e">
        <f aca="false">PROFILE!R104</f>
        <v>#N/A</v>
      </c>
      <c r="V164" s="12" t="e">
        <f aca="false">PROFILE!S104</f>
        <v>#N/A</v>
      </c>
      <c r="W164" s="12" t="e">
        <f aca="false">PROFILE!T104</f>
        <v>#N/A</v>
      </c>
      <c r="X164" s="12" t="e">
        <f aca="false">PROFILE!U104</f>
        <v>#N/A</v>
      </c>
      <c r="Y164" s="12" t="e">
        <f aca="false">PROFILE!V104</f>
        <v>#N/A</v>
      </c>
      <c r="Z164" s="12" t="e">
        <f aca="false">PROFILE!W104</f>
        <v>#N/A</v>
      </c>
      <c r="AA164" s="12" t="e">
        <f aca="false">PROFILE!X104</f>
        <v>#N/A</v>
      </c>
      <c r="AB164" s="12" t="e">
        <f aca="false">PROFILE!Y104</f>
        <v>#N/A</v>
      </c>
      <c r="AC164" s="12" t="e">
        <f aca="false">PROFILE!Z104</f>
        <v>#N/A</v>
      </c>
    </row>
    <row r="165" customFormat="false" ht="11.25" hidden="false" customHeight="false" outlineLevel="0" collapsed="false">
      <c r="G165" s="12" t="s">
        <v>7</v>
      </c>
      <c r="M165" s="12" t="e">
        <f aca="false">M164*M38</f>
        <v>#N/A</v>
      </c>
      <c r="N165" s="12" t="e">
        <f aca="false">N164*N38</f>
        <v>#N/A</v>
      </c>
      <c r="O165" s="12" t="e">
        <f aca="false">O164*O38</f>
        <v>#N/A</v>
      </c>
      <c r="P165" s="12" t="e">
        <f aca="false">P164*P38</f>
        <v>#N/A</v>
      </c>
      <c r="Q165" s="12" t="e">
        <f aca="false">Q164*Q38</f>
        <v>#N/A</v>
      </c>
      <c r="R165" s="12" t="e">
        <f aca="false">R164*R38</f>
        <v>#N/A</v>
      </c>
      <c r="S165" s="12" t="e">
        <f aca="false">S164*S38</f>
        <v>#N/A</v>
      </c>
      <c r="T165" s="12" t="e">
        <f aca="false">T164*T38</f>
        <v>#N/A</v>
      </c>
      <c r="U165" s="12" t="e">
        <f aca="false">U164*U38</f>
        <v>#N/A</v>
      </c>
      <c r="V165" s="12" t="e">
        <f aca="false">V164*V38</f>
        <v>#N/A</v>
      </c>
      <c r="W165" s="12" t="e">
        <f aca="false">W164*W38</f>
        <v>#N/A</v>
      </c>
      <c r="X165" s="12" t="e">
        <f aca="false">X164*X38</f>
        <v>#N/A</v>
      </c>
      <c r="Y165" s="12" t="e">
        <f aca="false">Y164*Y38</f>
        <v>#N/A</v>
      </c>
      <c r="Z165" s="12" t="e">
        <f aca="false">Z164*Z38</f>
        <v>#N/A</v>
      </c>
      <c r="AA165" s="12" t="e">
        <f aca="false">AA164*AA38</f>
        <v>#N/A</v>
      </c>
      <c r="AB165" s="12" t="e">
        <f aca="false">AB164*AB38</f>
        <v>#N/A</v>
      </c>
      <c r="AC165" s="12" t="e">
        <f aca="false">AC164*AC38</f>
        <v>#N/A</v>
      </c>
    </row>
    <row r="166" customFormat="false" ht="11.25" hidden="false" customHeight="false" outlineLevel="0" collapsed="false">
      <c r="G166" s="12" t="s">
        <v>4</v>
      </c>
      <c r="M166" s="12" t="e">
        <f aca="false">M164*M39*6</f>
        <v>#N/A</v>
      </c>
      <c r="N166" s="12" t="e">
        <f aca="false">N164*N39*6</f>
        <v>#N/A</v>
      </c>
      <c r="O166" s="12" t="e">
        <f aca="false">O164*O39*6</f>
        <v>#N/A</v>
      </c>
      <c r="P166" s="12" t="e">
        <f aca="false">P164*P39*6</f>
        <v>#N/A</v>
      </c>
      <c r="Q166" s="12" t="e">
        <f aca="false">Q164*Q39*6</f>
        <v>#N/A</v>
      </c>
      <c r="R166" s="12" t="e">
        <f aca="false">R164*R39*6</f>
        <v>#N/A</v>
      </c>
      <c r="S166" s="12" t="e">
        <f aca="false">S164*S39*6</f>
        <v>#N/A</v>
      </c>
      <c r="T166" s="12" t="e">
        <f aca="false">T164*T39*6</f>
        <v>#N/A</v>
      </c>
      <c r="U166" s="12" t="e">
        <f aca="false">U164*U39*6</f>
        <v>#N/A</v>
      </c>
      <c r="V166" s="12" t="e">
        <f aca="false">V164*V39*6</f>
        <v>#N/A</v>
      </c>
      <c r="W166" s="12" t="e">
        <f aca="false">W164*W39*6</f>
        <v>#N/A</v>
      </c>
      <c r="X166" s="12" t="e">
        <f aca="false">X164*X39*6</f>
        <v>#N/A</v>
      </c>
      <c r="Y166" s="12" t="e">
        <f aca="false">Y164*Y39*6</f>
        <v>#N/A</v>
      </c>
      <c r="Z166" s="12" t="e">
        <f aca="false">Z164*Z39*6</f>
        <v>#N/A</v>
      </c>
      <c r="AA166" s="12" t="e">
        <f aca="false">AA164*AA39*6</f>
        <v>#N/A</v>
      </c>
      <c r="AB166" s="12" t="e">
        <f aca="false">AB164*AB39*6</f>
        <v>#N/A</v>
      </c>
      <c r="AC166" s="12" t="e">
        <f aca="false">AC164*AC39*6</f>
        <v>#N/A</v>
      </c>
    </row>
    <row r="167" customFormat="false" ht="11.25" hidden="false" customHeight="false" outlineLevel="0" collapsed="false">
      <c r="F167" s="12" t="s">
        <v>237</v>
      </c>
      <c r="N167" s="12" t="e">
        <f aca="false">PROFILE!K105</f>
        <v>#N/A</v>
      </c>
      <c r="O167" s="12" t="e">
        <f aca="false">PROFILE!L105</f>
        <v>#N/A</v>
      </c>
      <c r="P167" s="12" t="e">
        <f aca="false">PROFILE!M105</f>
        <v>#N/A</v>
      </c>
      <c r="Q167" s="12" t="e">
        <f aca="false">PROFILE!N105</f>
        <v>#N/A</v>
      </c>
      <c r="R167" s="12" t="e">
        <f aca="false">PROFILE!O105</f>
        <v>#N/A</v>
      </c>
      <c r="S167" s="12" t="e">
        <f aca="false">PROFILE!P105</f>
        <v>#N/A</v>
      </c>
      <c r="T167" s="12" t="e">
        <f aca="false">PROFILE!Q105</f>
        <v>#N/A</v>
      </c>
      <c r="U167" s="12" t="e">
        <f aca="false">PROFILE!R105</f>
        <v>#N/A</v>
      </c>
      <c r="V167" s="12" t="e">
        <f aca="false">PROFILE!S105</f>
        <v>#N/A</v>
      </c>
      <c r="W167" s="12" t="e">
        <f aca="false">PROFILE!T105</f>
        <v>#N/A</v>
      </c>
      <c r="X167" s="12" t="e">
        <f aca="false">PROFILE!U105</f>
        <v>#N/A</v>
      </c>
      <c r="Y167" s="12" t="e">
        <f aca="false">PROFILE!V105</f>
        <v>#N/A</v>
      </c>
      <c r="Z167" s="12" t="e">
        <f aca="false">PROFILE!W105</f>
        <v>#N/A</v>
      </c>
      <c r="AA167" s="12" t="e">
        <f aca="false">PROFILE!X105</f>
        <v>#N/A</v>
      </c>
      <c r="AB167" s="12" t="e">
        <f aca="false">PROFILE!Y105</f>
        <v>#N/A</v>
      </c>
      <c r="AC167" s="12" t="e">
        <f aca="false">PROFILE!Z105</f>
        <v>#N/A</v>
      </c>
    </row>
    <row r="168" customFormat="false" ht="11.25" hidden="false" customHeight="false" outlineLevel="0" collapsed="false">
      <c r="G168" s="12" t="s">
        <v>7</v>
      </c>
      <c r="N168" s="12" t="e">
        <f aca="false">N167*N38</f>
        <v>#N/A</v>
      </c>
      <c r="O168" s="12" t="e">
        <f aca="false">O167*O38</f>
        <v>#N/A</v>
      </c>
      <c r="P168" s="12" t="e">
        <f aca="false">P167*P38</f>
        <v>#N/A</v>
      </c>
      <c r="Q168" s="12" t="e">
        <f aca="false">Q167*Q38</f>
        <v>#N/A</v>
      </c>
      <c r="R168" s="12" t="e">
        <f aca="false">R167*R38</f>
        <v>#N/A</v>
      </c>
      <c r="S168" s="12" t="e">
        <f aca="false">S167*S38</f>
        <v>#N/A</v>
      </c>
      <c r="T168" s="12" t="e">
        <f aca="false">T167*T38</f>
        <v>#N/A</v>
      </c>
      <c r="U168" s="12" t="e">
        <f aca="false">U167*U38</f>
        <v>#N/A</v>
      </c>
      <c r="V168" s="12" t="e">
        <f aca="false">V167*V38</f>
        <v>#N/A</v>
      </c>
      <c r="W168" s="12" t="e">
        <f aca="false">W167*W38</f>
        <v>#N/A</v>
      </c>
      <c r="X168" s="12" t="e">
        <f aca="false">X167*X38</f>
        <v>#N/A</v>
      </c>
      <c r="Y168" s="12" t="e">
        <f aca="false">Y167*Y38</f>
        <v>#N/A</v>
      </c>
      <c r="Z168" s="12" t="e">
        <f aca="false">Z167*Z38</f>
        <v>#N/A</v>
      </c>
      <c r="AA168" s="12" t="e">
        <f aca="false">AA167*AA38</f>
        <v>#N/A</v>
      </c>
      <c r="AB168" s="12" t="e">
        <f aca="false">AB167*AB38</f>
        <v>#N/A</v>
      </c>
      <c r="AC168" s="12" t="e">
        <f aca="false">AC167*AC38</f>
        <v>#N/A</v>
      </c>
    </row>
    <row r="169" customFormat="false" ht="11.25" hidden="false" customHeight="false" outlineLevel="0" collapsed="false">
      <c r="G169" s="12" t="s">
        <v>4</v>
      </c>
      <c r="N169" s="12" t="e">
        <f aca="false">N167*N39*6</f>
        <v>#N/A</v>
      </c>
      <c r="O169" s="12" t="e">
        <f aca="false">O167*O39*6</f>
        <v>#N/A</v>
      </c>
      <c r="P169" s="12" t="e">
        <f aca="false">P167*P39*6</f>
        <v>#N/A</v>
      </c>
      <c r="Q169" s="12" t="e">
        <f aca="false">Q167*Q39*6</f>
        <v>#N/A</v>
      </c>
      <c r="R169" s="12" t="e">
        <f aca="false">R167*R39*6</f>
        <v>#N/A</v>
      </c>
      <c r="S169" s="12" t="e">
        <f aca="false">S167*S39*6</f>
        <v>#N/A</v>
      </c>
      <c r="T169" s="12" t="e">
        <f aca="false">T167*T39*6</f>
        <v>#N/A</v>
      </c>
      <c r="U169" s="12" t="e">
        <f aca="false">U167*U39*6</f>
        <v>#N/A</v>
      </c>
      <c r="V169" s="12" t="e">
        <f aca="false">V167*V39*6</f>
        <v>#N/A</v>
      </c>
      <c r="W169" s="12" t="e">
        <f aca="false">W167*W39*6</f>
        <v>#N/A</v>
      </c>
      <c r="X169" s="12" t="e">
        <f aca="false">X167*X39*6</f>
        <v>#N/A</v>
      </c>
      <c r="Y169" s="12" t="e">
        <f aca="false">Y167*Y39*6</f>
        <v>#N/A</v>
      </c>
      <c r="Z169" s="12" t="e">
        <f aca="false">Z167*Z39*6</f>
        <v>#N/A</v>
      </c>
      <c r="AA169" s="12" t="e">
        <f aca="false">AA167*AA39*6</f>
        <v>#N/A</v>
      </c>
      <c r="AB169" s="12" t="e">
        <f aca="false">AB167*AB39*6</f>
        <v>#N/A</v>
      </c>
      <c r="AC169" s="12" t="e">
        <f aca="false">AC167*AC39*6</f>
        <v>#N/A</v>
      </c>
    </row>
    <row r="170" customFormat="false" ht="11.25" hidden="false" customHeight="false" outlineLevel="0" collapsed="false">
      <c r="F170" s="12" t="s">
        <v>238</v>
      </c>
      <c r="O170" s="12" t="e">
        <f aca="false">PROFILE!L106</f>
        <v>#N/A</v>
      </c>
      <c r="P170" s="12" t="e">
        <f aca="false">PROFILE!M106</f>
        <v>#N/A</v>
      </c>
      <c r="Q170" s="12" t="e">
        <f aca="false">PROFILE!N106</f>
        <v>#N/A</v>
      </c>
      <c r="R170" s="12" t="e">
        <f aca="false">PROFILE!O106</f>
        <v>#N/A</v>
      </c>
      <c r="S170" s="12" t="e">
        <f aca="false">PROFILE!P106</f>
        <v>#N/A</v>
      </c>
      <c r="T170" s="12" t="e">
        <f aca="false">PROFILE!Q106</f>
        <v>#N/A</v>
      </c>
      <c r="U170" s="12" t="e">
        <f aca="false">PROFILE!R106</f>
        <v>#N/A</v>
      </c>
      <c r="V170" s="12" t="e">
        <f aca="false">PROFILE!S106</f>
        <v>#N/A</v>
      </c>
      <c r="W170" s="12" t="e">
        <f aca="false">PROFILE!T106</f>
        <v>#N/A</v>
      </c>
      <c r="X170" s="12" t="e">
        <f aca="false">PROFILE!U106</f>
        <v>#N/A</v>
      </c>
      <c r="Y170" s="12" t="e">
        <f aca="false">PROFILE!V106</f>
        <v>#N/A</v>
      </c>
      <c r="Z170" s="12" t="e">
        <f aca="false">PROFILE!W106</f>
        <v>#N/A</v>
      </c>
      <c r="AA170" s="12" t="e">
        <f aca="false">PROFILE!X106</f>
        <v>#N/A</v>
      </c>
      <c r="AB170" s="12" t="e">
        <f aca="false">PROFILE!Y106</f>
        <v>#N/A</v>
      </c>
      <c r="AC170" s="12" t="e">
        <f aca="false">PROFILE!Z106</f>
        <v>#N/A</v>
      </c>
    </row>
    <row r="171" customFormat="false" ht="11.25" hidden="false" customHeight="false" outlineLevel="0" collapsed="false">
      <c r="G171" s="12" t="s">
        <v>7</v>
      </c>
      <c r="O171" s="12" t="e">
        <f aca="false">O170*O38</f>
        <v>#N/A</v>
      </c>
      <c r="P171" s="12" t="e">
        <f aca="false">P170*P38</f>
        <v>#N/A</v>
      </c>
      <c r="Q171" s="12" t="e">
        <f aca="false">Q170*Q38</f>
        <v>#N/A</v>
      </c>
      <c r="R171" s="12" t="e">
        <f aca="false">R170*R38</f>
        <v>#N/A</v>
      </c>
      <c r="S171" s="12" t="e">
        <f aca="false">S170*S38</f>
        <v>#N/A</v>
      </c>
      <c r="T171" s="12" t="e">
        <f aca="false">T170*T38</f>
        <v>#N/A</v>
      </c>
      <c r="U171" s="12" t="e">
        <f aca="false">U170*U38</f>
        <v>#N/A</v>
      </c>
      <c r="V171" s="12" t="e">
        <f aca="false">V170*V38</f>
        <v>#N/A</v>
      </c>
      <c r="W171" s="12" t="e">
        <f aca="false">W170*W38</f>
        <v>#N/A</v>
      </c>
      <c r="X171" s="12" t="e">
        <f aca="false">X170*X38</f>
        <v>#N/A</v>
      </c>
      <c r="Y171" s="12" t="e">
        <f aca="false">Y170*Y38</f>
        <v>#N/A</v>
      </c>
      <c r="Z171" s="12" t="e">
        <f aca="false">Z170*Z38</f>
        <v>#N/A</v>
      </c>
      <c r="AA171" s="12" t="e">
        <f aca="false">AA170*AA38</f>
        <v>#N/A</v>
      </c>
      <c r="AB171" s="12" t="e">
        <f aca="false">AB170*AB38</f>
        <v>#N/A</v>
      </c>
      <c r="AC171" s="12" t="e">
        <f aca="false">AC170*AC38</f>
        <v>#N/A</v>
      </c>
    </row>
    <row r="172" customFormat="false" ht="11.25" hidden="false" customHeight="false" outlineLevel="0" collapsed="false">
      <c r="G172" s="12" t="s">
        <v>4</v>
      </c>
      <c r="O172" s="12" t="e">
        <f aca="false">O170*O39*6</f>
        <v>#N/A</v>
      </c>
      <c r="P172" s="12" t="e">
        <f aca="false">P170*P39*6</f>
        <v>#N/A</v>
      </c>
      <c r="Q172" s="12" t="e">
        <f aca="false">Q170*Q39*6</f>
        <v>#N/A</v>
      </c>
      <c r="R172" s="12" t="e">
        <f aca="false">R170*R39*6</f>
        <v>#N/A</v>
      </c>
      <c r="S172" s="12" t="e">
        <f aca="false">S170*S39*6</f>
        <v>#N/A</v>
      </c>
      <c r="T172" s="12" t="e">
        <f aca="false">T170*T39*6</f>
        <v>#N/A</v>
      </c>
      <c r="U172" s="12" t="e">
        <f aca="false">U170*U39*6</f>
        <v>#N/A</v>
      </c>
      <c r="V172" s="12" t="e">
        <f aca="false">V170*V39*6</f>
        <v>#N/A</v>
      </c>
      <c r="W172" s="12" t="e">
        <f aca="false">W170*W39*6</f>
        <v>#N/A</v>
      </c>
      <c r="X172" s="12" t="e">
        <f aca="false">X170*X39*6</f>
        <v>#N/A</v>
      </c>
      <c r="Y172" s="12" t="e">
        <f aca="false">Y170*Y39*6</f>
        <v>#N/A</v>
      </c>
      <c r="Z172" s="12" t="e">
        <f aca="false">Z170*Z39*6</f>
        <v>#N/A</v>
      </c>
      <c r="AA172" s="12" t="e">
        <f aca="false">AA170*AA39*6</f>
        <v>#N/A</v>
      </c>
      <c r="AB172" s="12" t="e">
        <f aca="false">AB170*AB39*6</f>
        <v>#N/A</v>
      </c>
      <c r="AC172" s="12" t="e">
        <f aca="false">AC170*AC39*6</f>
        <v>#N/A</v>
      </c>
    </row>
    <row r="173" customFormat="false" ht="11.25" hidden="false" customHeight="false" outlineLevel="0" collapsed="false">
      <c r="F173" s="12" t="s">
        <v>239</v>
      </c>
      <c r="P173" s="12" t="e">
        <f aca="false">PROFILE!M107</f>
        <v>#N/A</v>
      </c>
      <c r="Q173" s="12" t="e">
        <f aca="false">PROFILE!N107</f>
        <v>#N/A</v>
      </c>
      <c r="R173" s="12" t="e">
        <f aca="false">PROFILE!O107</f>
        <v>#N/A</v>
      </c>
      <c r="S173" s="12" t="e">
        <f aca="false">PROFILE!P107</f>
        <v>#N/A</v>
      </c>
      <c r="T173" s="12" t="e">
        <f aca="false">PROFILE!Q107</f>
        <v>#N/A</v>
      </c>
      <c r="U173" s="12" t="e">
        <f aca="false">PROFILE!R107</f>
        <v>#N/A</v>
      </c>
      <c r="V173" s="12" t="e">
        <f aca="false">PROFILE!S107</f>
        <v>#N/A</v>
      </c>
      <c r="W173" s="12" t="e">
        <f aca="false">PROFILE!T107</f>
        <v>#N/A</v>
      </c>
      <c r="X173" s="12" t="e">
        <f aca="false">PROFILE!U107</f>
        <v>#N/A</v>
      </c>
      <c r="Y173" s="12" t="e">
        <f aca="false">PROFILE!V107</f>
        <v>#N/A</v>
      </c>
      <c r="Z173" s="12" t="e">
        <f aca="false">PROFILE!W107</f>
        <v>#N/A</v>
      </c>
      <c r="AA173" s="12" t="e">
        <f aca="false">PROFILE!X107</f>
        <v>#N/A</v>
      </c>
      <c r="AB173" s="12" t="e">
        <f aca="false">PROFILE!Y107</f>
        <v>#N/A</v>
      </c>
      <c r="AC173" s="12" t="e">
        <f aca="false">PROFILE!Z107</f>
        <v>#N/A</v>
      </c>
    </row>
    <row r="174" customFormat="false" ht="11.25" hidden="false" customHeight="false" outlineLevel="0" collapsed="false">
      <c r="G174" s="12" t="s">
        <v>7</v>
      </c>
      <c r="P174" s="12" t="e">
        <f aca="false">P173*P38</f>
        <v>#N/A</v>
      </c>
      <c r="Q174" s="12" t="e">
        <f aca="false">Q173*Q38</f>
        <v>#N/A</v>
      </c>
      <c r="R174" s="12" t="e">
        <f aca="false">R173*R38</f>
        <v>#N/A</v>
      </c>
      <c r="S174" s="12" t="e">
        <f aca="false">S173*S38</f>
        <v>#N/A</v>
      </c>
      <c r="T174" s="12" t="e">
        <f aca="false">T173*T38</f>
        <v>#N/A</v>
      </c>
      <c r="U174" s="12" t="e">
        <f aca="false">U173*U38</f>
        <v>#N/A</v>
      </c>
      <c r="V174" s="12" t="e">
        <f aca="false">V173*V38</f>
        <v>#N/A</v>
      </c>
      <c r="W174" s="12" t="e">
        <f aca="false">W173*W38</f>
        <v>#N/A</v>
      </c>
      <c r="X174" s="12" t="e">
        <f aca="false">X173*X38</f>
        <v>#N/A</v>
      </c>
      <c r="Y174" s="12" t="e">
        <f aca="false">Y173*Y38</f>
        <v>#N/A</v>
      </c>
      <c r="Z174" s="12" t="e">
        <f aca="false">Z173*Z38</f>
        <v>#N/A</v>
      </c>
      <c r="AA174" s="12" t="e">
        <f aca="false">AA173*AA38</f>
        <v>#N/A</v>
      </c>
      <c r="AB174" s="12" t="e">
        <f aca="false">AB173*AB38</f>
        <v>#N/A</v>
      </c>
      <c r="AC174" s="12" t="e">
        <f aca="false">AC173*AC38</f>
        <v>#N/A</v>
      </c>
    </row>
    <row r="175" customFormat="false" ht="11.25" hidden="false" customHeight="false" outlineLevel="0" collapsed="false">
      <c r="G175" s="12" t="s">
        <v>4</v>
      </c>
      <c r="P175" s="12" t="e">
        <f aca="false">P173*P39*6</f>
        <v>#N/A</v>
      </c>
      <c r="Q175" s="12" t="e">
        <f aca="false">Q173*Q39*6</f>
        <v>#N/A</v>
      </c>
      <c r="R175" s="12" t="e">
        <f aca="false">R173*R39*6</f>
        <v>#N/A</v>
      </c>
      <c r="S175" s="12" t="e">
        <f aca="false">S173*S39*6</f>
        <v>#N/A</v>
      </c>
      <c r="T175" s="12" t="e">
        <f aca="false">T173*T39*6</f>
        <v>#N/A</v>
      </c>
      <c r="U175" s="12" t="e">
        <f aca="false">U173*U39*6</f>
        <v>#N/A</v>
      </c>
      <c r="V175" s="12" t="e">
        <f aca="false">V173*V39*6</f>
        <v>#N/A</v>
      </c>
      <c r="W175" s="12" t="e">
        <f aca="false">W173*W39*6</f>
        <v>#N/A</v>
      </c>
      <c r="X175" s="12" t="e">
        <f aca="false">X173*X39*6</f>
        <v>#N/A</v>
      </c>
      <c r="Y175" s="12" t="e">
        <f aca="false">Y173*Y39*6</f>
        <v>#N/A</v>
      </c>
      <c r="Z175" s="12" t="e">
        <f aca="false">Z173*Z39*6</f>
        <v>#N/A</v>
      </c>
      <c r="AA175" s="12" t="e">
        <f aca="false">AA173*AA39*6</f>
        <v>#N/A</v>
      </c>
      <c r="AB175" s="12" t="e">
        <f aca="false">AB173*AB39*6</f>
        <v>#N/A</v>
      </c>
      <c r="AC175" s="12" t="e">
        <f aca="false">AC173*AC39*6</f>
        <v>#N/A</v>
      </c>
    </row>
    <row r="176" customFormat="false" ht="11.25" hidden="false" customHeight="false" outlineLevel="0" collapsed="false">
      <c r="F176" s="12" t="s">
        <v>240</v>
      </c>
      <c r="Q176" s="12" t="e">
        <f aca="false">PROFILE!N108</f>
        <v>#N/A</v>
      </c>
      <c r="R176" s="12" t="e">
        <f aca="false">PROFILE!O108</f>
        <v>#N/A</v>
      </c>
      <c r="S176" s="12" t="e">
        <f aca="false">PROFILE!P108</f>
        <v>#N/A</v>
      </c>
      <c r="T176" s="12" t="e">
        <f aca="false">PROFILE!Q108</f>
        <v>#N/A</v>
      </c>
      <c r="U176" s="12" t="e">
        <f aca="false">PROFILE!R108</f>
        <v>#N/A</v>
      </c>
      <c r="V176" s="12" t="e">
        <f aca="false">PROFILE!S108</f>
        <v>#N/A</v>
      </c>
      <c r="W176" s="12" t="e">
        <f aca="false">PROFILE!T108</f>
        <v>#N/A</v>
      </c>
      <c r="X176" s="12" t="e">
        <f aca="false">PROFILE!U108</f>
        <v>#N/A</v>
      </c>
      <c r="Y176" s="12" t="e">
        <f aca="false">PROFILE!V108</f>
        <v>#N/A</v>
      </c>
      <c r="Z176" s="12" t="e">
        <f aca="false">PROFILE!W108</f>
        <v>#N/A</v>
      </c>
      <c r="AA176" s="12" t="e">
        <f aca="false">PROFILE!X108</f>
        <v>#N/A</v>
      </c>
      <c r="AB176" s="12" t="e">
        <f aca="false">PROFILE!Y108</f>
        <v>#N/A</v>
      </c>
      <c r="AC176" s="12" t="e">
        <f aca="false">PROFILE!Z108</f>
        <v>#N/A</v>
      </c>
    </row>
    <row r="177" customFormat="false" ht="11.25" hidden="false" customHeight="false" outlineLevel="0" collapsed="false">
      <c r="G177" s="12" t="s">
        <v>7</v>
      </c>
      <c r="Q177" s="12" t="e">
        <f aca="false">Q176*Q38</f>
        <v>#N/A</v>
      </c>
      <c r="R177" s="12" t="e">
        <f aca="false">R176*R38</f>
        <v>#N/A</v>
      </c>
      <c r="S177" s="12" t="e">
        <f aca="false">S176*S38</f>
        <v>#N/A</v>
      </c>
      <c r="T177" s="12" t="e">
        <f aca="false">T176*T38</f>
        <v>#N/A</v>
      </c>
      <c r="U177" s="12" t="e">
        <f aca="false">U176*U38</f>
        <v>#N/A</v>
      </c>
      <c r="V177" s="12" t="e">
        <f aca="false">V176*V38</f>
        <v>#N/A</v>
      </c>
      <c r="W177" s="12" t="e">
        <f aca="false">W176*W38</f>
        <v>#N/A</v>
      </c>
      <c r="X177" s="12" t="e">
        <f aca="false">X176*X38</f>
        <v>#N/A</v>
      </c>
      <c r="Y177" s="12" t="e">
        <f aca="false">Y176*Y38</f>
        <v>#N/A</v>
      </c>
      <c r="Z177" s="12" t="e">
        <f aca="false">Z176*Z38</f>
        <v>#N/A</v>
      </c>
      <c r="AA177" s="12" t="e">
        <f aca="false">AA176*AA38</f>
        <v>#N/A</v>
      </c>
      <c r="AB177" s="12" t="e">
        <f aca="false">AB176*AB38</f>
        <v>#N/A</v>
      </c>
      <c r="AC177" s="12" t="e">
        <f aca="false">AC176*AC38</f>
        <v>#N/A</v>
      </c>
    </row>
    <row r="178" customFormat="false" ht="11.25" hidden="false" customHeight="false" outlineLevel="0" collapsed="false">
      <c r="G178" s="12" t="s">
        <v>4</v>
      </c>
      <c r="Q178" s="12" t="e">
        <f aca="false">Q176*Q39*6</f>
        <v>#N/A</v>
      </c>
      <c r="R178" s="12" t="e">
        <f aca="false">R176*R39*6</f>
        <v>#N/A</v>
      </c>
      <c r="S178" s="12" t="e">
        <f aca="false">S176*S39*6</f>
        <v>#N/A</v>
      </c>
      <c r="T178" s="12" t="e">
        <f aca="false">T176*T39*6</f>
        <v>#N/A</v>
      </c>
      <c r="U178" s="12" t="e">
        <f aca="false">U176*U39*6</f>
        <v>#N/A</v>
      </c>
      <c r="V178" s="12" t="e">
        <f aca="false">V176*V39*6</f>
        <v>#N/A</v>
      </c>
      <c r="W178" s="12" t="e">
        <f aca="false">W176*W39*6</f>
        <v>#N/A</v>
      </c>
      <c r="X178" s="12" t="e">
        <f aca="false">X176*X39*6</f>
        <v>#N/A</v>
      </c>
      <c r="Y178" s="12" t="e">
        <f aca="false">Y176*Y39*6</f>
        <v>#N/A</v>
      </c>
      <c r="Z178" s="12" t="e">
        <f aca="false">Z176*Z39*6</f>
        <v>#N/A</v>
      </c>
      <c r="AA178" s="12" t="e">
        <f aca="false">AA176*AA39*6</f>
        <v>#N/A</v>
      </c>
      <c r="AB178" s="12" t="e">
        <f aca="false">AB176*AB39*6</f>
        <v>#N/A</v>
      </c>
      <c r="AC178" s="12" t="e">
        <f aca="false">AC176*AC39*6</f>
        <v>#N/A</v>
      </c>
    </row>
    <row r="179" customFormat="false" ht="11.25" hidden="false" customHeight="false" outlineLevel="0" collapsed="false">
      <c r="F179" s="12" t="s">
        <v>241</v>
      </c>
      <c r="R179" s="12" t="e">
        <f aca="false">PROFILE!O109</f>
        <v>#N/A</v>
      </c>
      <c r="S179" s="12" t="e">
        <f aca="false">PROFILE!P109</f>
        <v>#N/A</v>
      </c>
      <c r="T179" s="12" t="e">
        <f aca="false">PROFILE!Q109</f>
        <v>#N/A</v>
      </c>
      <c r="U179" s="12" t="e">
        <f aca="false">PROFILE!R109</f>
        <v>#N/A</v>
      </c>
      <c r="V179" s="12" t="e">
        <f aca="false">PROFILE!S109</f>
        <v>#N/A</v>
      </c>
      <c r="W179" s="12" t="e">
        <f aca="false">PROFILE!T109</f>
        <v>#N/A</v>
      </c>
      <c r="X179" s="12" t="e">
        <f aca="false">PROFILE!U109</f>
        <v>#N/A</v>
      </c>
      <c r="Y179" s="12" t="e">
        <f aca="false">PROFILE!V109</f>
        <v>#N/A</v>
      </c>
      <c r="Z179" s="12" t="e">
        <f aca="false">PROFILE!W109</f>
        <v>#N/A</v>
      </c>
      <c r="AA179" s="12" t="e">
        <f aca="false">PROFILE!X109</f>
        <v>#N/A</v>
      </c>
      <c r="AB179" s="12" t="e">
        <f aca="false">PROFILE!Y109</f>
        <v>#N/A</v>
      </c>
      <c r="AC179" s="12" t="e">
        <f aca="false">PROFILE!Z109</f>
        <v>#N/A</v>
      </c>
    </row>
    <row r="180" customFormat="false" ht="11.25" hidden="false" customHeight="false" outlineLevel="0" collapsed="false">
      <c r="G180" s="12" t="s">
        <v>7</v>
      </c>
      <c r="R180" s="12" t="e">
        <f aca="false">R179*R38</f>
        <v>#N/A</v>
      </c>
      <c r="S180" s="12" t="e">
        <f aca="false">S179*S38</f>
        <v>#N/A</v>
      </c>
      <c r="T180" s="12" t="e">
        <f aca="false">T179*T38</f>
        <v>#N/A</v>
      </c>
      <c r="U180" s="12" t="e">
        <f aca="false">U179*U38</f>
        <v>#N/A</v>
      </c>
      <c r="V180" s="12" t="e">
        <f aca="false">V179*V38</f>
        <v>#N/A</v>
      </c>
      <c r="W180" s="12" t="e">
        <f aca="false">W179*W38</f>
        <v>#N/A</v>
      </c>
      <c r="X180" s="12" t="e">
        <f aca="false">X179*X38</f>
        <v>#N/A</v>
      </c>
      <c r="Y180" s="12" t="e">
        <f aca="false">Y179*Y38</f>
        <v>#N/A</v>
      </c>
      <c r="Z180" s="12" t="e">
        <f aca="false">Z179*Z38</f>
        <v>#N/A</v>
      </c>
      <c r="AA180" s="12" t="e">
        <f aca="false">AA179*AA38</f>
        <v>#N/A</v>
      </c>
      <c r="AB180" s="12" t="e">
        <f aca="false">AB179*AB38</f>
        <v>#N/A</v>
      </c>
      <c r="AC180" s="12" t="e">
        <f aca="false">AC179*AC38</f>
        <v>#N/A</v>
      </c>
    </row>
    <row r="181" customFormat="false" ht="11.25" hidden="false" customHeight="false" outlineLevel="0" collapsed="false">
      <c r="G181" s="12" t="s">
        <v>4</v>
      </c>
      <c r="R181" s="12" t="e">
        <f aca="false">R179*R39*6</f>
        <v>#N/A</v>
      </c>
      <c r="S181" s="12" t="e">
        <f aca="false">S179*S39*6</f>
        <v>#N/A</v>
      </c>
      <c r="T181" s="12" t="e">
        <f aca="false">T179*T39*6</f>
        <v>#N/A</v>
      </c>
      <c r="U181" s="12" t="e">
        <f aca="false">U179*U39*6</f>
        <v>#N/A</v>
      </c>
      <c r="V181" s="12" t="e">
        <f aca="false">V179*V39*6</f>
        <v>#N/A</v>
      </c>
      <c r="W181" s="12" t="e">
        <f aca="false">W179*W39*6</f>
        <v>#N/A</v>
      </c>
      <c r="X181" s="12" t="e">
        <f aca="false">X179*X39*6</f>
        <v>#N/A</v>
      </c>
      <c r="Y181" s="12" t="e">
        <f aca="false">Y179*Y39*6</f>
        <v>#N/A</v>
      </c>
      <c r="Z181" s="12" t="e">
        <f aca="false">Z179*Z39*6</f>
        <v>#N/A</v>
      </c>
      <c r="AA181" s="12" t="e">
        <f aca="false">AA179*AA39*6</f>
        <v>#N/A</v>
      </c>
      <c r="AB181" s="12" t="e">
        <f aca="false">AB179*AB39*6</f>
        <v>#N/A</v>
      </c>
      <c r="AC181" s="12" t="e">
        <f aca="false">AC179*AC39*6</f>
        <v>#N/A</v>
      </c>
    </row>
    <row r="182" customFormat="false" ht="11.25" hidden="false" customHeight="false" outlineLevel="0" collapsed="false">
      <c r="F182" s="12" t="s">
        <v>242</v>
      </c>
      <c r="S182" s="12" t="e">
        <f aca="false">PROFILE!P110</f>
        <v>#N/A</v>
      </c>
      <c r="T182" s="12" t="e">
        <f aca="false">PROFILE!Q110</f>
        <v>#N/A</v>
      </c>
      <c r="U182" s="12" t="e">
        <f aca="false">PROFILE!R110</f>
        <v>#N/A</v>
      </c>
      <c r="V182" s="12" t="e">
        <f aca="false">PROFILE!S110</f>
        <v>#N/A</v>
      </c>
      <c r="W182" s="12" t="e">
        <f aca="false">PROFILE!T110</f>
        <v>#N/A</v>
      </c>
      <c r="X182" s="12" t="e">
        <f aca="false">PROFILE!U110</f>
        <v>#N/A</v>
      </c>
      <c r="Y182" s="12" t="e">
        <f aca="false">PROFILE!V110</f>
        <v>#N/A</v>
      </c>
      <c r="Z182" s="12" t="e">
        <f aca="false">PROFILE!W110</f>
        <v>#N/A</v>
      </c>
      <c r="AA182" s="12" t="e">
        <f aca="false">PROFILE!X110</f>
        <v>#N/A</v>
      </c>
      <c r="AB182" s="12" t="e">
        <f aca="false">PROFILE!Y110</f>
        <v>#N/A</v>
      </c>
      <c r="AC182" s="12" t="e">
        <f aca="false">PROFILE!Z110</f>
        <v>#N/A</v>
      </c>
    </row>
    <row r="183" customFormat="false" ht="11.25" hidden="false" customHeight="false" outlineLevel="0" collapsed="false">
      <c r="G183" s="12" t="s">
        <v>7</v>
      </c>
      <c r="S183" s="12" t="e">
        <f aca="false">S182*S38</f>
        <v>#N/A</v>
      </c>
      <c r="T183" s="12" t="e">
        <f aca="false">T182*T38</f>
        <v>#N/A</v>
      </c>
      <c r="U183" s="12" t="e">
        <f aca="false">U182*U38</f>
        <v>#N/A</v>
      </c>
      <c r="V183" s="12" t="e">
        <f aca="false">V182*V38</f>
        <v>#N/A</v>
      </c>
      <c r="W183" s="12" t="e">
        <f aca="false">W182*W38</f>
        <v>#N/A</v>
      </c>
      <c r="X183" s="12" t="e">
        <f aca="false">X182*X38</f>
        <v>#N/A</v>
      </c>
      <c r="Y183" s="12" t="e">
        <f aca="false">Y182*Y38</f>
        <v>#N/A</v>
      </c>
      <c r="Z183" s="12" t="e">
        <f aca="false">Z182*Z38</f>
        <v>#N/A</v>
      </c>
      <c r="AA183" s="12" t="e">
        <f aca="false">AA182*AA38</f>
        <v>#N/A</v>
      </c>
      <c r="AB183" s="12" t="e">
        <f aca="false">AB182*AB38</f>
        <v>#N/A</v>
      </c>
      <c r="AC183" s="12" t="e">
        <f aca="false">AC182*AC38</f>
        <v>#N/A</v>
      </c>
    </row>
    <row r="184" customFormat="false" ht="11.25" hidden="false" customHeight="false" outlineLevel="0" collapsed="false">
      <c r="G184" s="12" t="s">
        <v>4</v>
      </c>
      <c r="S184" s="12" t="e">
        <f aca="false">S182*S39*6</f>
        <v>#N/A</v>
      </c>
      <c r="T184" s="12" t="e">
        <f aca="false">T182*T39*6</f>
        <v>#N/A</v>
      </c>
      <c r="U184" s="12" t="e">
        <f aca="false">U182*U39*6</f>
        <v>#N/A</v>
      </c>
      <c r="V184" s="12" t="e">
        <f aca="false">V182*V39*6</f>
        <v>#N/A</v>
      </c>
      <c r="W184" s="12" t="e">
        <f aca="false">W182*W39*6</f>
        <v>#N/A</v>
      </c>
      <c r="X184" s="12" t="e">
        <f aca="false">X182*X39*6</f>
        <v>#N/A</v>
      </c>
      <c r="Y184" s="12" t="e">
        <f aca="false">Y182*Y39*6</f>
        <v>#N/A</v>
      </c>
      <c r="Z184" s="12" t="e">
        <f aca="false">Z182*Z39*6</f>
        <v>#N/A</v>
      </c>
      <c r="AA184" s="12" t="e">
        <f aca="false">AA182*AA39*6</f>
        <v>#N/A</v>
      </c>
      <c r="AB184" s="12" t="e">
        <f aca="false">AB182*AB39*6</f>
        <v>#N/A</v>
      </c>
      <c r="AC184" s="12" t="e">
        <f aca="false">AC182*AC39*6</f>
        <v>#N/A</v>
      </c>
    </row>
    <row r="185" customFormat="false" ht="11.25" hidden="false" customHeight="false" outlineLevel="0" collapsed="false">
      <c r="F185" s="12" t="s">
        <v>243</v>
      </c>
      <c r="T185" s="12" t="e">
        <f aca="false">PROFILE!Q111</f>
        <v>#N/A</v>
      </c>
      <c r="U185" s="12" t="e">
        <f aca="false">PROFILE!R111</f>
        <v>#N/A</v>
      </c>
      <c r="V185" s="12" t="e">
        <f aca="false">PROFILE!S111</f>
        <v>#N/A</v>
      </c>
      <c r="W185" s="12" t="e">
        <f aca="false">PROFILE!T111</f>
        <v>#N/A</v>
      </c>
      <c r="X185" s="12" t="e">
        <f aca="false">PROFILE!U111</f>
        <v>#N/A</v>
      </c>
      <c r="Y185" s="12" t="e">
        <f aca="false">PROFILE!V111</f>
        <v>#N/A</v>
      </c>
      <c r="Z185" s="12" t="e">
        <f aca="false">PROFILE!W111</f>
        <v>#N/A</v>
      </c>
      <c r="AA185" s="12" t="e">
        <f aca="false">PROFILE!X111</f>
        <v>#N/A</v>
      </c>
      <c r="AB185" s="12" t="e">
        <f aca="false">PROFILE!Y111</f>
        <v>#N/A</v>
      </c>
      <c r="AC185" s="12" t="e">
        <f aca="false">PROFILE!Z111</f>
        <v>#N/A</v>
      </c>
    </row>
    <row r="186" customFormat="false" ht="11.25" hidden="false" customHeight="false" outlineLevel="0" collapsed="false">
      <c r="G186" s="12" t="s">
        <v>7</v>
      </c>
      <c r="T186" s="12" t="e">
        <f aca="false">T185*T38</f>
        <v>#N/A</v>
      </c>
      <c r="U186" s="12" t="e">
        <f aca="false">U185*U38</f>
        <v>#N/A</v>
      </c>
      <c r="V186" s="12" t="e">
        <f aca="false">V185*V38</f>
        <v>#N/A</v>
      </c>
      <c r="W186" s="12" t="e">
        <f aca="false">W185*W38</f>
        <v>#N/A</v>
      </c>
      <c r="X186" s="12" t="e">
        <f aca="false">X185*X38</f>
        <v>#N/A</v>
      </c>
      <c r="Y186" s="12" t="e">
        <f aca="false">Y185*Y38</f>
        <v>#N/A</v>
      </c>
      <c r="Z186" s="12" t="e">
        <f aca="false">Z185*Z38</f>
        <v>#N/A</v>
      </c>
      <c r="AA186" s="12" t="e">
        <f aca="false">AA185*AA38</f>
        <v>#N/A</v>
      </c>
      <c r="AB186" s="12" t="e">
        <f aca="false">AB185*AB38</f>
        <v>#N/A</v>
      </c>
      <c r="AC186" s="12" t="e">
        <f aca="false">AC185*AC38</f>
        <v>#N/A</v>
      </c>
    </row>
    <row r="187" customFormat="false" ht="11.25" hidden="false" customHeight="false" outlineLevel="0" collapsed="false">
      <c r="G187" s="12" t="s">
        <v>4</v>
      </c>
      <c r="T187" s="12" t="e">
        <f aca="false">T185*T39*6</f>
        <v>#N/A</v>
      </c>
      <c r="U187" s="12" t="e">
        <f aca="false">U185*U39*6</f>
        <v>#N/A</v>
      </c>
      <c r="V187" s="12" t="e">
        <f aca="false">V185*V39*6</f>
        <v>#N/A</v>
      </c>
      <c r="W187" s="12" t="e">
        <f aca="false">W185*W39*6</f>
        <v>#N/A</v>
      </c>
      <c r="X187" s="12" t="e">
        <f aca="false">X185*X39*6</f>
        <v>#N/A</v>
      </c>
      <c r="Y187" s="12" t="e">
        <f aca="false">Y185*Y39*6</f>
        <v>#N/A</v>
      </c>
      <c r="Z187" s="12" t="e">
        <f aca="false">Z185*Z39*6</f>
        <v>#N/A</v>
      </c>
      <c r="AA187" s="12" t="e">
        <f aca="false">AA185*AA39*6</f>
        <v>#N/A</v>
      </c>
      <c r="AB187" s="12" t="e">
        <f aca="false">AB185*AB39*6</f>
        <v>#N/A</v>
      </c>
      <c r="AC187" s="12" t="e">
        <f aca="false">AC185*AC39*6</f>
        <v>#N/A</v>
      </c>
    </row>
    <row r="188" customFormat="false" ht="11.25" hidden="false" customHeight="false" outlineLevel="0" collapsed="false">
      <c r="F188" s="12" t="s">
        <v>244</v>
      </c>
      <c r="U188" s="12" t="e">
        <f aca="false">PROFILE!R112</f>
        <v>#N/A</v>
      </c>
      <c r="V188" s="12" t="e">
        <f aca="false">PROFILE!S112</f>
        <v>#N/A</v>
      </c>
      <c r="W188" s="12" t="e">
        <f aca="false">PROFILE!T112</f>
        <v>#N/A</v>
      </c>
      <c r="X188" s="12" t="e">
        <f aca="false">PROFILE!U112</f>
        <v>#N/A</v>
      </c>
      <c r="Y188" s="12" t="e">
        <f aca="false">PROFILE!V112</f>
        <v>#N/A</v>
      </c>
      <c r="Z188" s="12" t="e">
        <f aca="false">PROFILE!W112</f>
        <v>#N/A</v>
      </c>
      <c r="AA188" s="12" t="e">
        <f aca="false">PROFILE!X112</f>
        <v>#N/A</v>
      </c>
      <c r="AB188" s="12" t="e">
        <f aca="false">PROFILE!Y112</f>
        <v>#N/A</v>
      </c>
      <c r="AC188" s="12" t="e">
        <f aca="false">PROFILE!Z112</f>
        <v>#N/A</v>
      </c>
    </row>
    <row r="189" customFormat="false" ht="11.25" hidden="false" customHeight="false" outlineLevel="0" collapsed="false">
      <c r="G189" s="12" t="s">
        <v>7</v>
      </c>
      <c r="U189" s="12" t="e">
        <f aca="false">U188*U38</f>
        <v>#N/A</v>
      </c>
      <c r="V189" s="12" t="e">
        <f aca="false">V188*V38</f>
        <v>#N/A</v>
      </c>
      <c r="W189" s="12" t="e">
        <f aca="false">W188*W38</f>
        <v>#N/A</v>
      </c>
      <c r="X189" s="12" t="e">
        <f aca="false">X188*X38</f>
        <v>#N/A</v>
      </c>
      <c r="Y189" s="12" t="e">
        <f aca="false">Y188*Y38</f>
        <v>#N/A</v>
      </c>
      <c r="Z189" s="12" t="e">
        <f aca="false">Z188*Z38</f>
        <v>#N/A</v>
      </c>
      <c r="AA189" s="12" t="e">
        <f aca="false">AA188*AA38</f>
        <v>#N/A</v>
      </c>
      <c r="AB189" s="12" t="e">
        <f aca="false">AB188*AB38</f>
        <v>#N/A</v>
      </c>
      <c r="AC189" s="12" t="e">
        <f aca="false">AC188*AC38</f>
        <v>#N/A</v>
      </c>
    </row>
    <row r="190" customFormat="false" ht="11.25" hidden="false" customHeight="false" outlineLevel="0" collapsed="false">
      <c r="G190" s="12" t="s">
        <v>4</v>
      </c>
      <c r="U190" s="12" t="e">
        <f aca="false">U188*U39*6</f>
        <v>#N/A</v>
      </c>
      <c r="V190" s="12" t="e">
        <f aca="false">V188*V39*6</f>
        <v>#N/A</v>
      </c>
      <c r="W190" s="12" t="e">
        <f aca="false">W188*W39*6</f>
        <v>#N/A</v>
      </c>
      <c r="X190" s="12" t="e">
        <f aca="false">X188*X39*6</f>
        <v>#N/A</v>
      </c>
      <c r="Y190" s="12" t="e">
        <f aca="false">Y188*Y39*6</f>
        <v>#N/A</v>
      </c>
      <c r="Z190" s="12" t="e">
        <f aca="false">Z188*Z39*6</f>
        <v>#N/A</v>
      </c>
      <c r="AA190" s="12" t="e">
        <f aca="false">AA188*AA39*6</f>
        <v>#N/A</v>
      </c>
      <c r="AB190" s="12" t="e">
        <f aca="false">AB188*AB39*6</f>
        <v>#N/A</v>
      </c>
      <c r="AC190" s="12" t="e">
        <f aca="false">AC188*AC39*6</f>
        <v>#N/A</v>
      </c>
    </row>
    <row r="191" customFormat="false" ht="11.25" hidden="false" customHeight="false" outlineLevel="0" collapsed="false">
      <c r="F191" s="12" t="s">
        <v>245</v>
      </c>
      <c r="V191" s="12" t="e">
        <f aca="false">PROFILE!S113</f>
        <v>#N/A</v>
      </c>
      <c r="W191" s="12" t="e">
        <f aca="false">PROFILE!T113</f>
        <v>#N/A</v>
      </c>
      <c r="X191" s="12" t="e">
        <f aca="false">PROFILE!U113</f>
        <v>#N/A</v>
      </c>
      <c r="Y191" s="12" t="e">
        <f aca="false">PROFILE!V113</f>
        <v>#N/A</v>
      </c>
      <c r="Z191" s="12" t="e">
        <f aca="false">PROFILE!W113</f>
        <v>#N/A</v>
      </c>
      <c r="AA191" s="12" t="e">
        <f aca="false">PROFILE!X113</f>
        <v>#N/A</v>
      </c>
      <c r="AB191" s="12" t="e">
        <f aca="false">PROFILE!Y113</f>
        <v>#N/A</v>
      </c>
      <c r="AC191" s="12" t="e">
        <f aca="false">PROFILE!Z113</f>
        <v>#N/A</v>
      </c>
    </row>
    <row r="192" customFormat="false" ht="11.25" hidden="false" customHeight="false" outlineLevel="0" collapsed="false">
      <c r="G192" s="12" t="s">
        <v>7</v>
      </c>
      <c r="V192" s="12" t="e">
        <f aca="false">V191*V38</f>
        <v>#N/A</v>
      </c>
      <c r="W192" s="12" t="e">
        <f aca="false">W191*W38</f>
        <v>#N/A</v>
      </c>
      <c r="X192" s="12" t="e">
        <f aca="false">X191*X38</f>
        <v>#N/A</v>
      </c>
      <c r="Y192" s="12" t="e">
        <f aca="false">Y191*Y38</f>
        <v>#N/A</v>
      </c>
      <c r="Z192" s="12" t="e">
        <f aca="false">Z191*Z38</f>
        <v>#N/A</v>
      </c>
      <c r="AA192" s="12" t="e">
        <f aca="false">AA191*AA38</f>
        <v>#N/A</v>
      </c>
      <c r="AB192" s="12" t="e">
        <f aca="false">AB191*AB38</f>
        <v>#N/A</v>
      </c>
      <c r="AC192" s="12" t="e">
        <f aca="false">AC191*AC38</f>
        <v>#N/A</v>
      </c>
    </row>
    <row r="193" customFormat="false" ht="11.25" hidden="false" customHeight="false" outlineLevel="0" collapsed="false">
      <c r="G193" s="12" t="s">
        <v>4</v>
      </c>
      <c r="V193" s="12" t="e">
        <f aca="false">V191*V39*6</f>
        <v>#N/A</v>
      </c>
      <c r="W193" s="12" t="e">
        <f aca="false">W191*W39*6</f>
        <v>#N/A</v>
      </c>
      <c r="X193" s="12" t="e">
        <f aca="false">X191*X39*6</f>
        <v>#N/A</v>
      </c>
      <c r="Y193" s="12" t="e">
        <f aca="false">Y191*Y39*6</f>
        <v>#N/A</v>
      </c>
      <c r="Z193" s="12" t="e">
        <f aca="false">Z191*Z39*6</f>
        <v>#N/A</v>
      </c>
      <c r="AA193" s="12" t="e">
        <f aca="false">AA191*AA39*6</f>
        <v>#N/A</v>
      </c>
      <c r="AB193" s="12" t="e">
        <f aca="false">AB191*AB39*6</f>
        <v>#N/A</v>
      </c>
      <c r="AC193" s="12" t="e">
        <f aca="false">AC191*AC39*6</f>
        <v>#N/A</v>
      </c>
    </row>
    <row r="194" customFormat="false" ht="11.25" hidden="false" customHeight="false" outlineLevel="0" collapsed="false">
      <c r="F194" s="12" t="s">
        <v>246</v>
      </c>
      <c r="W194" s="12" t="e">
        <f aca="false">PROFILE!T114</f>
        <v>#N/A</v>
      </c>
      <c r="X194" s="12" t="e">
        <f aca="false">PROFILE!U114</f>
        <v>#N/A</v>
      </c>
      <c r="Y194" s="12" t="e">
        <f aca="false">PROFILE!V114</f>
        <v>#N/A</v>
      </c>
      <c r="Z194" s="12" t="e">
        <f aca="false">PROFILE!W114</f>
        <v>#N/A</v>
      </c>
      <c r="AA194" s="12" t="e">
        <f aca="false">PROFILE!X114</f>
        <v>#N/A</v>
      </c>
      <c r="AB194" s="12" t="e">
        <f aca="false">PROFILE!Y114</f>
        <v>#N/A</v>
      </c>
      <c r="AC194" s="12" t="e">
        <f aca="false">PROFILE!Z114</f>
        <v>#N/A</v>
      </c>
    </row>
    <row r="195" customFormat="false" ht="11.25" hidden="false" customHeight="false" outlineLevel="0" collapsed="false">
      <c r="G195" s="12" t="s">
        <v>7</v>
      </c>
      <c r="W195" s="12" t="e">
        <f aca="false">W194*W38</f>
        <v>#N/A</v>
      </c>
      <c r="X195" s="12" t="e">
        <f aca="false">X194*X38</f>
        <v>#N/A</v>
      </c>
      <c r="Y195" s="12" t="e">
        <f aca="false">Y194*Y38</f>
        <v>#N/A</v>
      </c>
      <c r="Z195" s="12" t="e">
        <f aca="false">Z194*Z38</f>
        <v>#N/A</v>
      </c>
      <c r="AA195" s="12" t="e">
        <f aca="false">AA194*AA38</f>
        <v>#N/A</v>
      </c>
      <c r="AB195" s="12" t="e">
        <f aca="false">AB194*AB38</f>
        <v>#N/A</v>
      </c>
      <c r="AC195" s="12" t="e">
        <f aca="false">AC194*AC38</f>
        <v>#N/A</v>
      </c>
    </row>
    <row r="196" customFormat="false" ht="11.25" hidden="false" customHeight="false" outlineLevel="0" collapsed="false">
      <c r="G196" s="12" t="s">
        <v>4</v>
      </c>
      <c r="W196" s="12" t="e">
        <f aca="false">W194*W39*6</f>
        <v>#N/A</v>
      </c>
      <c r="X196" s="12" t="e">
        <f aca="false">X194*X39*6</f>
        <v>#N/A</v>
      </c>
      <c r="Y196" s="12" t="e">
        <f aca="false">Y194*Y39*6</f>
        <v>#N/A</v>
      </c>
      <c r="Z196" s="12" t="e">
        <f aca="false">Z194*Z39*6</f>
        <v>#N/A</v>
      </c>
      <c r="AA196" s="12" t="e">
        <f aca="false">AA194*AA39*6</f>
        <v>#N/A</v>
      </c>
      <c r="AB196" s="12" t="e">
        <f aca="false">AB194*AB39*6</f>
        <v>#N/A</v>
      </c>
      <c r="AC196" s="12" t="e">
        <f aca="false">AC194*AC39*6</f>
        <v>#N/A</v>
      </c>
    </row>
    <row r="197" customFormat="false" ht="11.25" hidden="false" customHeight="false" outlineLevel="0" collapsed="false">
      <c r="F197" s="12" t="s">
        <v>247</v>
      </c>
      <c r="X197" s="12" t="e">
        <f aca="false">PROFILE!U115</f>
        <v>#N/A</v>
      </c>
      <c r="Y197" s="12" t="e">
        <f aca="false">PROFILE!V115</f>
        <v>#N/A</v>
      </c>
      <c r="Z197" s="12" t="e">
        <f aca="false">PROFILE!W115</f>
        <v>#N/A</v>
      </c>
      <c r="AA197" s="12" t="e">
        <f aca="false">PROFILE!X115</f>
        <v>#N/A</v>
      </c>
      <c r="AB197" s="12" t="e">
        <f aca="false">PROFILE!Y115</f>
        <v>#N/A</v>
      </c>
      <c r="AC197" s="12" t="e">
        <f aca="false">PROFILE!Z115</f>
        <v>#N/A</v>
      </c>
    </row>
    <row r="198" customFormat="false" ht="11.25" hidden="false" customHeight="false" outlineLevel="0" collapsed="false">
      <c r="G198" s="12" t="s">
        <v>7</v>
      </c>
      <c r="X198" s="12" t="e">
        <f aca="false">X197*X38</f>
        <v>#N/A</v>
      </c>
      <c r="Y198" s="12" t="e">
        <f aca="false">Y197*Y38</f>
        <v>#N/A</v>
      </c>
      <c r="Z198" s="12" t="e">
        <f aca="false">Z197*Z38</f>
        <v>#N/A</v>
      </c>
      <c r="AA198" s="12" t="e">
        <f aca="false">AA197*AA38</f>
        <v>#N/A</v>
      </c>
      <c r="AB198" s="12" t="e">
        <f aca="false">AB197*AB38</f>
        <v>#N/A</v>
      </c>
      <c r="AC198" s="12" t="e">
        <f aca="false">AC197*AC38</f>
        <v>#N/A</v>
      </c>
    </row>
    <row r="199" customFormat="false" ht="11.25" hidden="false" customHeight="false" outlineLevel="0" collapsed="false">
      <c r="G199" s="12" t="s">
        <v>4</v>
      </c>
      <c r="X199" s="12" t="e">
        <f aca="false">X197*X39*6</f>
        <v>#N/A</v>
      </c>
      <c r="Y199" s="12" t="e">
        <f aca="false">Y197*Y39*6</f>
        <v>#N/A</v>
      </c>
      <c r="Z199" s="12" t="e">
        <f aca="false">Z197*Z39*6</f>
        <v>#N/A</v>
      </c>
      <c r="AA199" s="12" t="e">
        <f aca="false">AA197*AA39*6</f>
        <v>#N/A</v>
      </c>
      <c r="AB199" s="12" t="e">
        <f aca="false">AB197*AB39*6</f>
        <v>#N/A</v>
      </c>
      <c r="AC199" s="12" t="e">
        <f aca="false">AC197*AC39*6</f>
        <v>#N/A</v>
      </c>
    </row>
    <row r="200" customFormat="false" ht="11.25" hidden="false" customHeight="false" outlineLevel="0" collapsed="false">
      <c r="F200" s="12" t="s">
        <v>248</v>
      </c>
      <c r="Y200" s="12" t="e">
        <f aca="false">PROFILE!V116</f>
        <v>#N/A</v>
      </c>
      <c r="Z200" s="12" t="e">
        <f aca="false">PROFILE!W116</f>
        <v>#N/A</v>
      </c>
      <c r="AA200" s="12" t="e">
        <f aca="false">PROFILE!X116</f>
        <v>#N/A</v>
      </c>
      <c r="AB200" s="12" t="e">
        <f aca="false">PROFILE!Y116</f>
        <v>#N/A</v>
      </c>
      <c r="AC200" s="12" t="e">
        <f aca="false">PROFILE!Z116</f>
        <v>#N/A</v>
      </c>
    </row>
    <row r="201" customFormat="false" ht="11.25" hidden="false" customHeight="false" outlineLevel="0" collapsed="false">
      <c r="G201" s="12" t="s">
        <v>7</v>
      </c>
      <c r="Y201" s="12" t="e">
        <f aca="false">Y200*Y38</f>
        <v>#N/A</v>
      </c>
      <c r="Z201" s="12" t="e">
        <f aca="false">Z200*Z38</f>
        <v>#N/A</v>
      </c>
      <c r="AA201" s="12" t="e">
        <f aca="false">AA200*AA38</f>
        <v>#N/A</v>
      </c>
      <c r="AB201" s="12" t="e">
        <f aca="false">AB200*AB38</f>
        <v>#N/A</v>
      </c>
      <c r="AC201" s="12" t="e">
        <f aca="false">AC200*AC38</f>
        <v>#N/A</v>
      </c>
    </row>
    <row r="202" customFormat="false" ht="11.25" hidden="false" customHeight="false" outlineLevel="0" collapsed="false">
      <c r="G202" s="12" t="s">
        <v>4</v>
      </c>
      <c r="Y202" s="12" t="e">
        <f aca="false">Y200*Y39*6</f>
        <v>#N/A</v>
      </c>
      <c r="Z202" s="12" t="e">
        <f aca="false">Z200*Z39*6</f>
        <v>#N/A</v>
      </c>
      <c r="AA202" s="12" t="e">
        <f aca="false">AA200*AA39*6</f>
        <v>#N/A</v>
      </c>
      <c r="AB202" s="12" t="e">
        <f aca="false">AB200*AB39*6</f>
        <v>#N/A</v>
      </c>
      <c r="AC202" s="12" t="e">
        <f aca="false">AC200*AC39*6</f>
        <v>#N/A</v>
      </c>
    </row>
    <row r="203" customFormat="false" ht="11.25" hidden="false" customHeight="false" outlineLevel="0" collapsed="false">
      <c r="F203" s="12" t="s">
        <v>249</v>
      </c>
      <c r="Z203" s="12" t="e">
        <f aca="false">PROFILE!W117</f>
        <v>#N/A</v>
      </c>
      <c r="AA203" s="12" t="e">
        <f aca="false">PROFILE!X117</f>
        <v>#N/A</v>
      </c>
      <c r="AB203" s="12" t="e">
        <f aca="false">PROFILE!Y117</f>
        <v>#N/A</v>
      </c>
      <c r="AC203" s="12" t="e">
        <f aca="false">PROFILE!Z117</f>
        <v>#N/A</v>
      </c>
    </row>
    <row r="204" customFormat="false" ht="11.25" hidden="false" customHeight="false" outlineLevel="0" collapsed="false">
      <c r="G204" s="12" t="s">
        <v>7</v>
      </c>
      <c r="Z204" s="12" t="e">
        <f aca="false">Z203*Z38</f>
        <v>#N/A</v>
      </c>
      <c r="AA204" s="12" t="e">
        <f aca="false">AA203*AA38</f>
        <v>#N/A</v>
      </c>
      <c r="AB204" s="12" t="e">
        <f aca="false">AB203*AB38</f>
        <v>#N/A</v>
      </c>
      <c r="AC204" s="12" t="e">
        <f aca="false">AC203*AC38</f>
        <v>#N/A</v>
      </c>
    </row>
    <row r="205" customFormat="false" ht="11.25" hidden="false" customHeight="false" outlineLevel="0" collapsed="false">
      <c r="G205" s="12" t="s">
        <v>4</v>
      </c>
      <c r="Z205" s="12" t="e">
        <f aca="false">Z203*Z39*6</f>
        <v>#N/A</v>
      </c>
      <c r="AA205" s="12" t="e">
        <f aca="false">AA203*AA39*6</f>
        <v>#N/A</v>
      </c>
      <c r="AB205" s="12" t="e">
        <f aca="false">AB203*AB39*6</f>
        <v>#N/A</v>
      </c>
      <c r="AC205" s="12" t="e">
        <f aca="false">AC203*AC39*6</f>
        <v>#N/A</v>
      </c>
    </row>
    <row r="206" customFormat="false" ht="11.25" hidden="false" customHeight="false" outlineLevel="0" collapsed="false">
      <c r="F206" s="12" t="s">
        <v>250</v>
      </c>
      <c r="AA206" s="12" t="e">
        <f aca="false">PROFILE!X118</f>
        <v>#N/A</v>
      </c>
      <c r="AB206" s="12" t="e">
        <f aca="false">PROFILE!Y118</f>
        <v>#N/A</v>
      </c>
      <c r="AC206" s="12" t="e">
        <f aca="false">PROFILE!Z118</f>
        <v>#N/A</v>
      </c>
    </row>
    <row r="207" customFormat="false" ht="11.25" hidden="false" customHeight="false" outlineLevel="0" collapsed="false">
      <c r="G207" s="12" t="s">
        <v>7</v>
      </c>
      <c r="AA207" s="12" t="e">
        <f aca="false">AA206*AA38</f>
        <v>#N/A</v>
      </c>
      <c r="AB207" s="12" t="e">
        <f aca="false">AB206*AB38</f>
        <v>#N/A</v>
      </c>
      <c r="AC207" s="12" t="e">
        <f aca="false">AC206*AC38</f>
        <v>#N/A</v>
      </c>
    </row>
    <row r="208" customFormat="false" ht="11.25" hidden="false" customHeight="false" outlineLevel="0" collapsed="false">
      <c r="G208" s="12" t="s">
        <v>4</v>
      </c>
      <c r="AA208" s="12" t="e">
        <f aca="false">AA206*AA39*6</f>
        <v>#N/A</v>
      </c>
      <c r="AB208" s="12" t="e">
        <f aca="false">AB206*AB39*6</f>
        <v>#N/A</v>
      </c>
      <c r="AC208" s="12" t="e">
        <f aca="false">AC206*AC39*6</f>
        <v>#N/A</v>
      </c>
    </row>
    <row r="209" customFormat="false" ht="11.25" hidden="false" customHeight="false" outlineLevel="0" collapsed="false">
      <c r="F209" s="12" t="s">
        <v>251</v>
      </c>
      <c r="AB209" s="12" t="e">
        <f aca="false">PROFILE!Y119</f>
        <v>#N/A</v>
      </c>
      <c r="AC209" s="12" t="e">
        <f aca="false">PROFILE!Z119</f>
        <v>#N/A</v>
      </c>
    </row>
    <row r="210" customFormat="false" ht="11.25" hidden="false" customHeight="false" outlineLevel="0" collapsed="false">
      <c r="G210" s="12" t="s">
        <v>7</v>
      </c>
      <c r="AB210" s="12" t="e">
        <f aca="false">AB209*AB38</f>
        <v>#N/A</v>
      </c>
      <c r="AC210" s="12" t="e">
        <f aca="false">AC209*AC38</f>
        <v>#N/A</v>
      </c>
    </row>
    <row r="211" customFormat="false" ht="11.25" hidden="false" customHeight="false" outlineLevel="0" collapsed="false">
      <c r="G211" s="12" t="s">
        <v>4</v>
      </c>
      <c r="AB211" s="12" t="e">
        <f aca="false">AB209*AB39*6</f>
        <v>#N/A</v>
      </c>
      <c r="AC211" s="12" t="e">
        <f aca="false">AC209*AC39*6</f>
        <v>#N/A</v>
      </c>
    </row>
    <row r="212" customFormat="false" ht="11.25" hidden="false" customHeight="false" outlineLevel="0" collapsed="false">
      <c r="F212" s="12" t="s">
        <v>252</v>
      </c>
      <c r="I212" s="12" t="n">
        <f aca="false">I153+I156+I159+I162+I165+I168+I171+I174+I177+I180+I183+I186+I189+I192+I195+I198+I201+I204+I207+I210</f>
        <v>97.6886856964226</v>
      </c>
      <c r="J212" s="12" t="e">
        <f aca="false">J153+J156+J159+J162+J165+J168+J171+J174+J177+J180+J183+J186+J189+J192+J195+J198+J201+J204+J207+J210</f>
        <v>#VALUE!</v>
      </c>
      <c r="K212" s="12" t="e">
        <f aca="false">K153+K156+K159+K162+K165+K168+K171+K174+K177+K180+K183+K186+K189+K192+K195+K198+K201+K204+K207+K210</f>
        <v>#N/A</v>
      </c>
      <c r="L212" s="12" t="e">
        <f aca="false">L153+L156+L159+L162+L165+L168+L171+L174+L177+L180+L183+L186+L189+L192+L195+L198+L201+L204+L207+L210</f>
        <v>#N/A</v>
      </c>
      <c r="M212" s="12" t="e">
        <f aca="false">M153+M156+M159+M162+M165+M168+M171+M174+M177+M180+M183+M186+M189+M192+M195+M198+M201+M204+M207+M210</f>
        <v>#N/A</v>
      </c>
      <c r="N212" s="12" t="e">
        <f aca="false">N153+N156+N159+N162+N165+N168+N171+N174+N177+N180+N183+N186+N189+N192+N195+N198+N201+N204+N207+N210</f>
        <v>#N/A</v>
      </c>
      <c r="O212" s="12" t="e">
        <f aca="false">O153+O156+O159+O162+O165+O168+O171+O174+O177+O180+O183+O186+O189+O192+O195+O198+O201+O204+O207+O210</f>
        <v>#N/A</v>
      </c>
      <c r="P212" s="12" t="e">
        <f aca="false">P153+P156+P159+P162+P165+P168+P171+P174+P177+P180+P183+P186+P189+P192+P195+P198+P201+P204+P207+P210</f>
        <v>#VALUE!</v>
      </c>
      <c r="Q212" s="12" t="e">
        <f aca="false">Q153+Q156+Q159+Q162+Q165+Q168+Q171+Q174+Q177+Q180+Q183+Q186+Q189+Q192+Q195+Q198+Q201+Q204+Q207+Q210</f>
        <v>#N/A</v>
      </c>
      <c r="R212" s="12" t="e">
        <f aca="false">R153+R156+R159+R162+R165+R168+R171+R174+R177+R180+R183+R186+R189+R192+R195+R198+R201+R204+R207+R210</f>
        <v>#N/A</v>
      </c>
      <c r="S212" s="12" t="e">
        <f aca="false">S153+S156+S159+S162+S165+S168+S171+S174+S177+S180+S183+S186+S189+S192+S195+S198+S201+S204+S207+S210</f>
        <v>#N/A</v>
      </c>
      <c r="T212" s="12" t="e">
        <f aca="false">T153+T156+T159+T162+T165+T168+T171+T174+T177+T180+T183+T186+T189+T192+T195+T198+T201+T204+T207+T210</f>
        <v>#N/A</v>
      </c>
      <c r="U212" s="12" t="e">
        <f aca="false">U153+U156+U159+U162+U165+U168+U171+U174+U177+U180+U183+U186+U189+U192+U195+U198+U201+U204+U207+U210</f>
        <v>#N/A</v>
      </c>
      <c r="V212" s="12" t="e">
        <f aca="false">V153+V156+V159+V162+V165+V168+V171+V174+V177+V180+V183+V186+V189+V192+V195+V198+V201+V204+V207+V210</f>
        <v>#N/A</v>
      </c>
      <c r="W212" s="12" t="e">
        <f aca="false">W153+W156+W159+W162+W165+W168+W171+W174+W177+W180+W183+W186+W189+W192+W195+W198+W201+W204+W207+W210</f>
        <v>#N/A</v>
      </c>
      <c r="X212" s="12" t="e">
        <f aca="false">X153+X156+X159+X162+X165+X168+X171+X174+X177+X180+X183+X186+X189+X192+X195+X198+X201+X204+X207+X210</f>
        <v>#N/A</v>
      </c>
      <c r="Y212" s="12" t="e">
        <f aca="false">Y153+Y156+Y159+Y162+Y165+Y168+Y171+Y174+Y177+Y180+Y183+Y186+Y189+Y192+Y195+Y198+Y201+Y204+Y207+Y210</f>
        <v>#N/A</v>
      </c>
      <c r="Z212" s="12" t="e">
        <f aca="false">Z153+Z156+Z159+Z162+Z165+Z168+Z171+Z174+Z177+Z180+Z183+Z186+Z189+Z192+Z195+Z198+Z201+Z204+Z207+Z210</f>
        <v>#N/A</v>
      </c>
      <c r="AA212" s="12" t="e">
        <f aca="false">AA153+AA156+AA159+AA162+AA165+AA168+AA171+AA174+AA177+AA180+AA183+AA186+AA189+AA192+AA195+AA198+AA201+AA204+AA207+AA210</f>
        <v>#N/A</v>
      </c>
      <c r="AB212" s="12" t="e">
        <f aca="false">AB153+AB156+AB159+AB162+AB165+AB168+AB171+AB174+AB177+AB180+AB183+AB186+AB189+AB192+AB195+AB198+AB201+AB204+AB207+AB210</f>
        <v>#N/A</v>
      </c>
      <c r="AC212" s="12" t="e">
        <f aca="false">AC153+AC156+AC159+AC162+AC165+AC168+AC171+AC174+AC177+AC180+AC183+AC186+AC189+AC192+AC195+AC198+AC201+AC204+AC207+AC210</f>
        <v>#N/A</v>
      </c>
    </row>
    <row r="213" customFormat="false" ht="11.25" hidden="false" customHeight="false" outlineLevel="0" collapsed="false">
      <c r="F213" s="12" t="s">
        <v>253</v>
      </c>
      <c r="I213" s="12" t="n">
        <f aca="false">I154+I157+I160+I163+I166+I169+I172+I175+I178+I181+I184+I187+I190+I193+I196+I199+I202+I205+I208+I211</f>
        <v>251.199477505087</v>
      </c>
      <c r="J213" s="12" t="e">
        <f aca="false">J154+J157+J160+J163+J166+J169+J172+J175+J178+J181+J184+J187+J190+J193+J196+J199+J202+J205+J208+J211</f>
        <v>#VALUE!</v>
      </c>
      <c r="K213" s="12" t="e">
        <f aca="false">K154+K157+K160+K163+K166+K169+K172+K175+K178+K181+K184+K187+K190+K193+K196+K199+K202+K205+K208+K211</f>
        <v>#N/A</v>
      </c>
      <c r="L213" s="12" t="e">
        <f aca="false">L154+L157+L160+L163+L166+L169+L172+L175+L178+L181+L184+L187+L190+L193+L196+L199+L202+L205+L208+L211</f>
        <v>#N/A</v>
      </c>
      <c r="M213" s="12" t="e">
        <f aca="false">M154+M157+M160+M163+M166+M169+M172+M175+M178+M181+M184+M187+M190+M193+M196+M199+M202+M205+M208+M211</f>
        <v>#N/A</v>
      </c>
      <c r="N213" s="12" t="e">
        <f aca="false">N154+N157+N160+N163+N166+N169+N172+N175+N178+N181+N184+N187+N190+N193+N196+N199+N202+N205+N208+N211</f>
        <v>#N/A</v>
      </c>
      <c r="O213" s="12" t="e">
        <f aca="false">O154+O157+O160+O163+O166+O169+O172+O175+O178+O181+O184+O187+O190+O193+O196+O199+O202+O205+O208+O211</f>
        <v>#N/A</v>
      </c>
      <c r="P213" s="12" t="e">
        <f aca="false">P154+P157+P160+P163+P166+P169+P172+P175+P178+P181+P184+P187+P190+P193+P196+P199+P202+P205+P208+P211</f>
        <v>#N/A</v>
      </c>
      <c r="Q213" s="12" t="e">
        <f aca="false">Q154+Q157+Q160+Q163+Q166+Q169+Q172+Q175+Q178+Q181+Q184+Q187+Q190+Q193+Q196+Q199+Q202+Q205+Q208+Q211</f>
        <v>#N/A</v>
      </c>
      <c r="R213" s="12" t="e">
        <f aca="false">R154+R157+R160+R163+R166+R169+R172+R175+R178+R181+R184+R187+R190+R193+R196+R199+R202+R205+R208+R211</f>
        <v>#N/A</v>
      </c>
      <c r="S213" s="12" t="e">
        <f aca="false">S154+S157+S160+S163+S166+S169+S172+S175+S178+S181+S184+S187+S190+S193+S196+S199+S202+S205+S208+S211</f>
        <v>#N/A</v>
      </c>
      <c r="T213" s="12" t="e">
        <f aca="false">T154+T157+T160+T163+T166+T169+T172+T175+T178+T181+T184+T187+T190+T193+T196+T199+T202+T205+T208+T211</f>
        <v>#N/A</v>
      </c>
      <c r="U213" s="12" t="e">
        <f aca="false">U154+U157+U160+U163+U166+U169+U172+U175+U178+U181+U184+U187+U190+U193+U196+U199+U202+U205+U208+U211</f>
        <v>#N/A</v>
      </c>
      <c r="V213" s="12" t="e">
        <f aca="false">V154+V157+V160+V163+V166+V169+V172+V175+V178+V181+V184+V187+V190+V193+V196+V199+V202+V205+V208+V211</f>
        <v>#N/A</v>
      </c>
      <c r="W213" s="12" t="e">
        <f aca="false">W154+W157+W160+W163+W166+W169+W172+W175+W178+W181+W184+W187+W190+W193+W196+W199+W202+W205+W208+W211</f>
        <v>#N/A</v>
      </c>
      <c r="X213" s="12" t="e">
        <f aca="false">X154+X157+X160+X163+X166+X169+X172+X175+X178+X181+X184+X187+X190+X193+X196+X199+X202+X205+X208+X211</f>
        <v>#N/A</v>
      </c>
      <c r="Y213" s="12" t="e">
        <f aca="false">Y154+Y157+Y160+Y163+Y166+Y169+Y172+Y175+Y178+Y181+Y184+Y187+Y190+Y193+Y196+Y199+Y202+Y205+Y208+Y211</f>
        <v>#N/A</v>
      </c>
      <c r="Z213" s="12" t="e">
        <f aca="false">Z154+Z157+Z160+Z163+Z166+Z169+Z172+Z175+Z178+Z181+Z184+Z187+Z190+Z193+Z196+Z199+Z202+Z205+Z208+Z211</f>
        <v>#N/A</v>
      </c>
      <c r="AA213" s="12" t="e">
        <f aca="false">AA154+AA157+AA160+AA163+AA166+AA169+AA172+AA175+AA178+AA181+AA184+AA187+AA190+AA193+AA196+AA199+AA202+AA205+AA208+AA211</f>
        <v>#N/A</v>
      </c>
      <c r="AB213" s="12" t="e">
        <f aca="false">AB154+AB157+AB160+AB163+AB166+AB169+AB172+AB175+AB178+AB181+AB184+AB187+AB190+AB193+AB196+AB199+AB202+AB205+AB208+AB211</f>
        <v>#N/A</v>
      </c>
      <c r="AC213" s="12" t="e">
        <f aca="false">AC154+AC157+AC160+AC163+AC166+AC169+AC172+AC175+AC178+AC181+AC184+AC187+AC190+AC193+AC196+AC199+AC202+AC205+AC208+AC211</f>
        <v>#N/A</v>
      </c>
    </row>
    <row r="215" customFormat="false" ht="11.25" hidden="false" customHeight="false" outlineLevel="0" collapsed="false">
      <c r="A215" s="12" t="s">
        <v>254</v>
      </c>
    </row>
    <row r="216" customFormat="false" ht="11.25" hidden="false" customHeight="false" outlineLevel="0" collapsed="false">
      <c r="D216" s="12" t="s">
        <v>255</v>
      </c>
      <c r="F216" s="43" t="s">
        <v>256</v>
      </c>
      <c r="I216" s="12" t="n">
        <f aca="false">(+I153*I53)+(I154*I64)</f>
        <v>0</v>
      </c>
      <c r="J216" s="12" t="e">
        <f aca="false">(+J153*J53)+(J154*J64)</f>
        <v>#VALUE!</v>
      </c>
      <c r="K216" s="12" t="e">
        <f aca="false">(+K153*K53)+(K154*K64)</f>
        <v>#VALUE!</v>
      </c>
      <c r="L216" s="12" t="e">
        <f aca="false">(+L153*L53)+(L154*L64)</f>
        <v>#N/A</v>
      </c>
      <c r="M216" s="12" t="e">
        <f aca="false">(+M153*M53)+(M154*M64)</f>
        <v>#N/A</v>
      </c>
      <c r="N216" s="12" t="e">
        <f aca="false">(+N153*N53)+(N154*N64)</f>
        <v>#N/A</v>
      </c>
      <c r="O216" s="12" t="e">
        <f aca="false">(+O153*O53)+(O154*O64)</f>
        <v>#N/A</v>
      </c>
      <c r="P216" s="12" t="e">
        <f aca="false">(+P153*P53)+(P154*P64)</f>
        <v>#VALUE!</v>
      </c>
      <c r="Q216" s="12" t="e">
        <f aca="false">(+Q153*Q53)+(Q154*Q64)</f>
        <v>#N/A</v>
      </c>
      <c r="R216" s="12" t="e">
        <f aca="false">(+R153*R53)+(R154*R64)</f>
        <v>#N/A</v>
      </c>
      <c r="S216" s="12" t="e">
        <f aca="false">(+S153*S53)+(S154*S64)</f>
        <v>#N/A</v>
      </c>
      <c r="T216" s="12" t="e">
        <f aca="false">(+T153*T53)+(T154*T64)</f>
        <v>#N/A</v>
      </c>
      <c r="U216" s="12" t="e">
        <f aca="false">(+U153*U53)+(U154*U64)</f>
        <v>#N/A</v>
      </c>
      <c r="V216" s="12" t="e">
        <f aca="false">(+V153*V53)+(V154*V64)</f>
        <v>#N/A</v>
      </c>
      <c r="W216" s="12" t="e">
        <f aca="false">(+W153*W53)+(W154*W64)</f>
        <v>#N/A</v>
      </c>
      <c r="X216" s="12" t="e">
        <f aca="false">(+X153*X53)+(X154*X64)</f>
        <v>#N/A</v>
      </c>
      <c r="Y216" s="12" t="e">
        <f aca="false">(+Y153*Y53)+(Y154*Y64)</f>
        <v>#N/A</v>
      </c>
      <c r="Z216" s="12" t="e">
        <f aca="false">(+Z153*Z53)+(Z154*Z64)</f>
        <v>#N/A</v>
      </c>
      <c r="AA216" s="12" t="e">
        <f aca="false">(+AA153*AA53)+(AA154*AA64)</f>
        <v>#N/A</v>
      </c>
      <c r="AB216" s="12" t="e">
        <f aca="false">(+AB153*AB53)+(AB154*AB64)</f>
        <v>#N/A</v>
      </c>
      <c r="AC216" s="12" t="e">
        <f aca="false">(+AC153*AC53)+(AC154*AC64)</f>
        <v>#N/A</v>
      </c>
    </row>
    <row r="217" customFormat="false" ht="11.25" hidden="false" customHeight="false" outlineLevel="0" collapsed="false">
      <c r="F217" s="12" t="s">
        <v>257</v>
      </c>
      <c r="I217" s="12" t="e">
        <f aca="false">+I152*$H$73</f>
        <v>#N/A</v>
      </c>
      <c r="J217" s="12" t="e">
        <f aca="false">+J152*$H$73</f>
        <v>#N/A</v>
      </c>
      <c r="K217" s="12" t="e">
        <f aca="false">+K152*$H$73</f>
        <v>#VALUE!</v>
      </c>
      <c r="L217" s="12" t="e">
        <f aca="false">+L152*$H$73</f>
        <v>#N/A</v>
      </c>
      <c r="M217" s="12" t="e">
        <f aca="false">+M152*$H$73</f>
        <v>#N/A</v>
      </c>
      <c r="N217" s="12" t="e">
        <f aca="false">+N152*$H$73</f>
        <v>#N/A</v>
      </c>
      <c r="O217" s="12" t="e">
        <f aca="false">+O152*$H$73</f>
        <v>#N/A</v>
      </c>
      <c r="P217" s="12" t="e">
        <f aca="false">+P152*$H$73</f>
        <v>#VALUE!</v>
      </c>
      <c r="Q217" s="12" t="e">
        <f aca="false">+Q152*$H$73</f>
        <v>#N/A</v>
      </c>
      <c r="R217" s="12" t="e">
        <f aca="false">+R152*$H$73</f>
        <v>#N/A</v>
      </c>
      <c r="S217" s="12" t="e">
        <f aca="false">+S152*$H$73</f>
        <v>#N/A</v>
      </c>
      <c r="T217" s="12" t="e">
        <f aca="false">+T152*$H$73</f>
        <v>#N/A</v>
      </c>
      <c r="U217" s="12" t="e">
        <f aca="false">+U152*$H$73</f>
        <v>#N/A</v>
      </c>
      <c r="V217" s="12" t="e">
        <f aca="false">+V152*$H$73</f>
        <v>#N/A</v>
      </c>
      <c r="W217" s="12" t="e">
        <f aca="false">+W152*$H$73</f>
        <v>#N/A</v>
      </c>
      <c r="X217" s="12" t="e">
        <f aca="false">+X152*$H$73</f>
        <v>#N/A</v>
      </c>
      <c r="Y217" s="12" t="e">
        <f aca="false">+Y152*$H$73</f>
        <v>#N/A</v>
      </c>
      <c r="Z217" s="12" t="e">
        <f aca="false">+Z152*$H$73</f>
        <v>#N/A</v>
      </c>
      <c r="AA217" s="12" t="e">
        <f aca="false">+AA152*$H$73</f>
        <v>#N/A</v>
      </c>
      <c r="AB217" s="12" t="e">
        <f aca="false">+AB152*$H$73</f>
        <v>#N/A</v>
      </c>
      <c r="AC217" s="12" t="e">
        <f aca="false">+AC152*$H$73</f>
        <v>#N/A</v>
      </c>
    </row>
    <row r="218" customFormat="false" ht="11.25" hidden="false" customHeight="false" outlineLevel="0" collapsed="false">
      <c r="F218" s="12" t="s">
        <v>258</v>
      </c>
      <c r="I218" s="12" t="n">
        <f aca="false">I23</f>
        <v>10000</v>
      </c>
    </row>
    <row r="219" customFormat="false" ht="11.25" hidden="false" customHeight="false" outlineLevel="0" collapsed="false">
      <c r="F219" s="43" t="s">
        <v>259</v>
      </c>
      <c r="H219" s="12" t="e">
        <f aca="false">XNPV(H220,I219:AC219,I94:AC94)</f>
        <v>#VALUE!</v>
      </c>
      <c r="I219" s="12" t="e">
        <f aca="false">I216-I217-I218</f>
        <v>#N/A</v>
      </c>
      <c r="J219" s="12" t="e">
        <f aca="false">J216-J217-J218</f>
        <v>#N/A</v>
      </c>
      <c r="K219" s="12" t="e">
        <f aca="false">K216-K217-K218</f>
        <v>#VALUE!</v>
      </c>
      <c r="L219" s="12" t="e">
        <f aca="false">L216-L217-L218</f>
        <v>#N/A</v>
      </c>
      <c r="M219" s="12" t="e">
        <f aca="false">M216-M217-M218</f>
        <v>#N/A</v>
      </c>
      <c r="N219" s="12" t="e">
        <f aca="false">N216-N217-N218</f>
        <v>#N/A</v>
      </c>
      <c r="O219" s="12" t="e">
        <f aca="false">O216-O217-O218</f>
        <v>#N/A</v>
      </c>
      <c r="P219" s="12" t="e">
        <f aca="false">P216-P217-P218</f>
        <v>#VALUE!</v>
      </c>
      <c r="Q219" s="12" t="e">
        <f aca="false">Q216-Q217-Q218</f>
        <v>#N/A</v>
      </c>
      <c r="R219" s="12" t="e">
        <f aca="false">R216-R217-R218</f>
        <v>#N/A</v>
      </c>
      <c r="S219" s="12" t="e">
        <f aca="false">S216-S217-S218</f>
        <v>#N/A</v>
      </c>
      <c r="T219" s="12" t="e">
        <f aca="false">T216-T217-T218</f>
        <v>#N/A</v>
      </c>
      <c r="U219" s="12" t="e">
        <f aca="false">U216-U217-U218</f>
        <v>#N/A</v>
      </c>
      <c r="V219" s="12" t="e">
        <f aca="false">V216-V217-V218</f>
        <v>#N/A</v>
      </c>
      <c r="W219" s="12" t="e">
        <f aca="false">W216-W217-W218</f>
        <v>#N/A</v>
      </c>
      <c r="X219" s="12" t="e">
        <f aca="false">X216-X217-X218</f>
        <v>#N/A</v>
      </c>
      <c r="Y219" s="12" t="e">
        <f aca="false">Y216-Y217-Y218</f>
        <v>#N/A</v>
      </c>
      <c r="Z219" s="12" t="e">
        <f aca="false">Z216-Z217-Z218</f>
        <v>#N/A</v>
      </c>
      <c r="AA219" s="12" t="e">
        <f aca="false">AA216-AA217-AA218</f>
        <v>#N/A</v>
      </c>
      <c r="AB219" s="12" t="e">
        <f aca="false">AB216-AB217-AB218</f>
        <v>#N/A</v>
      </c>
      <c r="AC219" s="12" t="e">
        <f aca="false">AC216-AC217-AC218</f>
        <v>#N/A</v>
      </c>
    </row>
    <row r="220" customFormat="false" ht="11.25" hidden="false" customHeight="false" outlineLevel="0" collapsed="false">
      <c r="F220" s="65" t="s">
        <v>260</v>
      </c>
      <c r="H220" s="162" t="n">
        <v>0.01</v>
      </c>
      <c r="I220" s="12" t="e">
        <f aca="false">NPV(10%,I219:$AC219)</f>
        <v>#N/A</v>
      </c>
      <c r="J220" s="12" t="e">
        <f aca="false">NPV(10%,J219:$AC219)</f>
        <v>#N/A</v>
      </c>
      <c r="K220" s="12" t="e">
        <f aca="false">NPV(10%,K219:$AC219)</f>
        <v>#VALUE!</v>
      </c>
      <c r="L220" s="12" t="e">
        <f aca="false">NPV(10%,L219:$AC219)</f>
        <v>#N/A</v>
      </c>
      <c r="M220" s="12" t="e">
        <f aca="false">NPV(10%,M219:$AC219)</f>
        <v>#N/A</v>
      </c>
      <c r="N220" s="12" t="e">
        <f aca="false">NPV(10%,N219:$AC219)</f>
        <v>#N/A</v>
      </c>
      <c r="O220" s="12" t="e">
        <f aca="false">NPV(10%,O219:$AC219)</f>
        <v>#N/A</v>
      </c>
      <c r="P220" s="12" t="e">
        <f aca="false">NPV(10%,P219:$AC219)</f>
        <v>#VALUE!</v>
      </c>
      <c r="Q220" s="12" t="e">
        <f aca="false">NPV(10%,Q219:$AC219)</f>
        <v>#N/A</v>
      </c>
      <c r="R220" s="12" t="e">
        <f aca="false">NPV(10%,R219:$AC219)</f>
        <v>#N/A</v>
      </c>
      <c r="S220" s="12" t="e">
        <f aca="false">NPV(10%,S219:$AC219)</f>
        <v>#N/A</v>
      </c>
      <c r="T220" s="12" t="e">
        <f aca="false">NPV(10%,T219:$AC219)</f>
        <v>#N/A</v>
      </c>
      <c r="U220" s="12" t="e">
        <f aca="false">NPV(10%,U219:$AC219)</f>
        <v>#N/A</v>
      </c>
      <c r="V220" s="12" t="e">
        <f aca="false">NPV(10%,V219:$AC219)</f>
        <v>#N/A</v>
      </c>
      <c r="W220" s="12" t="e">
        <f aca="false">NPV(10%,W219:$AC219)</f>
        <v>#N/A</v>
      </c>
      <c r="X220" s="12" t="e">
        <f aca="false">NPV(10%,X219:$AC219)</f>
        <v>#N/A</v>
      </c>
      <c r="Y220" s="12" t="e">
        <f aca="false">NPV(10%,Y219:$AC219)</f>
        <v>#N/A</v>
      </c>
      <c r="Z220" s="12" t="e">
        <f aca="false">NPV(10%,Z219:$AC219)</f>
        <v>#N/A</v>
      </c>
      <c r="AA220" s="12" t="e">
        <f aca="false">NPV(10%,AA219:$AC219)</f>
        <v>#N/A</v>
      </c>
      <c r="AB220" s="12" t="e">
        <f aca="false">NPV(10%,AB219:$AC219)</f>
        <v>#N/A</v>
      </c>
      <c r="AC220" s="12" t="e">
        <f aca="false">NPV(10%,AC219:$AC219)</f>
        <v>#N/A</v>
      </c>
    </row>
    <row r="221" customFormat="false" ht="11.25" hidden="false" customHeight="false" outlineLevel="0" collapsed="false">
      <c r="F221" s="43"/>
    </row>
    <row r="222" customFormat="false" ht="11.25" hidden="false" customHeight="false" outlineLevel="0" collapsed="false">
      <c r="D222" s="12" t="s">
        <v>255</v>
      </c>
      <c r="F222" s="43" t="s">
        <v>261</v>
      </c>
      <c r="J222" s="12" t="e">
        <f aca="false">(+J156*J$53)+(J157*J$64)</f>
        <v>#VALUE!</v>
      </c>
      <c r="K222" s="12" t="e">
        <f aca="false">(+K156*K$53)+(K157*K$64)</f>
        <v>#N/A</v>
      </c>
      <c r="L222" s="12" t="e">
        <f aca="false">(+L156*L$53)+(L157*L$64)</f>
        <v>#N/A</v>
      </c>
      <c r="M222" s="12" t="e">
        <f aca="false">(+M156*M$53)+(M157*M$64)</f>
        <v>#N/A</v>
      </c>
      <c r="N222" s="12" t="e">
        <f aca="false">(+N156*N$53)+(N157*N$64)</f>
        <v>#N/A</v>
      </c>
      <c r="O222" s="12" t="e">
        <f aca="false">(+O156*O$53)+(O157*O$64)</f>
        <v>#N/A</v>
      </c>
      <c r="P222" s="12" t="e">
        <f aca="false">(+P156*P$53)+(P157*P$64)</f>
        <v>#VALUE!</v>
      </c>
      <c r="Q222" s="12" t="e">
        <f aca="false">(+Q156*Q$53)+(Q157*Q$64)</f>
        <v>#N/A</v>
      </c>
      <c r="R222" s="12" t="e">
        <f aca="false">(+R156*R$53)+(R157*R$64)</f>
        <v>#N/A</v>
      </c>
      <c r="S222" s="12" t="e">
        <f aca="false">(+S156*S$53)+(S157*S$64)</f>
        <v>#N/A</v>
      </c>
      <c r="T222" s="12" t="e">
        <f aca="false">(+T156*T$53)+(T157*T$64)</f>
        <v>#N/A</v>
      </c>
      <c r="U222" s="12" t="e">
        <f aca="false">(+U156*U$53)+(U157*U$64)</f>
        <v>#N/A</v>
      </c>
      <c r="V222" s="12" t="e">
        <f aca="false">(+V156*V$53)+(V157*V$64)</f>
        <v>#N/A</v>
      </c>
      <c r="W222" s="12" t="e">
        <f aca="false">(+W156*W$53)+(W157*W$64)</f>
        <v>#N/A</v>
      </c>
      <c r="X222" s="12" t="e">
        <f aca="false">(+X156*X$53)+(X157*X$64)</f>
        <v>#N/A</v>
      </c>
      <c r="Y222" s="12" t="e">
        <f aca="false">(+Y156*Y$53)+(Y157*Y$64)</f>
        <v>#N/A</v>
      </c>
      <c r="Z222" s="12" t="e">
        <f aca="false">(+Z156*Z$53)+(Z157*Z$64)</f>
        <v>#N/A</v>
      </c>
      <c r="AA222" s="12" t="e">
        <f aca="false">(+AA156*AA$53)+(AA157*AA$64)</f>
        <v>#N/A</v>
      </c>
      <c r="AB222" s="12" t="e">
        <f aca="false">(+AB156*AB$53)+(AB157*AB$64)</f>
        <v>#N/A</v>
      </c>
      <c r="AC222" s="12" t="e">
        <f aca="false">(+AC156*AC$53)+(AC157*AC$64)</f>
        <v>#N/A</v>
      </c>
    </row>
    <row r="223" customFormat="false" ht="11.25" hidden="false" customHeight="false" outlineLevel="0" collapsed="false">
      <c r="F223" s="12" t="s">
        <v>262</v>
      </c>
      <c r="J223" s="12" t="e">
        <f aca="false">+J155*$H$73</f>
        <v>#VALUE!</v>
      </c>
      <c r="K223" s="12" t="e">
        <f aca="false">+K155*$H$73</f>
        <v>#N/A</v>
      </c>
      <c r="L223" s="12" t="e">
        <f aca="false">+L155*$H$73</f>
        <v>#N/A</v>
      </c>
      <c r="M223" s="12" t="e">
        <f aca="false">+M155*$H$73</f>
        <v>#N/A</v>
      </c>
      <c r="N223" s="12" t="e">
        <f aca="false">+N155*$H$73</f>
        <v>#N/A</v>
      </c>
      <c r="O223" s="12" t="e">
        <f aca="false">+O155*$H$73</f>
        <v>#N/A</v>
      </c>
      <c r="P223" s="12" t="e">
        <f aca="false">+P155*$H$73</f>
        <v>#N/A</v>
      </c>
      <c r="Q223" s="12" t="e">
        <f aca="false">+Q155*$H$73</f>
        <v>#N/A</v>
      </c>
      <c r="R223" s="12" t="e">
        <f aca="false">+R155*$H$73</f>
        <v>#N/A</v>
      </c>
      <c r="S223" s="12" t="e">
        <f aca="false">+S155*$H$73</f>
        <v>#N/A</v>
      </c>
      <c r="T223" s="12" t="e">
        <f aca="false">+T155*$H$73</f>
        <v>#N/A</v>
      </c>
      <c r="U223" s="12" t="e">
        <f aca="false">+U155*$H$73</f>
        <v>#N/A</v>
      </c>
      <c r="V223" s="12" t="e">
        <f aca="false">+V155*$H$73</f>
        <v>#N/A</v>
      </c>
      <c r="W223" s="12" t="e">
        <f aca="false">+W155*$H$73</f>
        <v>#N/A</v>
      </c>
      <c r="X223" s="12" t="e">
        <f aca="false">+X155*$H$73</f>
        <v>#N/A</v>
      </c>
      <c r="Y223" s="12" t="e">
        <f aca="false">+Y155*$H$73</f>
        <v>#N/A</v>
      </c>
      <c r="Z223" s="12" t="e">
        <f aca="false">+Z155*$H$73</f>
        <v>#N/A</v>
      </c>
      <c r="AA223" s="12" t="e">
        <f aca="false">+AA155*$H$73</f>
        <v>#N/A</v>
      </c>
      <c r="AB223" s="12" t="e">
        <f aca="false">+AB155*$H$73</f>
        <v>#N/A</v>
      </c>
      <c r="AC223" s="12" t="e">
        <f aca="false">+AC155*$H$73</f>
        <v>#N/A</v>
      </c>
    </row>
    <row r="224" customFormat="false" ht="11.25" hidden="false" customHeight="false" outlineLevel="0" collapsed="false">
      <c r="F224" s="12" t="s">
        <v>263</v>
      </c>
      <c r="J224" s="12" t="e">
        <f aca="false">J$23</f>
        <v>#N/A</v>
      </c>
    </row>
    <row r="225" customFormat="false" ht="11.25" hidden="false" customHeight="false" outlineLevel="0" collapsed="false">
      <c r="F225" s="43" t="s">
        <v>264</v>
      </c>
      <c r="J225" s="12" t="e">
        <f aca="false">J222-J223-J224</f>
        <v>#VALUE!</v>
      </c>
      <c r="K225" s="12" t="e">
        <f aca="false">K222-K223-K224</f>
        <v>#N/A</v>
      </c>
      <c r="L225" s="12" t="e">
        <f aca="false">L222-L223-L224</f>
        <v>#N/A</v>
      </c>
      <c r="M225" s="12" t="e">
        <f aca="false">M222-M223-M224</f>
        <v>#N/A</v>
      </c>
      <c r="N225" s="12" t="e">
        <f aca="false">N222-N223-N224</f>
        <v>#N/A</v>
      </c>
      <c r="O225" s="12" t="e">
        <f aca="false">O222-O223-O224</f>
        <v>#N/A</v>
      </c>
      <c r="P225" s="12" t="e">
        <f aca="false">P222-P223-P224</f>
        <v>#N/A</v>
      </c>
      <c r="Q225" s="12" t="e">
        <f aca="false">Q222-Q223-Q224</f>
        <v>#N/A</v>
      </c>
      <c r="R225" s="12" t="e">
        <f aca="false">R222-R223-R224</f>
        <v>#N/A</v>
      </c>
      <c r="S225" s="12" t="e">
        <f aca="false">S222-S223-S224</f>
        <v>#N/A</v>
      </c>
      <c r="T225" s="12" t="e">
        <f aca="false">T222-T223-T224</f>
        <v>#N/A</v>
      </c>
      <c r="U225" s="12" t="e">
        <f aca="false">U222-U223-U224</f>
        <v>#N/A</v>
      </c>
      <c r="V225" s="12" t="e">
        <f aca="false">V222-V223-V224</f>
        <v>#N/A</v>
      </c>
      <c r="W225" s="12" t="e">
        <f aca="false">W222-W223-W224</f>
        <v>#N/A</v>
      </c>
      <c r="X225" s="12" t="e">
        <f aca="false">X222-X223-X224</f>
        <v>#N/A</v>
      </c>
      <c r="Y225" s="12" t="e">
        <f aca="false">Y222-Y223-Y224</f>
        <v>#N/A</v>
      </c>
      <c r="Z225" s="12" t="e">
        <f aca="false">Z222-Z223-Z224</f>
        <v>#N/A</v>
      </c>
      <c r="AA225" s="12" t="e">
        <f aca="false">AA222-AA223-AA224</f>
        <v>#N/A</v>
      </c>
      <c r="AB225" s="12" t="e">
        <f aca="false">AB222-AB223-AB224</f>
        <v>#N/A</v>
      </c>
      <c r="AC225" s="12" t="e">
        <f aca="false">AC222-AC223-AC224</f>
        <v>#N/A</v>
      </c>
    </row>
    <row r="226" customFormat="false" ht="11.25" hidden="false" customHeight="false" outlineLevel="0" collapsed="false">
      <c r="F226" s="65" t="s">
        <v>260</v>
      </c>
      <c r="H226" s="162" t="e">
        <f aca="false">XIRR(J225:AC225,J94:AC94)</f>
        <v>#VALUE!</v>
      </c>
      <c r="J226" s="12" t="e">
        <f aca="false">NPV(10%,J225:$AC225)</f>
        <v>#VALUE!</v>
      </c>
      <c r="K226" s="12" t="e">
        <f aca="false">NPV(10%,K225:$AC225)</f>
        <v>#N/A</v>
      </c>
      <c r="L226" s="12" t="e">
        <f aca="false">NPV(10%,L225:$AC225)</f>
        <v>#N/A</v>
      </c>
      <c r="M226" s="12" t="e">
        <f aca="false">NPV(10%,M225:$AC225)</f>
        <v>#N/A</v>
      </c>
      <c r="N226" s="12" t="e">
        <f aca="false">NPV(10%,N225:$AC225)</f>
        <v>#N/A</v>
      </c>
      <c r="O226" s="12" t="e">
        <f aca="false">NPV(10%,O225:$AC225)</f>
        <v>#N/A</v>
      </c>
      <c r="P226" s="12" t="e">
        <f aca="false">NPV(10%,P225:$AC225)</f>
        <v>#N/A</v>
      </c>
      <c r="Q226" s="12" t="e">
        <f aca="false">NPV(10%,Q225:$AC225)</f>
        <v>#N/A</v>
      </c>
      <c r="R226" s="12" t="e">
        <f aca="false">NPV(10%,R225:$AC225)</f>
        <v>#N/A</v>
      </c>
      <c r="S226" s="12" t="e">
        <f aca="false">NPV(10%,S225:$AC225)</f>
        <v>#N/A</v>
      </c>
      <c r="T226" s="12" t="e">
        <f aca="false">NPV(10%,T225:$AC225)</f>
        <v>#N/A</v>
      </c>
      <c r="U226" s="12" t="e">
        <f aca="false">NPV(10%,U225:$AC225)</f>
        <v>#N/A</v>
      </c>
      <c r="V226" s="12" t="e">
        <f aca="false">NPV(10%,V225:$AC225)</f>
        <v>#N/A</v>
      </c>
      <c r="W226" s="12" t="e">
        <f aca="false">NPV(10%,W225:$AC225)</f>
        <v>#N/A</v>
      </c>
      <c r="X226" s="12" t="e">
        <f aca="false">NPV(10%,X225:$AC225)</f>
        <v>#N/A</v>
      </c>
      <c r="Y226" s="12" t="e">
        <f aca="false">NPV(10%,Y225:$AC225)</f>
        <v>#N/A</v>
      </c>
      <c r="Z226" s="12" t="e">
        <f aca="false">NPV(10%,Z225:$AC225)</f>
        <v>#N/A</v>
      </c>
      <c r="AA226" s="12" t="e">
        <f aca="false">NPV(10%,AA225:$AC225)</f>
        <v>#N/A</v>
      </c>
      <c r="AB226" s="12" t="e">
        <f aca="false">NPV(10%,AB225:$AC225)</f>
        <v>#N/A</v>
      </c>
      <c r="AC226" s="12" t="e">
        <f aca="false">NPV(10%,AC225:$AC225)</f>
        <v>#N/A</v>
      </c>
    </row>
    <row r="227" customFormat="false" ht="11.25" hidden="false" customHeight="false" outlineLevel="0" collapsed="false">
      <c r="F227" s="43"/>
    </row>
    <row r="228" customFormat="false" ht="11.25" hidden="false" customHeight="false" outlineLevel="0" collapsed="false">
      <c r="D228" s="12" t="s">
        <v>255</v>
      </c>
      <c r="F228" s="43" t="s">
        <v>265</v>
      </c>
      <c r="K228" s="12" t="e">
        <f aca="false">(+K159*K$53)+(K160*K$64)</f>
        <v>#N/A</v>
      </c>
      <c r="L228" s="12" t="e">
        <f aca="false">(+L159*L$53)+(L160*L$64)</f>
        <v>#N/A</v>
      </c>
      <c r="M228" s="12" t="e">
        <f aca="false">(+M159*M$53)+(M160*M$64)</f>
        <v>#N/A</v>
      </c>
      <c r="N228" s="12" t="e">
        <f aca="false">(+N159*N$53)+(N160*N$64)</f>
        <v>#N/A</v>
      </c>
      <c r="O228" s="12" t="e">
        <f aca="false">(+O159*O$53)+(O160*O$64)</f>
        <v>#N/A</v>
      </c>
      <c r="P228" s="12" t="e">
        <f aca="false">(+P159*P$53)+(P160*P$64)</f>
        <v>#N/A</v>
      </c>
      <c r="Q228" s="12" t="e">
        <f aca="false">(+Q159*Q$53)+(Q160*Q$64)</f>
        <v>#N/A</v>
      </c>
      <c r="R228" s="12" t="e">
        <f aca="false">(+R159*R$53)+(R160*R$64)</f>
        <v>#N/A</v>
      </c>
      <c r="S228" s="12" t="e">
        <f aca="false">(+S159*S$53)+(S160*S$64)</f>
        <v>#N/A</v>
      </c>
      <c r="T228" s="12" t="e">
        <f aca="false">(+T159*T$53)+(T160*T$64)</f>
        <v>#N/A</v>
      </c>
      <c r="U228" s="12" t="e">
        <f aca="false">(+U159*U$53)+(U160*U$64)</f>
        <v>#N/A</v>
      </c>
      <c r="V228" s="12" t="e">
        <f aca="false">(+V159*V$53)+(V160*V$64)</f>
        <v>#N/A</v>
      </c>
      <c r="W228" s="12" t="e">
        <f aca="false">(+W159*W$53)+(W160*W$64)</f>
        <v>#N/A</v>
      </c>
      <c r="X228" s="12" t="e">
        <f aca="false">(+X159*X$53)+(X160*X$64)</f>
        <v>#N/A</v>
      </c>
      <c r="Y228" s="12" t="e">
        <f aca="false">(+Y159*Y$53)+(Y160*Y$64)</f>
        <v>#N/A</v>
      </c>
      <c r="Z228" s="12" t="e">
        <f aca="false">(+Z159*Z$53)+(Z160*Z$64)</f>
        <v>#N/A</v>
      </c>
      <c r="AA228" s="12" t="e">
        <f aca="false">(+AA159*AA$53)+(AA160*AA$64)</f>
        <v>#N/A</v>
      </c>
      <c r="AB228" s="12" t="e">
        <f aca="false">(+AB159*AB$53)+(AB160*AB$64)</f>
        <v>#N/A</v>
      </c>
      <c r="AC228" s="12" t="e">
        <f aca="false">(+AC159*AC$53)+(AC160*AC$64)</f>
        <v>#N/A</v>
      </c>
    </row>
    <row r="229" customFormat="false" ht="11.25" hidden="false" customHeight="false" outlineLevel="0" collapsed="false">
      <c r="F229" s="12" t="s">
        <v>266</v>
      </c>
      <c r="K229" s="12" t="e">
        <f aca="false">+K158*$H$73</f>
        <v>#N/A</v>
      </c>
      <c r="L229" s="12" t="e">
        <f aca="false">+L158*$H$73</f>
        <v>#N/A</v>
      </c>
      <c r="M229" s="12" t="e">
        <f aca="false">+M158*$H$73</f>
        <v>#N/A</v>
      </c>
      <c r="N229" s="12" t="e">
        <f aca="false">+N158*$H$73</f>
        <v>#N/A</v>
      </c>
      <c r="O229" s="12" t="e">
        <f aca="false">+O158*$H$73</f>
        <v>#N/A</v>
      </c>
      <c r="P229" s="12" t="e">
        <f aca="false">+P158*$H$73</f>
        <v>#N/A</v>
      </c>
      <c r="Q229" s="12" t="e">
        <f aca="false">+Q158*$H$73</f>
        <v>#N/A</v>
      </c>
      <c r="R229" s="12" t="e">
        <f aca="false">+R158*$H$73</f>
        <v>#N/A</v>
      </c>
      <c r="S229" s="12" t="e">
        <f aca="false">+S158*$H$73</f>
        <v>#N/A</v>
      </c>
      <c r="T229" s="12" t="e">
        <f aca="false">+T158*$H$73</f>
        <v>#N/A</v>
      </c>
      <c r="U229" s="12" t="e">
        <f aca="false">+U158*$H$73</f>
        <v>#N/A</v>
      </c>
      <c r="V229" s="12" t="e">
        <f aca="false">+V158*$H$73</f>
        <v>#N/A</v>
      </c>
      <c r="W229" s="12" t="e">
        <f aca="false">+W158*$H$73</f>
        <v>#N/A</v>
      </c>
      <c r="X229" s="12" t="e">
        <f aca="false">+X158*$H$73</f>
        <v>#N/A</v>
      </c>
      <c r="Y229" s="12" t="e">
        <f aca="false">+Y158*$H$73</f>
        <v>#N/A</v>
      </c>
      <c r="Z229" s="12" t="e">
        <f aca="false">+Z158*$H$73</f>
        <v>#N/A</v>
      </c>
      <c r="AA229" s="12" t="e">
        <f aca="false">+AA158*$H$73</f>
        <v>#N/A</v>
      </c>
      <c r="AB229" s="12" t="e">
        <f aca="false">+AB158*$H$73</f>
        <v>#N/A</v>
      </c>
      <c r="AC229" s="12" t="e">
        <f aca="false">+AC158*$H$73</f>
        <v>#N/A</v>
      </c>
    </row>
    <row r="230" customFormat="false" ht="11.25" hidden="false" customHeight="false" outlineLevel="0" collapsed="false">
      <c r="F230" s="12" t="s">
        <v>267</v>
      </c>
      <c r="K230" s="12" t="e">
        <f aca="false">K$23</f>
        <v>#N/A</v>
      </c>
    </row>
    <row r="231" customFormat="false" ht="11.25" hidden="false" customHeight="false" outlineLevel="0" collapsed="false">
      <c r="F231" s="43" t="s">
        <v>268</v>
      </c>
      <c r="K231" s="12" t="e">
        <f aca="false">K228-K229-K230</f>
        <v>#N/A</v>
      </c>
      <c r="L231" s="12" t="e">
        <f aca="false">+L228-L229-L230</f>
        <v>#N/A</v>
      </c>
      <c r="M231" s="12" t="e">
        <f aca="false">+M228-M229-M230</f>
        <v>#N/A</v>
      </c>
      <c r="N231" s="12" t="e">
        <f aca="false">+N228-N229-N230</f>
        <v>#N/A</v>
      </c>
      <c r="O231" s="12" t="e">
        <f aca="false">+O228-O229-O230</f>
        <v>#N/A</v>
      </c>
      <c r="P231" s="12" t="e">
        <f aca="false">+P228-P229-P230</f>
        <v>#N/A</v>
      </c>
      <c r="Q231" s="12" t="e">
        <f aca="false">+Q228-Q229-Q230</f>
        <v>#N/A</v>
      </c>
      <c r="R231" s="12" t="e">
        <f aca="false">+R228-R229-R230</f>
        <v>#N/A</v>
      </c>
      <c r="S231" s="12" t="e">
        <f aca="false">+S228-S229-S230</f>
        <v>#N/A</v>
      </c>
      <c r="T231" s="12" t="e">
        <f aca="false">+T228-T229-T230</f>
        <v>#N/A</v>
      </c>
      <c r="U231" s="12" t="e">
        <f aca="false">+U228-U229-U230</f>
        <v>#N/A</v>
      </c>
      <c r="V231" s="12" t="e">
        <f aca="false">+V228-V229-V230</f>
        <v>#N/A</v>
      </c>
      <c r="W231" s="12" t="e">
        <f aca="false">+W228-W229-W230</f>
        <v>#N/A</v>
      </c>
      <c r="X231" s="12" t="e">
        <f aca="false">+X228-X229-X230</f>
        <v>#N/A</v>
      </c>
      <c r="Y231" s="12" t="e">
        <f aca="false">+Y228-Y229-Y230</f>
        <v>#N/A</v>
      </c>
      <c r="Z231" s="12" t="e">
        <f aca="false">+Z228-Z229-Z230</f>
        <v>#N/A</v>
      </c>
      <c r="AA231" s="12" t="e">
        <f aca="false">+AA228-AA229-AA230</f>
        <v>#N/A</v>
      </c>
      <c r="AB231" s="12" t="e">
        <f aca="false">+AB228-AB229-AB230</f>
        <v>#N/A</v>
      </c>
      <c r="AC231" s="12" t="e">
        <f aca="false">+AC228-AC229-AC230</f>
        <v>#N/A</v>
      </c>
    </row>
    <row r="232" customFormat="false" ht="11.25" hidden="false" customHeight="false" outlineLevel="0" collapsed="false">
      <c r="F232" s="65" t="s">
        <v>260</v>
      </c>
      <c r="H232" s="162" t="e">
        <f aca="false">XIRR(K231:AC231,K94:AC94)</f>
        <v>#VALUE!</v>
      </c>
      <c r="K232" s="12" t="e">
        <f aca="false">NPV(10%,K231:$AC231)</f>
        <v>#N/A</v>
      </c>
      <c r="L232" s="12" t="e">
        <f aca="false">NPV(10%,L231:$AC231)</f>
        <v>#N/A</v>
      </c>
      <c r="M232" s="12" t="e">
        <f aca="false">NPV(10%,M231:$AC231)</f>
        <v>#N/A</v>
      </c>
      <c r="N232" s="12" t="e">
        <f aca="false">NPV(10%,N231:$AC231)</f>
        <v>#N/A</v>
      </c>
      <c r="O232" s="12" t="e">
        <f aca="false">NPV(10%,O231:$AC231)</f>
        <v>#N/A</v>
      </c>
      <c r="P232" s="12" t="e">
        <f aca="false">NPV(10%,P231:$AC231)</f>
        <v>#N/A</v>
      </c>
      <c r="Q232" s="12" t="e">
        <f aca="false">NPV(10%,Q231:$AC231)</f>
        <v>#N/A</v>
      </c>
      <c r="R232" s="12" t="e">
        <f aca="false">NPV(10%,R231:$AC231)</f>
        <v>#N/A</v>
      </c>
      <c r="S232" s="12" t="e">
        <f aca="false">NPV(10%,S231:$AC231)</f>
        <v>#N/A</v>
      </c>
      <c r="T232" s="12" t="e">
        <f aca="false">NPV(10%,T231:$AC231)</f>
        <v>#N/A</v>
      </c>
      <c r="U232" s="12" t="e">
        <f aca="false">NPV(10%,U231:$AC231)</f>
        <v>#N/A</v>
      </c>
      <c r="V232" s="12" t="e">
        <f aca="false">NPV(10%,V231:$AC231)</f>
        <v>#N/A</v>
      </c>
      <c r="W232" s="12" t="e">
        <f aca="false">NPV(10%,W231:$AC231)</f>
        <v>#N/A</v>
      </c>
      <c r="X232" s="12" t="e">
        <f aca="false">NPV(10%,X231:$AC231)</f>
        <v>#N/A</v>
      </c>
      <c r="Y232" s="12" t="e">
        <f aca="false">NPV(10%,Y231:$AC231)</f>
        <v>#N/A</v>
      </c>
      <c r="Z232" s="12" t="e">
        <f aca="false">NPV(10%,Z231:$AC231)</f>
        <v>#N/A</v>
      </c>
      <c r="AA232" s="12" t="e">
        <f aca="false">NPV(10%,AA231:$AC231)</f>
        <v>#N/A</v>
      </c>
      <c r="AB232" s="12" t="e">
        <f aca="false">NPV(10%,AB231:$AC231)</f>
        <v>#N/A</v>
      </c>
      <c r="AC232" s="12" t="e">
        <f aca="false">NPV(10%,AC231:$AC231)</f>
        <v>#N/A</v>
      </c>
    </row>
    <row r="233" customFormat="false" ht="11.25" hidden="false" customHeight="false" outlineLevel="0" collapsed="false">
      <c r="F233" s="43"/>
    </row>
    <row r="234" customFormat="false" ht="11.25" hidden="false" customHeight="false" outlineLevel="0" collapsed="false">
      <c r="F234" s="43" t="s">
        <v>269</v>
      </c>
      <c r="L234" s="12" t="e">
        <f aca="false">(+L162*L$53)+(L163*L$64)</f>
        <v>#N/A</v>
      </c>
      <c r="M234" s="12" t="e">
        <f aca="false">(+M162*M$53)+(M163*M$64)</f>
        <v>#N/A</v>
      </c>
      <c r="N234" s="12" t="e">
        <f aca="false">(+N162*N$53)+(N163*N$64)</f>
        <v>#N/A</v>
      </c>
      <c r="O234" s="12" t="e">
        <f aca="false">(+O162*O$53)+(O163*O$64)</f>
        <v>#N/A</v>
      </c>
      <c r="P234" s="12" t="e">
        <f aca="false">(+P162*P$53)+(P163*P$64)</f>
        <v>#N/A</v>
      </c>
      <c r="Q234" s="12" t="e">
        <f aca="false">(+Q162*Q$53)+(Q163*Q$64)</f>
        <v>#N/A</v>
      </c>
      <c r="R234" s="12" t="e">
        <f aca="false">(+R162*R$53)+(R163*R$64)</f>
        <v>#N/A</v>
      </c>
      <c r="S234" s="12" t="e">
        <f aca="false">(+S162*S$53)+(S163*S$64)</f>
        <v>#N/A</v>
      </c>
      <c r="T234" s="12" t="e">
        <f aca="false">(+T162*T$53)+(T163*T$64)</f>
        <v>#N/A</v>
      </c>
      <c r="U234" s="12" t="e">
        <f aca="false">(+U162*U$53)+(U163*U$64)</f>
        <v>#N/A</v>
      </c>
      <c r="V234" s="12" t="e">
        <f aca="false">(+V162*V$53)+(V163*V$64)</f>
        <v>#N/A</v>
      </c>
      <c r="W234" s="12" t="e">
        <f aca="false">(+W162*W$53)+(W163*W$64)</f>
        <v>#N/A</v>
      </c>
      <c r="X234" s="12" t="e">
        <f aca="false">(+X162*X$53)+(X163*X$64)</f>
        <v>#N/A</v>
      </c>
      <c r="Y234" s="12" t="e">
        <f aca="false">(+Y162*Y$53)+(Y163*Y$64)</f>
        <v>#N/A</v>
      </c>
      <c r="Z234" s="12" t="e">
        <f aca="false">(+Z162*Z$53)+(Z163*Z$64)</f>
        <v>#N/A</v>
      </c>
      <c r="AA234" s="12" t="e">
        <f aca="false">(+AA162*AA$53)+(AA163*AA$64)</f>
        <v>#N/A</v>
      </c>
      <c r="AB234" s="12" t="e">
        <f aca="false">(+AB162*AB$53)+(AB163*AB$64)</f>
        <v>#N/A</v>
      </c>
      <c r="AC234" s="12" t="e">
        <f aca="false">(+AC162*AC$53)+(AC163*AC$64)</f>
        <v>#N/A</v>
      </c>
    </row>
    <row r="235" customFormat="false" ht="11.25" hidden="false" customHeight="false" outlineLevel="0" collapsed="false">
      <c r="F235" s="12" t="s">
        <v>270</v>
      </c>
      <c r="L235" s="12" t="e">
        <f aca="false">+L161*$H$73</f>
        <v>#N/A</v>
      </c>
      <c r="M235" s="12" t="e">
        <f aca="false">+M161*$H$73</f>
        <v>#N/A</v>
      </c>
      <c r="N235" s="12" t="e">
        <f aca="false">+N161*$H$73</f>
        <v>#N/A</v>
      </c>
      <c r="O235" s="12" t="e">
        <f aca="false">+O161*$H$73</f>
        <v>#N/A</v>
      </c>
      <c r="P235" s="12" t="e">
        <f aca="false">+P161*$H$73</f>
        <v>#N/A</v>
      </c>
      <c r="Q235" s="12" t="e">
        <f aca="false">+Q161*$H$73</f>
        <v>#N/A</v>
      </c>
      <c r="R235" s="12" t="e">
        <f aca="false">+R161*$H$73</f>
        <v>#N/A</v>
      </c>
      <c r="S235" s="12" t="e">
        <f aca="false">+S161*$H$73</f>
        <v>#N/A</v>
      </c>
      <c r="T235" s="12" t="e">
        <f aca="false">+T161*$H$73</f>
        <v>#N/A</v>
      </c>
      <c r="U235" s="12" t="e">
        <f aca="false">+U161*$H$73</f>
        <v>#N/A</v>
      </c>
      <c r="V235" s="12" t="e">
        <f aca="false">+V161*$H$73</f>
        <v>#N/A</v>
      </c>
      <c r="W235" s="12" t="e">
        <f aca="false">+W161*$H$73</f>
        <v>#N/A</v>
      </c>
      <c r="X235" s="12" t="e">
        <f aca="false">+X161*$H$73</f>
        <v>#N/A</v>
      </c>
      <c r="Y235" s="12" t="e">
        <f aca="false">+Y161*$H$73</f>
        <v>#N/A</v>
      </c>
      <c r="Z235" s="12" t="e">
        <f aca="false">+Z161*$H$73</f>
        <v>#N/A</v>
      </c>
      <c r="AA235" s="12" t="e">
        <f aca="false">+AA161*$H$73</f>
        <v>#N/A</v>
      </c>
      <c r="AB235" s="12" t="e">
        <f aca="false">+AB161*$H$73</f>
        <v>#N/A</v>
      </c>
      <c r="AC235" s="12" t="e">
        <f aca="false">+AC161*$H$73</f>
        <v>#N/A</v>
      </c>
    </row>
    <row r="236" customFormat="false" ht="11.25" hidden="false" customHeight="false" outlineLevel="0" collapsed="false">
      <c r="F236" s="12" t="s">
        <v>271</v>
      </c>
      <c r="L236" s="12" t="e">
        <f aca="false">L$23</f>
        <v>#N/A</v>
      </c>
    </row>
    <row r="237" customFormat="false" ht="11.25" hidden="false" customHeight="false" outlineLevel="0" collapsed="false">
      <c r="F237" s="43" t="s">
        <v>272</v>
      </c>
      <c r="L237" s="12" t="e">
        <f aca="false">L234-L235-L236</f>
        <v>#N/A</v>
      </c>
      <c r="M237" s="12" t="e">
        <f aca="false">+M234-M235-M236</f>
        <v>#N/A</v>
      </c>
      <c r="N237" s="12" t="e">
        <f aca="false">+N234-N235-N236</f>
        <v>#N/A</v>
      </c>
      <c r="O237" s="12" t="e">
        <f aca="false">+O234-O235-O236</f>
        <v>#N/A</v>
      </c>
      <c r="P237" s="12" t="e">
        <f aca="false">+P234-P235-P236</f>
        <v>#N/A</v>
      </c>
      <c r="Q237" s="12" t="e">
        <f aca="false">+Q234-Q235-Q236</f>
        <v>#N/A</v>
      </c>
      <c r="R237" s="12" t="e">
        <f aca="false">+R234-R235-R236</f>
        <v>#N/A</v>
      </c>
      <c r="S237" s="12" t="e">
        <f aca="false">+S234-S235-S236</f>
        <v>#N/A</v>
      </c>
      <c r="T237" s="12" t="e">
        <f aca="false">+T234-T235-T236</f>
        <v>#N/A</v>
      </c>
      <c r="U237" s="12" t="e">
        <f aca="false">+U234-U235-U236</f>
        <v>#N/A</v>
      </c>
      <c r="V237" s="12" t="e">
        <f aca="false">+V234-V235-V236</f>
        <v>#N/A</v>
      </c>
      <c r="W237" s="12" t="e">
        <f aca="false">+W234-W235-W236</f>
        <v>#N/A</v>
      </c>
      <c r="X237" s="12" t="e">
        <f aca="false">+X234-X235-X236</f>
        <v>#N/A</v>
      </c>
      <c r="Y237" s="12" t="e">
        <f aca="false">+Y234-Y235-Y236</f>
        <v>#N/A</v>
      </c>
      <c r="Z237" s="12" t="e">
        <f aca="false">+Z234-Z235-Z236</f>
        <v>#N/A</v>
      </c>
      <c r="AA237" s="12" t="e">
        <f aca="false">+AA234-AA235-AA236</f>
        <v>#N/A</v>
      </c>
      <c r="AB237" s="12" t="e">
        <f aca="false">+AB234-AB235-AB236</f>
        <v>#N/A</v>
      </c>
      <c r="AC237" s="12" t="e">
        <f aca="false">+AC234-AC235-AC236</f>
        <v>#N/A</v>
      </c>
    </row>
    <row r="238" customFormat="false" ht="11.25" hidden="false" customHeight="false" outlineLevel="0" collapsed="false">
      <c r="F238" s="65" t="s">
        <v>260</v>
      </c>
      <c r="H238" s="162" t="e">
        <f aca="false">XIRR(L237:AC237,L94:AC94)</f>
        <v>#VALUE!</v>
      </c>
      <c r="L238" s="12" t="e">
        <f aca="false">NPV(10%,L237:$AC237)</f>
        <v>#N/A</v>
      </c>
      <c r="M238" s="12" t="e">
        <f aca="false">NPV(10%,M237:$AC237)</f>
        <v>#N/A</v>
      </c>
      <c r="N238" s="12" t="e">
        <f aca="false">NPV(10%,N237:$AC237)</f>
        <v>#N/A</v>
      </c>
      <c r="O238" s="12" t="e">
        <f aca="false">NPV(10%,O237:$AC237)</f>
        <v>#N/A</v>
      </c>
      <c r="P238" s="12" t="e">
        <f aca="false">NPV(10%,P237:$AC237)</f>
        <v>#N/A</v>
      </c>
      <c r="Q238" s="12" t="e">
        <f aca="false">NPV(10%,Q237:$AC237)</f>
        <v>#N/A</v>
      </c>
      <c r="R238" s="12" t="e">
        <f aca="false">NPV(10%,R237:$AC237)</f>
        <v>#N/A</v>
      </c>
      <c r="S238" s="12" t="e">
        <f aca="false">NPV(10%,S237:$AC237)</f>
        <v>#N/A</v>
      </c>
      <c r="T238" s="12" t="e">
        <f aca="false">NPV(10%,T237:$AC237)</f>
        <v>#N/A</v>
      </c>
      <c r="U238" s="12" t="e">
        <f aca="false">NPV(10%,U237:$AC237)</f>
        <v>#N/A</v>
      </c>
      <c r="V238" s="12" t="e">
        <f aca="false">NPV(10%,V237:$AC237)</f>
        <v>#N/A</v>
      </c>
      <c r="W238" s="12" t="e">
        <f aca="false">NPV(10%,W237:$AC237)</f>
        <v>#N/A</v>
      </c>
      <c r="X238" s="12" t="e">
        <f aca="false">NPV(10%,X237:$AC237)</f>
        <v>#N/A</v>
      </c>
      <c r="Y238" s="12" t="e">
        <f aca="false">NPV(10%,Y237:$AC237)</f>
        <v>#N/A</v>
      </c>
      <c r="Z238" s="12" t="e">
        <f aca="false">NPV(10%,Z237:$AC237)</f>
        <v>#N/A</v>
      </c>
      <c r="AA238" s="12" t="e">
        <f aca="false">NPV(10%,AA237:$AC237)</f>
        <v>#N/A</v>
      </c>
      <c r="AB238" s="12" t="e">
        <f aca="false">NPV(10%,AB237:$AC237)</f>
        <v>#N/A</v>
      </c>
      <c r="AC238" s="12" t="e">
        <f aca="false">NPV(10%,AC237:$AC237)</f>
        <v>#N/A</v>
      </c>
    </row>
    <row r="239" customFormat="false" ht="11.25" hidden="false" customHeight="false" outlineLevel="0" collapsed="false">
      <c r="F239" s="43"/>
    </row>
    <row r="240" customFormat="false" ht="11.25" hidden="false" customHeight="false" outlineLevel="0" collapsed="false">
      <c r="F240" s="43" t="s">
        <v>273</v>
      </c>
      <c r="M240" s="12" t="e">
        <f aca="false">(+M165*M$53)+(M166*M$64)</f>
        <v>#N/A</v>
      </c>
      <c r="N240" s="12" t="e">
        <f aca="false">(+N165*N$53)+(N166*N$64)</f>
        <v>#N/A</v>
      </c>
      <c r="O240" s="12" t="e">
        <f aca="false">(+O165*O$53)+(O166*O$64)</f>
        <v>#N/A</v>
      </c>
      <c r="P240" s="12" t="e">
        <f aca="false">(+P165*P$53)+(P166*P$64)</f>
        <v>#N/A</v>
      </c>
      <c r="Q240" s="12" t="e">
        <f aca="false">(+Q165*Q$53)+(Q166*Q$64)</f>
        <v>#N/A</v>
      </c>
      <c r="R240" s="12" t="e">
        <f aca="false">(+R165*R$53)+(R166*R$64)</f>
        <v>#N/A</v>
      </c>
      <c r="S240" s="12" t="e">
        <f aca="false">(+S165*S$53)+(S166*S$64)</f>
        <v>#N/A</v>
      </c>
      <c r="T240" s="12" t="e">
        <f aca="false">(+T165*T$53)+(T166*T$64)</f>
        <v>#N/A</v>
      </c>
      <c r="U240" s="12" t="e">
        <f aca="false">(+U165*U$53)+(U166*U$64)</f>
        <v>#N/A</v>
      </c>
      <c r="V240" s="12" t="e">
        <f aca="false">(+V165*V$53)+(V166*V$64)</f>
        <v>#N/A</v>
      </c>
      <c r="W240" s="12" t="e">
        <f aca="false">(+W165*W$53)+(W166*W$64)</f>
        <v>#N/A</v>
      </c>
      <c r="X240" s="12" t="e">
        <f aca="false">(+X165*X$53)+(X166*X$64)</f>
        <v>#N/A</v>
      </c>
      <c r="Y240" s="12" t="e">
        <f aca="false">(+Y165*Y$53)+(Y166*Y$64)</f>
        <v>#N/A</v>
      </c>
      <c r="Z240" s="12" t="e">
        <f aca="false">(+Z165*Z$53)+(Z166*Z$64)</f>
        <v>#N/A</v>
      </c>
      <c r="AA240" s="12" t="e">
        <f aca="false">(+AA165*AA$53)+(AA166*AA$64)</f>
        <v>#N/A</v>
      </c>
      <c r="AB240" s="12" t="e">
        <f aca="false">(+AB165*AB$53)+(AB166*AB$64)</f>
        <v>#N/A</v>
      </c>
      <c r="AC240" s="12" t="e">
        <f aca="false">(+AC165*AC$53)+(AC166*AC$64)</f>
        <v>#N/A</v>
      </c>
    </row>
    <row r="241" customFormat="false" ht="11.25" hidden="false" customHeight="false" outlineLevel="0" collapsed="false">
      <c r="F241" s="12" t="s">
        <v>274</v>
      </c>
      <c r="M241" s="12" t="e">
        <f aca="false">+M164*$H$73</f>
        <v>#N/A</v>
      </c>
      <c r="N241" s="12" t="e">
        <f aca="false">+N164*$H$73</f>
        <v>#N/A</v>
      </c>
      <c r="O241" s="12" t="e">
        <f aca="false">+O164*$H$73</f>
        <v>#N/A</v>
      </c>
      <c r="P241" s="12" t="e">
        <f aca="false">+P164*$H$73</f>
        <v>#N/A</v>
      </c>
      <c r="Q241" s="12" t="e">
        <f aca="false">+Q164*$H$73</f>
        <v>#N/A</v>
      </c>
      <c r="R241" s="12" t="e">
        <f aca="false">+R164*$H$73</f>
        <v>#N/A</v>
      </c>
      <c r="S241" s="12" t="e">
        <f aca="false">+S164*$H$73</f>
        <v>#N/A</v>
      </c>
      <c r="T241" s="12" t="e">
        <f aca="false">+T164*$H$73</f>
        <v>#N/A</v>
      </c>
      <c r="U241" s="12" t="e">
        <f aca="false">+U164*$H$73</f>
        <v>#N/A</v>
      </c>
      <c r="V241" s="12" t="e">
        <f aca="false">+V164*$H$73</f>
        <v>#N/A</v>
      </c>
      <c r="W241" s="12" t="e">
        <f aca="false">+W164*$H$73</f>
        <v>#N/A</v>
      </c>
      <c r="X241" s="12" t="e">
        <f aca="false">+X164*$H$73</f>
        <v>#N/A</v>
      </c>
      <c r="Y241" s="12" t="e">
        <f aca="false">+Y164*$H$73</f>
        <v>#N/A</v>
      </c>
      <c r="Z241" s="12" t="e">
        <f aca="false">+Z164*$H$73</f>
        <v>#N/A</v>
      </c>
      <c r="AA241" s="12" t="e">
        <f aca="false">+AA164*$H$73</f>
        <v>#N/A</v>
      </c>
      <c r="AB241" s="12" t="e">
        <f aca="false">+AB164*$H$73</f>
        <v>#N/A</v>
      </c>
      <c r="AC241" s="12" t="e">
        <f aca="false">+AC164*$H$73</f>
        <v>#N/A</v>
      </c>
    </row>
    <row r="242" customFormat="false" ht="11.25" hidden="false" customHeight="false" outlineLevel="0" collapsed="false">
      <c r="F242" s="12" t="s">
        <v>275</v>
      </c>
      <c r="M242" s="12" t="e">
        <f aca="false">M$23</f>
        <v>#N/A</v>
      </c>
    </row>
    <row r="243" customFormat="false" ht="11.25" hidden="false" customHeight="false" outlineLevel="0" collapsed="false">
      <c r="F243" s="43" t="s">
        <v>276</v>
      </c>
      <c r="M243" s="12" t="e">
        <f aca="false">M240-M241-M242</f>
        <v>#N/A</v>
      </c>
      <c r="N243" s="12" t="e">
        <f aca="false">+N240-N241-N242</f>
        <v>#N/A</v>
      </c>
      <c r="O243" s="12" t="e">
        <f aca="false">+O240-O241-O242</f>
        <v>#N/A</v>
      </c>
      <c r="P243" s="12" t="e">
        <f aca="false">+P240-P241-P242</f>
        <v>#N/A</v>
      </c>
      <c r="Q243" s="12" t="e">
        <f aca="false">+Q240-Q241-Q242</f>
        <v>#N/A</v>
      </c>
      <c r="R243" s="12" t="e">
        <f aca="false">+R240-R241-R242</f>
        <v>#N/A</v>
      </c>
      <c r="S243" s="12" t="e">
        <f aca="false">+S240-S241-S242</f>
        <v>#N/A</v>
      </c>
      <c r="T243" s="12" t="e">
        <f aca="false">+T240-T241-T242</f>
        <v>#N/A</v>
      </c>
      <c r="U243" s="12" t="e">
        <f aca="false">+U240-U241-U242</f>
        <v>#N/A</v>
      </c>
      <c r="V243" s="12" t="e">
        <f aca="false">+V240-V241-V242</f>
        <v>#N/A</v>
      </c>
      <c r="W243" s="12" t="e">
        <f aca="false">+W240-W241-W242</f>
        <v>#N/A</v>
      </c>
      <c r="X243" s="12" t="e">
        <f aca="false">+X240-X241-X242</f>
        <v>#N/A</v>
      </c>
      <c r="Y243" s="12" t="e">
        <f aca="false">+Y240-Y241-Y242</f>
        <v>#N/A</v>
      </c>
      <c r="Z243" s="12" t="e">
        <f aca="false">+Z240-Z241-Z242</f>
        <v>#N/A</v>
      </c>
      <c r="AA243" s="12" t="e">
        <f aca="false">+AA240-AA241-AA242</f>
        <v>#N/A</v>
      </c>
      <c r="AB243" s="12" t="e">
        <f aca="false">+AB240-AB241-AB242</f>
        <v>#N/A</v>
      </c>
      <c r="AC243" s="12" t="e">
        <f aca="false">+AC240-AC241-AC242</f>
        <v>#N/A</v>
      </c>
    </row>
    <row r="244" customFormat="false" ht="11.25" hidden="false" customHeight="false" outlineLevel="0" collapsed="false">
      <c r="F244" s="65" t="s">
        <v>260</v>
      </c>
      <c r="H244" s="162" t="e">
        <f aca="false">XIRR(M243:AC243,M94:AC94)</f>
        <v>#VALUE!</v>
      </c>
      <c r="M244" s="12" t="e">
        <f aca="false">NPV(10%,M243:$AC243)</f>
        <v>#N/A</v>
      </c>
      <c r="N244" s="12" t="e">
        <f aca="false">NPV(10%,N243:$AC243)</f>
        <v>#N/A</v>
      </c>
      <c r="O244" s="12" t="e">
        <f aca="false">NPV(10%,O243:$AC243)</f>
        <v>#N/A</v>
      </c>
      <c r="P244" s="12" t="e">
        <f aca="false">NPV(10%,P243:$AC243)</f>
        <v>#N/A</v>
      </c>
      <c r="Q244" s="12" t="e">
        <f aca="false">NPV(10%,Q243:$AC243)</f>
        <v>#N/A</v>
      </c>
      <c r="R244" s="12" t="e">
        <f aca="false">NPV(10%,R243:$AC243)</f>
        <v>#N/A</v>
      </c>
      <c r="S244" s="12" t="e">
        <f aca="false">NPV(10%,S243:$AC243)</f>
        <v>#N/A</v>
      </c>
      <c r="T244" s="12" t="e">
        <f aca="false">NPV(10%,T243:$AC243)</f>
        <v>#N/A</v>
      </c>
      <c r="U244" s="12" t="e">
        <f aca="false">NPV(10%,U243:$AC243)</f>
        <v>#N/A</v>
      </c>
      <c r="V244" s="12" t="e">
        <f aca="false">NPV(10%,V243:$AC243)</f>
        <v>#N/A</v>
      </c>
      <c r="W244" s="12" t="e">
        <f aca="false">NPV(10%,W243:$AC243)</f>
        <v>#N/A</v>
      </c>
      <c r="X244" s="12" t="e">
        <f aca="false">NPV(10%,X243:$AC243)</f>
        <v>#N/A</v>
      </c>
      <c r="Y244" s="12" t="e">
        <f aca="false">NPV(10%,Y243:$AC243)</f>
        <v>#N/A</v>
      </c>
      <c r="Z244" s="12" t="e">
        <f aca="false">NPV(10%,Z243:$AC243)</f>
        <v>#N/A</v>
      </c>
      <c r="AA244" s="12" t="e">
        <f aca="false">NPV(10%,AA243:$AC243)</f>
        <v>#N/A</v>
      </c>
      <c r="AB244" s="12" t="e">
        <f aca="false">NPV(10%,AB243:$AC243)</f>
        <v>#N/A</v>
      </c>
      <c r="AC244" s="12" t="e">
        <f aca="false">NPV(10%,AC243:$AC243)</f>
        <v>#N/A</v>
      </c>
    </row>
    <row r="245" customFormat="false" ht="11.25" hidden="false" customHeight="false" outlineLevel="0" collapsed="false">
      <c r="F245" s="43"/>
    </row>
    <row r="246" customFormat="false" ht="11.25" hidden="false" customHeight="false" outlineLevel="0" collapsed="false">
      <c r="F246" s="43" t="s">
        <v>277</v>
      </c>
      <c r="N246" s="12" t="e">
        <f aca="false">(+N168*N$53)+(N169*N$64)</f>
        <v>#N/A</v>
      </c>
      <c r="O246" s="12" t="e">
        <f aca="false">(+O168*O$53)+(O169*O$64)</f>
        <v>#N/A</v>
      </c>
      <c r="P246" s="12" t="e">
        <f aca="false">(+P168*P$53)+(P169*P$64)</f>
        <v>#N/A</v>
      </c>
      <c r="Q246" s="12" t="e">
        <f aca="false">(+Q168*Q$53)+(Q169*Q$64)</f>
        <v>#N/A</v>
      </c>
      <c r="R246" s="12" t="e">
        <f aca="false">(+R168*R$53)+(R169*R$64)</f>
        <v>#N/A</v>
      </c>
      <c r="S246" s="12" t="e">
        <f aca="false">(+S168*S$53)+(S169*S$64)</f>
        <v>#N/A</v>
      </c>
      <c r="T246" s="12" t="e">
        <f aca="false">(+T168*T$53)+(T169*T$64)</f>
        <v>#N/A</v>
      </c>
      <c r="U246" s="12" t="e">
        <f aca="false">(+U168*U$53)+(U169*U$64)</f>
        <v>#N/A</v>
      </c>
      <c r="V246" s="12" t="e">
        <f aca="false">(+V168*V$53)+(V169*V$64)</f>
        <v>#N/A</v>
      </c>
      <c r="W246" s="12" t="e">
        <f aca="false">(+W168*W$53)+(W169*W$64)</f>
        <v>#N/A</v>
      </c>
      <c r="X246" s="12" t="e">
        <f aca="false">(+X168*X$53)+(X169*X$64)</f>
        <v>#N/A</v>
      </c>
      <c r="Y246" s="12" t="e">
        <f aca="false">(+Y168*Y$53)+(Y169*Y$64)</f>
        <v>#N/A</v>
      </c>
      <c r="Z246" s="12" t="e">
        <f aca="false">(+Z168*Z$53)+(Z169*Z$64)</f>
        <v>#N/A</v>
      </c>
      <c r="AA246" s="12" t="e">
        <f aca="false">(+AA168*AA$53)+(AA169*AA$64)</f>
        <v>#N/A</v>
      </c>
      <c r="AB246" s="12" t="e">
        <f aca="false">(+AB168*AB$53)+(AB169*AB$64)</f>
        <v>#N/A</v>
      </c>
      <c r="AC246" s="12" t="e">
        <f aca="false">(+AC168*AC$53)+(AC169*AC$64)</f>
        <v>#N/A</v>
      </c>
    </row>
    <row r="247" customFormat="false" ht="11.25" hidden="false" customHeight="false" outlineLevel="0" collapsed="false">
      <c r="F247" s="12" t="s">
        <v>278</v>
      </c>
      <c r="N247" s="12" t="e">
        <f aca="false">+N167*$H$73</f>
        <v>#N/A</v>
      </c>
      <c r="O247" s="12" t="e">
        <f aca="false">+O167*$H$73</f>
        <v>#N/A</v>
      </c>
      <c r="P247" s="12" t="e">
        <f aca="false">+P167*$H$73</f>
        <v>#N/A</v>
      </c>
      <c r="Q247" s="12" t="e">
        <f aca="false">+Q167*$H$73</f>
        <v>#N/A</v>
      </c>
      <c r="R247" s="12" t="e">
        <f aca="false">+R167*$H$73</f>
        <v>#N/A</v>
      </c>
      <c r="S247" s="12" t="e">
        <f aca="false">+S167*$H$73</f>
        <v>#N/A</v>
      </c>
      <c r="T247" s="12" t="e">
        <f aca="false">+T167*$H$73</f>
        <v>#N/A</v>
      </c>
      <c r="U247" s="12" t="e">
        <f aca="false">+U167*$H$73</f>
        <v>#N/A</v>
      </c>
      <c r="V247" s="12" t="e">
        <f aca="false">+V167*$H$73</f>
        <v>#N/A</v>
      </c>
      <c r="W247" s="12" t="e">
        <f aca="false">+W167*$H$73</f>
        <v>#N/A</v>
      </c>
      <c r="X247" s="12" t="e">
        <f aca="false">+X167*$H$73</f>
        <v>#N/A</v>
      </c>
      <c r="Y247" s="12" t="e">
        <f aca="false">+Y167*$H$73</f>
        <v>#N/A</v>
      </c>
      <c r="Z247" s="12" t="e">
        <f aca="false">+Z167*$H$73</f>
        <v>#N/A</v>
      </c>
      <c r="AA247" s="12" t="e">
        <f aca="false">+AA167*$H$73</f>
        <v>#N/A</v>
      </c>
      <c r="AB247" s="12" t="e">
        <f aca="false">+AB167*$H$73</f>
        <v>#N/A</v>
      </c>
      <c r="AC247" s="12" t="e">
        <f aca="false">+AC167*$H$73</f>
        <v>#N/A</v>
      </c>
    </row>
    <row r="248" customFormat="false" ht="11.25" hidden="false" customHeight="false" outlineLevel="0" collapsed="false">
      <c r="F248" s="12" t="s">
        <v>279</v>
      </c>
      <c r="N248" s="12" t="e">
        <f aca="false">N$23</f>
        <v>#N/A</v>
      </c>
    </row>
    <row r="249" customFormat="false" ht="11.25" hidden="false" customHeight="false" outlineLevel="0" collapsed="false">
      <c r="F249" s="43" t="s">
        <v>280</v>
      </c>
      <c r="N249" s="12" t="e">
        <f aca="false">N246-N247-N248</f>
        <v>#N/A</v>
      </c>
      <c r="O249" s="12" t="e">
        <f aca="false">+O246-O247-O248</f>
        <v>#N/A</v>
      </c>
      <c r="P249" s="12" t="e">
        <f aca="false">+P246-P247-P248</f>
        <v>#N/A</v>
      </c>
      <c r="Q249" s="12" t="e">
        <f aca="false">+Q246-Q247-Q248</f>
        <v>#N/A</v>
      </c>
      <c r="R249" s="12" t="e">
        <f aca="false">+R246-R247-R248</f>
        <v>#N/A</v>
      </c>
      <c r="S249" s="12" t="e">
        <f aca="false">+S246-S247-S248</f>
        <v>#N/A</v>
      </c>
      <c r="T249" s="12" t="e">
        <f aca="false">+T246-T247-T248</f>
        <v>#N/A</v>
      </c>
      <c r="U249" s="12" t="e">
        <f aca="false">+U246-U247-U248</f>
        <v>#N/A</v>
      </c>
      <c r="V249" s="12" t="e">
        <f aca="false">+V246-V247-V248</f>
        <v>#N/A</v>
      </c>
      <c r="W249" s="12" t="e">
        <f aca="false">+W246-W247-W248</f>
        <v>#N/A</v>
      </c>
      <c r="X249" s="12" t="e">
        <f aca="false">+X246-X247-X248</f>
        <v>#N/A</v>
      </c>
      <c r="Y249" s="12" t="e">
        <f aca="false">+Y246-Y247-Y248</f>
        <v>#N/A</v>
      </c>
      <c r="Z249" s="12" t="e">
        <f aca="false">+Z246-Z247-Z248</f>
        <v>#N/A</v>
      </c>
      <c r="AA249" s="12" t="e">
        <f aca="false">+AA246-AA247-AA248</f>
        <v>#N/A</v>
      </c>
      <c r="AB249" s="12" t="e">
        <f aca="false">+AB246-AB247-AB248</f>
        <v>#N/A</v>
      </c>
      <c r="AC249" s="12" t="e">
        <f aca="false">+AC246-AC247-AC248</f>
        <v>#N/A</v>
      </c>
    </row>
    <row r="250" customFormat="false" ht="11.25" hidden="false" customHeight="false" outlineLevel="0" collapsed="false">
      <c r="F250" s="65" t="s">
        <v>260</v>
      </c>
      <c r="H250" s="162" t="e">
        <f aca="false">XIRR(N249:AC249,N94:AC94)</f>
        <v>#VALUE!</v>
      </c>
      <c r="N250" s="12" t="e">
        <f aca="false">NPV(10%,N249:$AC249)</f>
        <v>#N/A</v>
      </c>
      <c r="O250" s="12" t="e">
        <f aca="false">NPV(10%,O249:$AC249)</f>
        <v>#N/A</v>
      </c>
      <c r="P250" s="12" t="e">
        <f aca="false">NPV(10%,P249:$AC249)</f>
        <v>#N/A</v>
      </c>
      <c r="Q250" s="12" t="e">
        <f aca="false">NPV(10%,Q249:$AC249)</f>
        <v>#N/A</v>
      </c>
      <c r="R250" s="12" t="e">
        <f aca="false">NPV(10%,R249:$AC249)</f>
        <v>#N/A</v>
      </c>
      <c r="S250" s="12" t="e">
        <f aca="false">NPV(10%,S249:$AC249)</f>
        <v>#N/A</v>
      </c>
      <c r="T250" s="12" t="e">
        <f aca="false">NPV(10%,T249:$AC249)</f>
        <v>#N/A</v>
      </c>
      <c r="U250" s="12" t="e">
        <f aca="false">NPV(10%,U249:$AC249)</f>
        <v>#N/A</v>
      </c>
      <c r="V250" s="12" t="e">
        <f aca="false">NPV(10%,V249:$AC249)</f>
        <v>#N/A</v>
      </c>
      <c r="W250" s="12" t="e">
        <f aca="false">NPV(10%,W249:$AC249)</f>
        <v>#N/A</v>
      </c>
      <c r="X250" s="12" t="e">
        <f aca="false">NPV(10%,X249:$AC249)</f>
        <v>#N/A</v>
      </c>
      <c r="Y250" s="12" t="e">
        <f aca="false">NPV(10%,Y249:$AC249)</f>
        <v>#N/A</v>
      </c>
      <c r="Z250" s="12" t="e">
        <f aca="false">NPV(10%,Z249:$AC249)</f>
        <v>#N/A</v>
      </c>
      <c r="AA250" s="12" t="e">
        <f aca="false">NPV(10%,AA249:$AC249)</f>
        <v>#N/A</v>
      </c>
      <c r="AB250" s="12" t="e">
        <f aca="false">NPV(10%,AB249:$AC249)</f>
        <v>#N/A</v>
      </c>
      <c r="AC250" s="12" t="e">
        <f aca="false">NPV(10%,AC249:$AC249)</f>
        <v>#N/A</v>
      </c>
    </row>
    <row r="251" customFormat="false" ht="11.25" hidden="false" customHeight="false" outlineLevel="0" collapsed="false">
      <c r="F251" s="43"/>
    </row>
    <row r="252" customFormat="false" ht="11.25" hidden="false" customHeight="false" outlineLevel="0" collapsed="false">
      <c r="F252" s="43" t="s">
        <v>281</v>
      </c>
      <c r="O252" s="12" t="e">
        <f aca="false">(+O1973*O$53)+(O172*O$64)</f>
        <v>#N/A</v>
      </c>
      <c r="P252" s="12" t="e">
        <f aca="false">(+P171*P$53)+(P172*P$64)</f>
        <v>#N/A</v>
      </c>
      <c r="Q252" s="12" t="e">
        <f aca="false">(+Q171*Q$53)+(Q172*Q$64)</f>
        <v>#N/A</v>
      </c>
      <c r="R252" s="12" t="e">
        <f aca="false">(+R171*R$53)+(R172*R$64)</f>
        <v>#N/A</v>
      </c>
      <c r="S252" s="12" t="e">
        <f aca="false">(+S171*S$53)+(S172*S$64)</f>
        <v>#N/A</v>
      </c>
      <c r="T252" s="12" t="e">
        <f aca="false">(+T171*T$53)+(T172*T$64)</f>
        <v>#N/A</v>
      </c>
      <c r="U252" s="12" t="e">
        <f aca="false">(+U171*U$53)+(U172*U$64)</f>
        <v>#N/A</v>
      </c>
      <c r="V252" s="12" t="e">
        <f aca="false">(+V171*V$53)+(V172*V$64)</f>
        <v>#N/A</v>
      </c>
      <c r="W252" s="12" t="e">
        <f aca="false">(+W171*W$53)+(W172*W$64)</f>
        <v>#N/A</v>
      </c>
      <c r="X252" s="12" t="e">
        <f aca="false">(+X171*X$53)+(X172*X$64)</f>
        <v>#N/A</v>
      </c>
      <c r="Y252" s="12" t="e">
        <f aca="false">(+Y171*Y$53)+(Y172*Y$64)</f>
        <v>#N/A</v>
      </c>
      <c r="Z252" s="12" t="e">
        <f aca="false">(+Z171*Z$53)+(Z172*Z$64)</f>
        <v>#N/A</v>
      </c>
      <c r="AA252" s="12" t="e">
        <f aca="false">(+AA171*AA$53)+(AA172*AA$64)</f>
        <v>#N/A</v>
      </c>
      <c r="AB252" s="12" t="e">
        <f aca="false">(+AB171*AB$53)+(AB172*AB$64)</f>
        <v>#N/A</v>
      </c>
      <c r="AC252" s="12" t="e">
        <f aca="false">(+AC171*AC$53)+(AC172*AC$64)</f>
        <v>#N/A</v>
      </c>
    </row>
    <row r="253" customFormat="false" ht="11.25" hidden="false" customHeight="false" outlineLevel="0" collapsed="false">
      <c r="F253" s="43" t="s">
        <v>282</v>
      </c>
      <c r="O253" s="12" t="e">
        <f aca="false">+O170*$H$73</f>
        <v>#N/A</v>
      </c>
      <c r="P253" s="12" t="e">
        <f aca="false">+P170*$H$73</f>
        <v>#N/A</v>
      </c>
      <c r="Q253" s="12" t="e">
        <f aca="false">+Q170*$H$73</f>
        <v>#N/A</v>
      </c>
      <c r="R253" s="12" t="e">
        <f aca="false">+R170*$H$73</f>
        <v>#N/A</v>
      </c>
      <c r="S253" s="12" t="e">
        <f aca="false">+S170*$H$73</f>
        <v>#N/A</v>
      </c>
      <c r="T253" s="12" t="e">
        <f aca="false">+T170*$H$73</f>
        <v>#N/A</v>
      </c>
      <c r="U253" s="12" t="e">
        <f aca="false">+U170*$H$73</f>
        <v>#N/A</v>
      </c>
      <c r="V253" s="12" t="e">
        <f aca="false">+V170*$H$73</f>
        <v>#N/A</v>
      </c>
      <c r="W253" s="12" t="e">
        <f aca="false">+W170*$H$73</f>
        <v>#N/A</v>
      </c>
      <c r="X253" s="12" t="e">
        <f aca="false">+X170*$H$73</f>
        <v>#N/A</v>
      </c>
      <c r="Y253" s="12" t="e">
        <f aca="false">+Y170*$H$73</f>
        <v>#N/A</v>
      </c>
      <c r="Z253" s="12" t="e">
        <f aca="false">+Z170*$H$73</f>
        <v>#N/A</v>
      </c>
      <c r="AA253" s="12" t="e">
        <f aca="false">+AA170*$H$73</f>
        <v>#N/A</v>
      </c>
      <c r="AB253" s="12" t="e">
        <f aca="false">+AB170*$H$73</f>
        <v>#N/A</v>
      </c>
      <c r="AC253" s="12" t="e">
        <f aca="false">+AC170*$H$73</f>
        <v>#N/A</v>
      </c>
    </row>
    <row r="254" customFormat="false" ht="11.25" hidden="false" customHeight="false" outlineLevel="0" collapsed="false">
      <c r="F254" s="43" t="s">
        <v>283</v>
      </c>
      <c r="O254" s="12" t="e">
        <f aca="false">O$23</f>
        <v>#N/A</v>
      </c>
    </row>
    <row r="255" customFormat="false" ht="11.25" hidden="false" customHeight="false" outlineLevel="0" collapsed="false">
      <c r="F255" s="43" t="s">
        <v>284</v>
      </c>
      <c r="O255" s="12" t="e">
        <f aca="false">O252-O253-O254</f>
        <v>#N/A</v>
      </c>
      <c r="P255" s="12" t="e">
        <f aca="false">+P252-P253-P254</f>
        <v>#N/A</v>
      </c>
      <c r="Q255" s="12" t="e">
        <f aca="false">+Q252-Q253-Q254</f>
        <v>#N/A</v>
      </c>
      <c r="R255" s="12" t="e">
        <f aca="false">+R252-R253-R254</f>
        <v>#N/A</v>
      </c>
      <c r="S255" s="12" t="e">
        <f aca="false">+S252-S253-S254</f>
        <v>#N/A</v>
      </c>
      <c r="T255" s="12" t="e">
        <f aca="false">+T252-T253-T254</f>
        <v>#N/A</v>
      </c>
      <c r="U255" s="12" t="e">
        <f aca="false">+U252-U253-U254</f>
        <v>#N/A</v>
      </c>
      <c r="V255" s="12" t="e">
        <f aca="false">+V252-V253-V254</f>
        <v>#N/A</v>
      </c>
      <c r="W255" s="12" t="e">
        <f aca="false">+W252-W253-W254</f>
        <v>#N/A</v>
      </c>
      <c r="X255" s="12" t="e">
        <f aca="false">+X252-X253-X254</f>
        <v>#N/A</v>
      </c>
      <c r="Y255" s="12" t="e">
        <f aca="false">+Y252-Y253-Y254</f>
        <v>#N/A</v>
      </c>
      <c r="Z255" s="12" t="e">
        <f aca="false">+Z252-Z253-Z254</f>
        <v>#N/A</v>
      </c>
      <c r="AA255" s="12" t="e">
        <f aca="false">+AA252-AA253-AA254</f>
        <v>#N/A</v>
      </c>
      <c r="AB255" s="12" t="e">
        <f aca="false">+AB252-AB253-AB254</f>
        <v>#N/A</v>
      </c>
      <c r="AC255" s="12" t="e">
        <f aca="false">+AC252-AC253-AC254</f>
        <v>#N/A</v>
      </c>
    </row>
    <row r="256" customFormat="false" ht="11.25" hidden="false" customHeight="false" outlineLevel="0" collapsed="false">
      <c r="F256" s="65" t="s">
        <v>260</v>
      </c>
      <c r="H256" s="162" t="e">
        <f aca="false">XIRR(O255:AC255,O94:AC94)</f>
        <v>#VALUE!</v>
      </c>
      <c r="O256" s="12" t="e">
        <f aca="false">NPV(10%,O255:$AC255)</f>
        <v>#N/A</v>
      </c>
      <c r="P256" s="12" t="e">
        <f aca="false">NPV(10%,P255:$AC255)</f>
        <v>#N/A</v>
      </c>
      <c r="Q256" s="12" t="e">
        <f aca="false">NPV(10%,Q255:$AC255)</f>
        <v>#N/A</v>
      </c>
      <c r="R256" s="12" t="e">
        <f aca="false">NPV(10%,R255:$AC255)</f>
        <v>#N/A</v>
      </c>
      <c r="S256" s="12" t="e">
        <f aca="false">NPV(10%,S255:$AC255)</f>
        <v>#N/A</v>
      </c>
      <c r="T256" s="12" t="e">
        <f aca="false">NPV(10%,T255:$AC255)</f>
        <v>#N/A</v>
      </c>
      <c r="U256" s="12" t="e">
        <f aca="false">NPV(10%,U255:$AC255)</f>
        <v>#N/A</v>
      </c>
      <c r="V256" s="12" t="e">
        <f aca="false">NPV(10%,V255:$AC255)</f>
        <v>#N/A</v>
      </c>
      <c r="W256" s="12" t="e">
        <f aca="false">NPV(10%,W255:$AC255)</f>
        <v>#N/A</v>
      </c>
      <c r="X256" s="12" t="e">
        <f aca="false">NPV(10%,X255:$AC255)</f>
        <v>#N/A</v>
      </c>
      <c r="Y256" s="12" t="e">
        <f aca="false">NPV(10%,Y255:$AC255)</f>
        <v>#N/A</v>
      </c>
      <c r="Z256" s="12" t="e">
        <f aca="false">NPV(10%,Z255:$AC255)</f>
        <v>#N/A</v>
      </c>
      <c r="AA256" s="12" t="e">
        <f aca="false">NPV(10%,AA255:$AC255)</f>
        <v>#N/A</v>
      </c>
      <c r="AB256" s="12" t="e">
        <f aca="false">NPV(10%,AB255:$AC255)</f>
        <v>#N/A</v>
      </c>
      <c r="AC256" s="12" t="e">
        <f aca="false">NPV(10%,AC255:$AC255)</f>
        <v>#N/A</v>
      </c>
    </row>
    <row r="257" customFormat="false" ht="11.25" hidden="false" customHeight="false" outlineLevel="0" collapsed="false">
      <c r="F257" s="43"/>
    </row>
    <row r="258" customFormat="false" ht="11.25" hidden="false" customHeight="false" outlineLevel="0" collapsed="false">
      <c r="F258" s="43" t="s">
        <v>285</v>
      </c>
      <c r="P258" s="12" t="e">
        <f aca="false">(+P174*P$53)+(P175*P$64)</f>
        <v>#N/A</v>
      </c>
      <c r="Q258" s="12" t="e">
        <f aca="false">(+Q174*Q$53)+(Q175*Q$64)</f>
        <v>#N/A</v>
      </c>
      <c r="R258" s="12" t="e">
        <f aca="false">(+R174*R$53)+(R175*R$64)</f>
        <v>#N/A</v>
      </c>
      <c r="S258" s="12" t="e">
        <f aca="false">(+S174*S$53)+(S175*S$64)</f>
        <v>#N/A</v>
      </c>
      <c r="T258" s="12" t="e">
        <f aca="false">(+T174*T$53)+(T175*T$64)</f>
        <v>#N/A</v>
      </c>
      <c r="U258" s="12" t="e">
        <f aca="false">(+U174*U$53)+(U175*U$64)</f>
        <v>#N/A</v>
      </c>
      <c r="V258" s="12" t="e">
        <f aca="false">(+V174*V$53)+(V175*V$64)</f>
        <v>#N/A</v>
      </c>
      <c r="W258" s="12" t="e">
        <f aca="false">(+W174*W$53)+(W175*W$64)</f>
        <v>#N/A</v>
      </c>
      <c r="X258" s="12" t="e">
        <f aca="false">(+X174*X$53)+(X175*X$64)</f>
        <v>#N/A</v>
      </c>
      <c r="Y258" s="12" t="e">
        <f aca="false">(+Y174*Y$53)+(Y175*Y$64)</f>
        <v>#N/A</v>
      </c>
      <c r="Z258" s="12" t="e">
        <f aca="false">(+Z174*Z$53)+(Z175*Z$64)</f>
        <v>#N/A</v>
      </c>
      <c r="AA258" s="12" t="e">
        <f aca="false">(+AA174*AA$53)+(AA175*AA$64)</f>
        <v>#N/A</v>
      </c>
      <c r="AB258" s="12" t="e">
        <f aca="false">(+AB174*AB$53)+(AB175*AB$64)</f>
        <v>#N/A</v>
      </c>
      <c r="AC258" s="12" t="e">
        <f aca="false">(+AC174*AC$53)+(AC175*AC$64)</f>
        <v>#N/A</v>
      </c>
    </row>
    <row r="259" customFormat="false" ht="11.25" hidden="false" customHeight="false" outlineLevel="0" collapsed="false">
      <c r="F259" s="43" t="s">
        <v>286</v>
      </c>
      <c r="P259" s="12" t="e">
        <f aca="false">+P173*$H$73</f>
        <v>#N/A</v>
      </c>
      <c r="Q259" s="12" t="e">
        <f aca="false">+Q173*$H$73</f>
        <v>#N/A</v>
      </c>
      <c r="R259" s="12" t="e">
        <f aca="false">+R173*$H$73</f>
        <v>#N/A</v>
      </c>
      <c r="S259" s="12" t="e">
        <f aca="false">+S173*$H$73</f>
        <v>#N/A</v>
      </c>
      <c r="T259" s="12" t="e">
        <f aca="false">+T173*$H$73</f>
        <v>#N/A</v>
      </c>
      <c r="U259" s="12" t="e">
        <f aca="false">+U173*$H$73</f>
        <v>#N/A</v>
      </c>
      <c r="V259" s="12" t="e">
        <f aca="false">+V173*$H$73</f>
        <v>#N/A</v>
      </c>
      <c r="W259" s="12" t="e">
        <f aca="false">+W173*$H$73</f>
        <v>#N/A</v>
      </c>
      <c r="X259" s="12" t="e">
        <f aca="false">+X173*$H$73</f>
        <v>#N/A</v>
      </c>
      <c r="Y259" s="12" t="e">
        <f aca="false">+Y173*$H$73</f>
        <v>#N/A</v>
      </c>
      <c r="Z259" s="12" t="e">
        <f aca="false">+Z173*$H$73</f>
        <v>#N/A</v>
      </c>
      <c r="AA259" s="12" t="e">
        <f aca="false">+AA173*$H$73</f>
        <v>#N/A</v>
      </c>
      <c r="AB259" s="12" t="e">
        <f aca="false">+AB173*$H$73</f>
        <v>#N/A</v>
      </c>
      <c r="AC259" s="12" t="e">
        <f aca="false">+AC173*$H$73</f>
        <v>#N/A</v>
      </c>
    </row>
    <row r="260" customFormat="false" ht="11.25" hidden="false" customHeight="false" outlineLevel="0" collapsed="false">
      <c r="F260" s="43" t="s">
        <v>287</v>
      </c>
      <c r="P260" s="12" t="e">
        <f aca="false">P$23</f>
        <v>#N/A</v>
      </c>
    </row>
    <row r="261" customFormat="false" ht="11.25" hidden="false" customHeight="false" outlineLevel="0" collapsed="false">
      <c r="F261" s="43" t="s">
        <v>288</v>
      </c>
      <c r="P261" s="12" t="e">
        <f aca="false">P258-P259-P260</f>
        <v>#N/A</v>
      </c>
      <c r="Q261" s="12" t="e">
        <f aca="false">+Q258-Q259-Q260</f>
        <v>#N/A</v>
      </c>
      <c r="R261" s="12" t="e">
        <f aca="false">+R258-R259-R260</f>
        <v>#N/A</v>
      </c>
      <c r="S261" s="12" t="e">
        <f aca="false">+S258-S259-S260</f>
        <v>#N/A</v>
      </c>
      <c r="T261" s="12" t="e">
        <f aca="false">+T258-T259-T260</f>
        <v>#N/A</v>
      </c>
      <c r="U261" s="12" t="e">
        <f aca="false">+U258-U259-U260</f>
        <v>#N/A</v>
      </c>
      <c r="V261" s="12" t="e">
        <f aca="false">+V258-V259-V260</f>
        <v>#N/A</v>
      </c>
      <c r="W261" s="12" t="e">
        <f aca="false">+W258-W259-W260</f>
        <v>#N/A</v>
      </c>
      <c r="X261" s="12" t="e">
        <f aca="false">+X258-X259-X260</f>
        <v>#N/A</v>
      </c>
      <c r="Y261" s="12" t="e">
        <f aca="false">+Y258-Y259-Y260</f>
        <v>#N/A</v>
      </c>
      <c r="Z261" s="12" t="e">
        <f aca="false">+Z258-Z259-Z260</f>
        <v>#N/A</v>
      </c>
      <c r="AA261" s="12" t="e">
        <f aca="false">+AA258-AA259-AA260</f>
        <v>#N/A</v>
      </c>
      <c r="AB261" s="12" t="e">
        <f aca="false">+AB258-AB259-AB260</f>
        <v>#N/A</v>
      </c>
      <c r="AC261" s="12" t="e">
        <f aca="false">+AC258-AC259-AC260</f>
        <v>#N/A</v>
      </c>
    </row>
    <row r="262" customFormat="false" ht="11.25" hidden="false" customHeight="false" outlineLevel="0" collapsed="false">
      <c r="F262" s="65" t="s">
        <v>260</v>
      </c>
      <c r="H262" s="162" t="e">
        <f aca="false">XIRR(P261:AC261,P94:AC94)</f>
        <v>#VALUE!</v>
      </c>
      <c r="P262" s="12" t="e">
        <f aca="false">NPV(10%,P261:$AC261)</f>
        <v>#N/A</v>
      </c>
      <c r="Q262" s="12" t="e">
        <f aca="false">NPV(10%,Q261:$AC261)</f>
        <v>#N/A</v>
      </c>
      <c r="R262" s="12" t="e">
        <f aca="false">NPV(10%,R261:$AC261)</f>
        <v>#N/A</v>
      </c>
      <c r="S262" s="12" t="e">
        <f aca="false">NPV(10%,S261:$AC261)</f>
        <v>#N/A</v>
      </c>
      <c r="T262" s="12" t="e">
        <f aca="false">NPV(10%,T261:$AC261)</f>
        <v>#N/A</v>
      </c>
      <c r="U262" s="12" t="e">
        <f aca="false">NPV(10%,U261:$AC261)</f>
        <v>#N/A</v>
      </c>
      <c r="V262" s="12" t="e">
        <f aca="false">NPV(10%,V261:$AC261)</f>
        <v>#N/A</v>
      </c>
      <c r="W262" s="12" t="e">
        <f aca="false">NPV(10%,W261:$AC261)</f>
        <v>#N/A</v>
      </c>
      <c r="X262" s="12" t="e">
        <f aca="false">NPV(10%,X261:$AC261)</f>
        <v>#N/A</v>
      </c>
      <c r="Y262" s="12" t="e">
        <f aca="false">NPV(10%,Y261:$AC261)</f>
        <v>#N/A</v>
      </c>
      <c r="Z262" s="12" t="e">
        <f aca="false">NPV(10%,Z261:$AC261)</f>
        <v>#N/A</v>
      </c>
      <c r="AA262" s="12" t="e">
        <f aca="false">NPV(10%,AA261:$AC261)</f>
        <v>#N/A</v>
      </c>
      <c r="AB262" s="12" t="e">
        <f aca="false">NPV(10%,AB261:$AC261)</f>
        <v>#N/A</v>
      </c>
      <c r="AC262" s="12" t="e">
        <f aca="false">NPV(10%,AC261:$AC261)</f>
        <v>#N/A</v>
      </c>
    </row>
    <row r="263" customFormat="false" ht="11.25" hidden="false" customHeight="false" outlineLevel="0" collapsed="false">
      <c r="F263" s="43"/>
    </row>
    <row r="264" customFormat="false" ht="11.25" hidden="false" customHeight="false" outlineLevel="0" collapsed="false">
      <c r="F264" s="43" t="s">
        <v>289</v>
      </c>
      <c r="Q264" s="12" t="e">
        <f aca="false">(+Q177*Q$53)+(Q178*Q$64)</f>
        <v>#N/A</v>
      </c>
      <c r="R264" s="12" t="e">
        <f aca="false">(+R177*R$53)+(R178*R$64)</f>
        <v>#N/A</v>
      </c>
      <c r="S264" s="12" t="e">
        <f aca="false">(+S177*S$53)+(S178*S$64)</f>
        <v>#N/A</v>
      </c>
      <c r="T264" s="12" t="e">
        <f aca="false">(+T177*T$53)+(T178*T$64)</f>
        <v>#N/A</v>
      </c>
      <c r="U264" s="12" t="e">
        <f aca="false">(+U177*U$53)+(U178*U$64)</f>
        <v>#N/A</v>
      </c>
      <c r="V264" s="12" t="e">
        <f aca="false">(+V177*V$53)+(V178*V$64)</f>
        <v>#N/A</v>
      </c>
      <c r="W264" s="12" t="e">
        <f aca="false">(+W177*W$53)+(W178*W$64)</f>
        <v>#N/A</v>
      </c>
      <c r="X264" s="12" t="e">
        <f aca="false">(+X177*X$53)+(X178*X$64)</f>
        <v>#N/A</v>
      </c>
      <c r="Y264" s="12" t="e">
        <f aca="false">(+Y177*Y$53)+(Y178*Y$64)</f>
        <v>#N/A</v>
      </c>
      <c r="Z264" s="12" t="e">
        <f aca="false">(+Z177*Z$53)+(Z178*Z$64)</f>
        <v>#N/A</v>
      </c>
      <c r="AA264" s="12" t="e">
        <f aca="false">(+AA177*AA$53)+(AA178*AA$64)</f>
        <v>#N/A</v>
      </c>
      <c r="AB264" s="12" t="e">
        <f aca="false">(+AB177*AB$53)+(AB178*AB$64)</f>
        <v>#N/A</v>
      </c>
      <c r="AC264" s="12" t="e">
        <f aca="false">(+AC177*AC$53)+(AC178*AC$64)</f>
        <v>#N/A</v>
      </c>
    </row>
    <row r="265" customFormat="false" ht="11.25" hidden="false" customHeight="false" outlineLevel="0" collapsed="false">
      <c r="F265" s="43" t="s">
        <v>290</v>
      </c>
      <c r="Q265" s="12" t="e">
        <f aca="false">+Q176*$H$73</f>
        <v>#N/A</v>
      </c>
      <c r="R265" s="12" t="e">
        <f aca="false">+R176*$H$73</f>
        <v>#N/A</v>
      </c>
      <c r="S265" s="12" t="e">
        <f aca="false">+S176*$H$73</f>
        <v>#N/A</v>
      </c>
      <c r="T265" s="12" t="e">
        <f aca="false">+T176*$H$73</f>
        <v>#N/A</v>
      </c>
      <c r="U265" s="12" t="e">
        <f aca="false">+U176*$H$73</f>
        <v>#N/A</v>
      </c>
      <c r="V265" s="12" t="e">
        <f aca="false">+V176*$H$73</f>
        <v>#N/A</v>
      </c>
      <c r="W265" s="12" t="e">
        <f aca="false">+W176*$H$73</f>
        <v>#N/A</v>
      </c>
      <c r="X265" s="12" t="e">
        <f aca="false">+X176*$H$73</f>
        <v>#N/A</v>
      </c>
      <c r="Y265" s="12" t="e">
        <f aca="false">+Y176*$H$73</f>
        <v>#N/A</v>
      </c>
      <c r="Z265" s="12" t="e">
        <f aca="false">+Z176*$H$73</f>
        <v>#N/A</v>
      </c>
      <c r="AA265" s="12" t="e">
        <f aca="false">+AA176*$H$73</f>
        <v>#N/A</v>
      </c>
      <c r="AB265" s="12" t="e">
        <f aca="false">+AB176*$H$73</f>
        <v>#N/A</v>
      </c>
      <c r="AC265" s="12" t="e">
        <f aca="false">+AC176*$H$73</f>
        <v>#N/A</v>
      </c>
    </row>
    <row r="266" customFormat="false" ht="11.25" hidden="false" customHeight="false" outlineLevel="0" collapsed="false">
      <c r="F266" s="43" t="s">
        <v>291</v>
      </c>
      <c r="Q266" s="12" t="e">
        <f aca="false">Q$23</f>
        <v>#N/A</v>
      </c>
    </row>
    <row r="267" customFormat="false" ht="11.25" hidden="false" customHeight="false" outlineLevel="0" collapsed="false">
      <c r="F267" s="43" t="s">
        <v>292</v>
      </c>
      <c r="Q267" s="12" t="e">
        <f aca="false">+Q264-Q265-Q266</f>
        <v>#N/A</v>
      </c>
      <c r="R267" s="12" t="e">
        <f aca="false">+R264-R265-R266</f>
        <v>#N/A</v>
      </c>
      <c r="S267" s="12" t="e">
        <f aca="false">+S264-S265-S266</f>
        <v>#N/A</v>
      </c>
      <c r="T267" s="12" t="e">
        <f aca="false">+T264-T265-T266</f>
        <v>#N/A</v>
      </c>
      <c r="U267" s="12" t="e">
        <f aca="false">+U264-U265-U266</f>
        <v>#N/A</v>
      </c>
      <c r="V267" s="12" t="e">
        <f aca="false">+V264-V265-V266</f>
        <v>#N/A</v>
      </c>
      <c r="W267" s="12" t="e">
        <f aca="false">+W264-W265-W266</f>
        <v>#N/A</v>
      </c>
      <c r="X267" s="12" t="e">
        <f aca="false">+X264-X265-X266</f>
        <v>#N/A</v>
      </c>
      <c r="Y267" s="12" t="e">
        <f aca="false">+Y264-Y265-Y266</f>
        <v>#N/A</v>
      </c>
      <c r="Z267" s="12" t="e">
        <f aca="false">+Z264-Z265-Z266</f>
        <v>#N/A</v>
      </c>
      <c r="AA267" s="12" t="e">
        <f aca="false">+AA264-AA265-AA266</f>
        <v>#N/A</v>
      </c>
      <c r="AB267" s="12" t="e">
        <f aca="false">+AB264-AB265-AB266</f>
        <v>#N/A</v>
      </c>
      <c r="AC267" s="12" t="e">
        <f aca="false">+AC264-AC265-AC266</f>
        <v>#N/A</v>
      </c>
    </row>
    <row r="268" customFormat="false" ht="11.25" hidden="false" customHeight="false" outlineLevel="0" collapsed="false">
      <c r="F268" s="65" t="s">
        <v>260</v>
      </c>
      <c r="H268" s="162" t="e">
        <f aca="false">XIRR(Q267:AC267,Q94:AC94)</f>
        <v>#VALUE!</v>
      </c>
      <c r="Q268" s="12" t="e">
        <f aca="false">NPV(10%,Q267:$AC267)</f>
        <v>#N/A</v>
      </c>
      <c r="R268" s="12" t="e">
        <f aca="false">NPV(10%,R267:$AC267)</f>
        <v>#N/A</v>
      </c>
      <c r="S268" s="12" t="e">
        <f aca="false">NPV(10%,S267:$AC267)</f>
        <v>#N/A</v>
      </c>
      <c r="T268" s="12" t="e">
        <f aca="false">NPV(10%,T267:$AC267)</f>
        <v>#N/A</v>
      </c>
      <c r="U268" s="12" t="e">
        <f aca="false">NPV(10%,U267:$AC267)</f>
        <v>#N/A</v>
      </c>
      <c r="V268" s="12" t="e">
        <f aca="false">NPV(10%,V267:$AC267)</f>
        <v>#N/A</v>
      </c>
      <c r="W268" s="12" t="e">
        <f aca="false">NPV(10%,W267:$AC267)</f>
        <v>#N/A</v>
      </c>
      <c r="X268" s="12" t="e">
        <f aca="false">NPV(10%,X267:$AC267)</f>
        <v>#N/A</v>
      </c>
      <c r="Y268" s="12" t="e">
        <f aca="false">NPV(10%,Y267:$AC267)</f>
        <v>#N/A</v>
      </c>
      <c r="Z268" s="12" t="e">
        <f aca="false">NPV(10%,Z267:$AC267)</f>
        <v>#N/A</v>
      </c>
      <c r="AA268" s="12" t="e">
        <f aca="false">NPV(10%,AA267:$AC267)</f>
        <v>#N/A</v>
      </c>
      <c r="AB268" s="12" t="e">
        <f aca="false">NPV(10%,AB267:$AC267)</f>
        <v>#N/A</v>
      </c>
      <c r="AC268" s="12" t="e">
        <f aca="false">NPV(10%,AC267:$AC267)</f>
        <v>#N/A</v>
      </c>
    </row>
    <row r="269" customFormat="false" ht="11.25" hidden="false" customHeight="false" outlineLevel="0" collapsed="false">
      <c r="F269" s="43"/>
    </row>
    <row r="270" customFormat="false" ht="11.25" hidden="false" customHeight="false" outlineLevel="0" collapsed="false">
      <c r="F270" s="43" t="s">
        <v>293</v>
      </c>
      <c r="R270" s="12" t="e">
        <f aca="false">(+R180*R$53)+(R181*R$64)</f>
        <v>#N/A</v>
      </c>
      <c r="S270" s="12" t="e">
        <f aca="false">(+S180*S$53)+(S181*S$64)</f>
        <v>#N/A</v>
      </c>
      <c r="T270" s="12" t="e">
        <f aca="false">(+T180*T$53)+(T181*T$64)</f>
        <v>#N/A</v>
      </c>
      <c r="U270" s="12" t="e">
        <f aca="false">(+U180*U$53)+(U181*U$64)</f>
        <v>#N/A</v>
      </c>
      <c r="V270" s="12" t="e">
        <f aca="false">(+V180*V$53)+(V181*V$64)</f>
        <v>#N/A</v>
      </c>
      <c r="W270" s="12" t="e">
        <f aca="false">(+W180*W$53)+(W181*W$64)</f>
        <v>#N/A</v>
      </c>
      <c r="X270" s="12" t="e">
        <f aca="false">(+X180*X$53)+(X181*X$64)</f>
        <v>#N/A</v>
      </c>
      <c r="Y270" s="12" t="e">
        <f aca="false">(+Y180*Y$53)+(Y181*Y$64)</f>
        <v>#N/A</v>
      </c>
      <c r="Z270" s="12" t="e">
        <f aca="false">(+Z180*Z$53)+(Z181*Z$64)</f>
        <v>#N/A</v>
      </c>
      <c r="AA270" s="12" t="e">
        <f aca="false">(+AA180*AA$53)+(AA181*AA$64)</f>
        <v>#N/A</v>
      </c>
      <c r="AB270" s="12" t="e">
        <f aca="false">(+AB180*AB$53)+(AB181*AB$64)</f>
        <v>#N/A</v>
      </c>
      <c r="AC270" s="12" t="e">
        <f aca="false">(+AC180*AC$53)+(AC181*AC$64)</f>
        <v>#N/A</v>
      </c>
    </row>
    <row r="271" customFormat="false" ht="11.25" hidden="false" customHeight="false" outlineLevel="0" collapsed="false">
      <c r="F271" s="43" t="s">
        <v>294</v>
      </c>
      <c r="R271" s="12" t="e">
        <f aca="false">+R179*$H$73</f>
        <v>#N/A</v>
      </c>
      <c r="S271" s="12" t="e">
        <f aca="false">+S179*$H$73</f>
        <v>#N/A</v>
      </c>
      <c r="T271" s="12" t="e">
        <f aca="false">+T179*$H$73</f>
        <v>#N/A</v>
      </c>
      <c r="U271" s="12" t="e">
        <f aca="false">+U179*$H$73</f>
        <v>#N/A</v>
      </c>
      <c r="V271" s="12" t="e">
        <f aca="false">+V179*$H$73</f>
        <v>#N/A</v>
      </c>
      <c r="W271" s="12" t="e">
        <f aca="false">+W179*$H$73</f>
        <v>#N/A</v>
      </c>
      <c r="X271" s="12" t="e">
        <f aca="false">+X179*$H$73</f>
        <v>#N/A</v>
      </c>
      <c r="Y271" s="12" t="e">
        <f aca="false">+Y179*$H$73</f>
        <v>#N/A</v>
      </c>
      <c r="Z271" s="12" t="e">
        <f aca="false">+Z179*$H$73</f>
        <v>#N/A</v>
      </c>
      <c r="AA271" s="12" t="e">
        <f aca="false">+AA179*$H$73</f>
        <v>#N/A</v>
      </c>
      <c r="AB271" s="12" t="e">
        <f aca="false">+AB179*$H$73</f>
        <v>#N/A</v>
      </c>
      <c r="AC271" s="12" t="e">
        <f aca="false">+AC179*$H$73</f>
        <v>#N/A</v>
      </c>
    </row>
    <row r="272" customFormat="false" ht="11.25" hidden="false" customHeight="false" outlineLevel="0" collapsed="false">
      <c r="F272" s="43" t="s">
        <v>295</v>
      </c>
      <c r="R272" s="12" t="e">
        <f aca="false">R$23</f>
        <v>#N/A</v>
      </c>
    </row>
    <row r="273" customFormat="false" ht="11.25" hidden="false" customHeight="false" outlineLevel="0" collapsed="false">
      <c r="F273" s="43" t="s">
        <v>296</v>
      </c>
      <c r="R273" s="12" t="e">
        <f aca="false">+R270-R271-R272</f>
        <v>#N/A</v>
      </c>
      <c r="S273" s="12" t="e">
        <f aca="false">+S270-S271-S272</f>
        <v>#N/A</v>
      </c>
      <c r="T273" s="12" t="e">
        <f aca="false">+T270-T271-T272</f>
        <v>#N/A</v>
      </c>
      <c r="U273" s="12" t="e">
        <f aca="false">+U270-U271-U272</f>
        <v>#N/A</v>
      </c>
      <c r="V273" s="12" t="e">
        <f aca="false">+V270-V271-V272</f>
        <v>#N/A</v>
      </c>
      <c r="W273" s="12" t="e">
        <f aca="false">+W270-W271-W272</f>
        <v>#N/A</v>
      </c>
      <c r="X273" s="12" t="e">
        <f aca="false">+X270-X271-X272</f>
        <v>#N/A</v>
      </c>
      <c r="Y273" s="12" t="e">
        <f aca="false">+Y270-Y271-Y272</f>
        <v>#N/A</v>
      </c>
      <c r="Z273" s="12" t="e">
        <f aca="false">+Z270-Z271-Z272</f>
        <v>#N/A</v>
      </c>
      <c r="AA273" s="12" t="e">
        <f aca="false">+AA270-AA271-AA272</f>
        <v>#N/A</v>
      </c>
      <c r="AB273" s="12" t="e">
        <f aca="false">+AB270-AB271-AB272</f>
        <v>#N/A</v>
      </c>
      <c r="AC273" s="12" t="e">
        <f aca="false">+AC270-AC271-AC272</f>
        <v>#N/A</v>
      </c>
    </row>
    <row r="274" customFormat="false" ht="11.25" hidden="false" customHeight="false" outlineLevel="0" collapsed="false">
      <c r="F274" s="65" t="s">
        <v>260</v>
      </c>
      <c r="H274" s="162" t="e">
        <f aca="false">XIRR(R273:AC273,R94:AC94)</f>
        <v>#VALUE!</v>
      </c>
      <c r="R274" s="12" t="e">
        <f aca="false">NPV(10%,R273:$AC273)</f>
        <v>#N/A</v>
      </c>
      <c r="S274" s="12" t="e">
        <f aca="false">NPV(10%,S273:$AC273)</f>
        <v>#N/A</v>
      </c>
      <c r="T274" s="12" t="e">
        <f aca="false">NPV(10%,T273:$AC273)</f>
        <v>#N/A</v>
      </c>
      <c r="U274" s="12" t="e">
        <f aca="false">NPV(10%,U273:$AC273)</f>
        <v>#N/A</v>
      </c>
      <c r="V274" s="12" t="e">
        <f aca="false">NPV(10%,V273:$AC273)</f>
        <v>#N/A</v>
      </c>
      <c r="W274" s="12" t="e">
        <f aca="false">NPV(10%,W273:$AC273)</f>
        <v>#N/A</v>
      </c>
      <c r="X274" s="12" t="e">
        <f aca="false">NPV(10%,X273:$AC273)</f>
        <v>#N/A</v>
      </c>
      <c r="Y274" s="12" t="e">
        <f aca="false">NPV(10%,Y273:$AC273)</f>
        <v>#N/A</v>
      </c>
      <c r="Z274" s="12" t="e">
        <f aca="false">NPV(10%,Z273:$AC273)</f>
        <v>#N/A</v>
      </c>
      <c r="AA274" s="12" t="e">
        <f aca="false">NPV(10%,AA273:$AC273)</f>
        <v>#N/A</v>
      </c>
      <c r="AB274" s="12" t="e">
        <f aca="false">NPV(10%,AB273:$AC273)</f>
        <v>#N/A</v>
      </c>
      <c r="AC274" s="12" t="e">
        <f aca="false">NPV(10%,AC273:$AC273)</f>
        <v>#N/A</v>
      </c>
    </row>
    <row r="275" customFormat="false" ht="11.25" hidden="false" customHeight="false" outlineLevel="0" collapsed="false">
      <c r="F275" s="65"/>
      <c r="H275" s="162"/>
    </row>
    <row r="276" customFormat="false" ht="11.25" hidden="false" customHeight="false" outlineLevel="0" collapsed="false">
      <c r="F276" s="43" t="s">
        <v>297</v>
      </c>
      <c r="S276" s="12" t="e">
        <f aca="false">(+S183*S$53)+(S184*S$64)</f>
        <v>#N/A</v>
      </c>
      <c r="T276" s="12" t="e">
        <f aca="false">(+T183*T$53)+(T184*T$64)</f>
        <v>#N/A</v>
      </c>
      <c r="U276" s="12" t="e">
        <f aca="false">(+U183*U$53)+(U184*U$64)</f>
        <v>#N/A</v>
      </c>
      <c r="V276" s="12" t="e">
        <f aca="false">(+V183*V$53)+(V184*V$64)</f>
        <v>#N/A</v>
      </c>
      <c r="W276" s="12" t="e">
        <f aca="false">(+W183*W$53)+(W184*W$64)</f>
        <v>#N/A</v>
      </c>
      <c r="X276" s="12" t="e">
        <f aca="false">(+X183*X$53)+(X184*X$64)</f>
        <v>#N/A</v>
      </c>
      <c r="Y276" s="12" t="e">
        <f aca="false">(+Y183*Y$53)+(Y184*Y$64)</f>
        <v>#N/A</v>
      </c>
      <c r="Z276" s="12" t="e">
        <f aca="false">(+Z183*Z$53)+(Z184*Z$64)</f>
        <v>#N/A</v>
      </c>
      <c r="AA276" s="12" t="e">
        <f aca="false">(+AA183*AA$53)+(AA184*AA$64)</f>
        <v>#N/A</v>
      </c>
      <c r="AB276" s="12" t="e">
        <f aca="false">(+AB183*AB$53)+(AB184*AB$64)</f>
        <v>#N/A</v>
      </c>
      <c r="AC276" s="12" t="e">
        <f aca="false">(+AC183*AC$53)+(AC184*AC$64)</f>
        <v>#N/A</v>
      </c>
    </row>
    <row r="277" customFormat="false" ht="11.25" hidden="false" customHeight="false" outlineLevel="0" collapsed="false">
      <c r="F277" s="43" t="s">
        <v>298</v>
      </c>
      <c r="S277" s="12" t="e">
        <f aca="false">+S182*$H$73</f>
        <v>#N/A</v>
      </c>
      <c r="T277" s="12" t="e">
        <f aca="false">+T182*$H$73</f>
        <v>#N/A</v>
      </c>
      <c r="U277" s="12" t="e">
        <f aca="false">+U182*$H$73</f>
        <v>#N/A</v>
      </c>
      <c r="V277" s="12" t="e">
        <f aca="false">+V182*$H$73</f>
        <v>#N/A</v>
      </c>
      <c r="W277" s="12" t="e">
        <f aca="false">+W182*$H$73</f>
        <v>#N/A</v>
      </c>
      <c r="X277" s="12" t="e">
        <f aca="false">+X182*$H$73</f>
        <v>#N/A</v>
      </c>
      <c r="Y277" s="12" t="e">
        <f aca="false">+Y182*$H$73</f>
        <v>#N/A</v>
      </c>
      <c r="Z277" s="12" t="e">
        <f aca="false">+Z182*$H$73</f>
        <v>#N/A</v>
      </c>
      <c r="AA277" s="12" t="e">
        <f aca="false">+AA182*$H$73</f>
        <v>#N/A</v>
      </c>
      <c r="AB277" s="12" t="e">
        <f aca="false">+AB182*$H$73</f>
        <v>#N/A</v>
      </c>
      <c r="AC277" s="12" t="e">
        <f aca="false">+AC182*$H$73</f>
        <v>#N/A</v>
      </c>
    </row>
    <row r="278" customFormat="false" ht="11.25" hidden="false" customHeight="false" outlineLevel="0" collapsed="false">
      <c r="F278" s="43" t="s">
        <v>299</v>
      </c>
      <c r="S278" s="12" t="e">
        <f aca="false">S$23</f>
        <v>#N/A</v>
      </c>
    </row>
    <row r="279" customFormat="false" ht="11.25" hidden="false" customHeight="false" outlineLevel="0" collapsed="false">
      <c r="F279" s="43" t="s">
        <v>300</v>
      </c>
      <c r="S279" s="12" t="e">
        <f aca="false">+S276-S277-S278</f>
        <v>#N/A</v>
      </c>
      <c r="T279" s="12" t="e">
        <f aca="false">+T276-T277-T278</f>
        <v>#N/A</v>
      </c>
      <c r="U279" s="12" t="e">
        <f aca="false">+U276-U277-U278</f>
        <v>#N/A</v>
      </c>
      <c r="V279" s="12" t="e">
        <f aca="false">+V276-V277-V278</f>
        <v>#N/A</v>
      </c>
      <c r="W279" s="12" t="e">
        <f aca="false">+W276-W277-W278</f>
        <v>#N/A</v>
      </c>
      <c r="X279" s="12" t="e">
        <f aca="false">+X276-X277-X278</f>
        <v>#N/A</v>
      </c>
      <c r="Y279" s="12" t="e">
        <f aca="false">+Y276-Y277-Y278</f>
        <v>#N/A</v>
      </c>
      <c r="Z279" s="12" t="e">
        <f aca="false">+Z276-Z277-Z278</f>
        <v>#N/A</v>
      </c>
      <c r="AA279" s="12" t="e">
        <f aca="false">+AA276-AA277-AA278</f>
        <v>#N/A</v>
      </c>
      <c r="AB279" s="12" t="e">
        <f aca="false">+AB276-AB277-AB278</f>
        <v>#N/A</v>
      </c>
      <c r="AC279" s="12" t="e">
        <f aca="false">+AC276-AC277-AC278</f>
        <v>#N/A</v>
      </c>
    </row>
    <row r="280" customFormat="false" ht="11.25" hidden="false" customHeight="false" outlineLevel="0" collapsed="false">
      <c r="F280" s="65" t="s">
        <v>260</v>
      </c>
      <c r="H280" s="162" t="e">
        <f aca="false">XIRR(S279:AC279,S94:AC94)</f>
        <v>#VALUE!</v>
      </c>
      <c r="S280" s="12" t="e">
        <f aca="false">NPV(10%,S279:$AC279)</f>
        <v>#N/A</v>
      </c>
      <c r="T280" s="12" t="e">
        <f aca="false">NPV(10%,T279:$AC279)</f>
        <v>#N/A</v>
      </c>
      <c r="U280" s="12" t="e">
        <f aca="false">NPV(10%,U279:$AC279)</f>
        <v>#N/A</v>
      </c>
      <c r="V280" s="12" t="e">
        <f aca="false">NPV(10%,V279:$AC279)</f>
        <v>#N/A</v>
      </c>
      <c r="W280" s="12" t="e">
        <f aca="false">NPV(10%,W279:$AC279)</f>
        <v>#N/A</v>
      </c>
      <c r="X280" s="12" t="e">
        <f aca="false">NPV(10%,X279:$AC279)</f>
        <v>#N/A</v>
      </c>
      <c r="Y280" s="12" t="e">
        <f aca="false">NPV(10%,Y279:$AC279)</f>
        <v>#N/A</v>
      </c>
      <c r="Z280" s="12" t="e">
        <f aca="false">NPV(10%,Z279:$AC279)</f>
        <v>#N/A</v>
      </c>
      <c r="AA280" s="12" t="e">
        <f aca="false">NPV(10%,AA279:$AC279)</f>
        <v>#N/A</v>
      </c>
      <c r="AB280" s="12" t="e">
        <f aca="false">NPV(10%,AB279:$AC279)</f>
        <v>#N/A</v>
      </c>
      <c r="AC280" s="12" t="e">
        <f aca="false">NPV(10%,AC279:$AC279)</f>
        <v>#N/A</v>
      </c>
    </row>
    <row r="281" customFormat="false" ht="11.25" hidden="false" customHeight="false" outlineLevel="0" collapsed="false">
      <c r="F281" s="65"/>
      <c r="H281" s="162"/>
    </row>
    <row r="282" customFormat="false" ht="11.25" hidden="false" customHeight="false" outlineLevel="0" collapsed="false">
      <c r="F282" s="43" t="s">
        <v>301</v>
      </c>
      <c r="T282" s="12" t="e">
        <f aca="false">(+T186*T$53)+(T187*T$64)</f>
        <v>#N/A</v>
      </c>
      <c r="U282" s="12" t="e">
        <f aca="false">(+U186*U$53)+(U187*U$64)</f>
        <v>#N/A</v>
      </c>
      <c r="V282" s="12" t="e">
        <f aca="false">(+V186*V$53)+(V187*V$64)</f>
        <v>#N/A</v>
      </c>
      <c r="W282" s="12" t="e">
        <f aca="false">(+W186*W$53)+(W187*W$64)</f>
        <v>#N/A</v>
      </c>
      <c r="X282" s="12" t="e">
        <f aca="false">(+X186*X$53)+(X187*X$64)</f>
        <v>#N/A</v>
      </c>
      <c r="Y282" s="12" t="e">
        <f aca="false">(+Y186*Y$53)+(Y187*Y$64)</f>
        <v>#N/A</v>
      </c>
      <c r="Z282" s="12" t="e">
        <f aca="false">(+Z186*Z$53)+(Z187*Z$64)</f>
        <v>#N/A</v>
      </c>
      <c r="AA282" s="12" t="e">
        <f aca="false">(+AA186*AA$53)+(AA187*AA$64)</f>
        <v>#N/A</v>
      </c>
      <c r="AB282" s="12" t="e">
        <f aca="false">(+AB186*AB$53)+(AB187*AB$64)</f>
        <v>#N/A</v>
      </c>
      <c r="AC282" s="12" t="e">
        <f aca="false">(+AC186*AC$53)+(AC187*AC$64)</f>
        <v>#N/A</v>
      </c>
    </row>
    <row r="283" customFormat="false" ht="11.25" hidden="false" customHeight="false" outlineLevel="0" collapsed="false">
      <c r="F283" s="43" t="s">
        <v>302</v>
      </c>
      <c r="T283" s="12" t="e">
        <f aca="false">+T185*$H$73</f>
        <v>#N/A</v>
      </c>
      <c r="U283" s="12" t="e">
        <f aca="false">+U185*$H$73</f>
        <v>#N/A</v>
      </c>
      <c r="V283" s="12" t="e">
        <f aca="false">+V185*$H$73</f>
        <v>#N/A</v>
      </c>
      <c r="W283" s="12" t="e">
        <f aca="false">+W185*$H$73</f>
        <v>#N/A</v>
      </c>
      <c r="X283" s="12" t="e">
        <f aca="false">+X185*$H$73</f>
        <v>#N/A</v>
      </c>
      <c r="Y283" s="12" t="e">
        <f aca="false">+Y185*$H$73</f>
        <v>#N/A</v>
      </c>
      <c r="Z283" s="12" t="e">
        <f aca="false">+Z185*$H$73</f>
        <v>#N/A</v>
      </c>
      <c r="AA283" s="12" t="e">
        <f aca="false">+AA185*$H$73</f>
        <v>#N/A</v>
      </c>
      <c r="AB283" s="12" t="e">
        <f aca="false">+AB185*$H$73</f>
        <v>#N/A</v>
      </c>
      <c r="AC283" s="12" t="e">
        <f aca="false">+AC185*$H$73</f>
        <v>#N/A</v>
      </c>
    </row>
    <row r="284" customFormat="false" ht="11.25" hidden="false" customHeight="false" outlineLevel="0" collapsed="false">
      <c r="F284" s="43" t="s">
        <v>303</v>
      </c>
      <c r="T284" s="12" t="e">
        <f aca="false">T$23</f>
        <v>#N/A</v>
      </c>
    </row>
    <row r="285" customFormat="false" ht="11.25" hidden="false" customHeight="false" outlineLevel="0" collapsed="false">
      <c r="F285" s="43" t="s">
        <v>304</v>
      </c>
      <c r="T285" s="12" t="e">
        <f aca="false">+T282-T283-T284</f>
        <v>#N/A</v>
      </c>
      <c r="U285" s="12" t="e">
        <f aca="false">+U282-U283-U284</f>
        <v>#N/A</v>
      </c>
      <c r="V285" s="12" t="e">
        <f aca="false">+V282-V283-V284</f>
        <v>#N/A</v>
      </c>
      <c r="W285" s="12" t="e">
        <f aca="false">+W282-W283-W284</f>
        <v>#N/A</v>
      </c>
      <c r="X285" s="12" t="e">
        <f aca="false">+X282-X283-X284</f>
        <v>#N/A</v>
      </c>
      <c r="Y285" s="12" t="e">
        <f aca="false">+Y282-Y283-Y284</f>
        <v>#N/A</v>
      </c>
      <c r="Z285" s="12" t="e">
        <f aca="false">+Z282-Z283-Z284</f>
        <v>#N/A</v>
      </c>
      <c r="AA285" s="12" t="e">
        <f aca="false">+AA282-AA283-AA284</f>
        <v>#N/A</v>
      </c>
      <c r="AB285" s="12" t="e">
        <f aca="false">+AB282-AB283-AB284</f>
        <v>#N/A</v>
      </c>
      <c r="AC285" s="12" t="e">
        <f aca="false">+AC282-AC283-AC284</f>
        <v>#N/A</v>
      </c>
    </row>
    <row r="286" customFormat="false" ht="11.25" hidden="false" customHeight="false" outlineLevel="0" collapsed="false">
      <c r="F286" s="65" t="s">
        <v>260</v>
      </c>
      <c r="H286" s="162" t="e">
        <f aca="false">XIRR(T285:AC285,T94:AC94)</f>
        <v>#VALUE!</v>
      </c>
      <c r="T286" s="12" t="e">
        <f aca="false">NPV(10%,T285:$AC285)</f>
        <v>#N/A</v>
      </c>
      <c r="U286" s="12" t="e">
        <f aca="false">NPV(10%,U285:$AC285)</f>
        <v>#N/A</v>
      </c>
      <c r="V286" s="12" t="e">
        <f aca="false">NPV(10%,V285:$AC285)</f>
        <v>#N/A</v>
      </c>
      <c r="W286" s="12" t="e">
        <f aca="false">NPV(10%,W285:$AC285)</f>
        <v>#N/A</v>
      </c>
      <c r="X286" s="12" t="e">
        <f aca="false">NPV(10%,X285:$AC285)</f>
        <v>#N/A</v>
      </c>
      <c r="Y286" s="12" t="e">
        <f aca="false">NPV(10%,Y285:$AC285)</f>
        <v>#N/A</v>
      </c>
      <c r="Z286" s="12" t="e">
        <f aca="false">NPV(10%,Z285:$AC285)</f>
        <v>#N/A</v>
      </c>
      <c r="AA286" s="12" t="e">
        <f aca="false">NPV(10%,AA285:$AC285)</f>
        <v>#N/A</v>
      </c>
      <c r="AB286" s="12" t="e">
        <f aca="false">NPV(10%,AB285:$AC285)</f>
        <v>#N/A</v>
      </c>
      <c r="AC286" s="12" t="e">
        <f aca="false">NPV(10%,AC285:$AC285)</f>
        <v>#N/A</v>
      </c>
    </row>
    <row r="287" customFormat="false" ht="11.25" hidden="false" customHeight="false" outlineLevel="0" collapsed="false">
      <c r="F287" s="65"/>
      <c r="H287" s="162"/>
    </row>
    <row r="288" customFormat="false" ht="11.25" hidden="false" customHeight="false" outlineLevel="0" collapsed="false">
      <c r="F288" s="43" t="s">
        <v>305</v>
      </c>
      <c r="U288" s="12" t="e">
        <f aca="false">(+U189*U$53)+(U190*U$64)</f>
        <v>#N/A</v>
      </c>
      <c r="V288" s="12" t="e">
        <f aca="false">(+V189*V$53)+(V190*V$64)</f>
        <v>#N/A</v>
      </c>
      <c r="W288" s="12" t="e">
        <f aca="false">(+W189*W$53)+(W190*W$64)</f>
        <v>#N/A</v>
      </c>
      <c r="X288" s="12" t="e">
        <f aca="false">(+X189*X$53)+(X190*X$64)</f>
        <v>#N/A</v>
      </c>
      <c r="Y288" s="12" t="e">
        <f aca="false">(+Y189*Y$53)+(Y190*Y$64)</f>
        <v>#N/A</v>
      </c>
      <c r="Z288" s="12" t="e">
        <f aca="false">(+Z189*Z$53)+(Z190*Z$64)</f>
        <v>#N/A</v>
      </c>
      <c r="AA288" s="12" t="e">
        <f aca="false">(+AA189*AA$53)+(AA190*AA$64)</f>
        <v>#N/A</v>
      </c>
      <c r="AB288" s="12" t="e">
        <f aca="false">(+AB189*AB$53)+(AB190*AB$64)</f>
        <v>#N/A</v>
      </c>
      <c r="AC288" s="12" t="e">
        <f aca="false">(+AC189*AC$53)+(AC190*AC$64)</f>
        <v>#N/A</v>
      </c>
    </row>
    <row r="289" customFormat="false" ht="11.25" hidden="false" customHeight="false" outlineLevel="0" collapsed="false">
      <c r="F289" s="43" t="s">
        <v>306</v>
      </c>
      <c r="U289" s="12" t="e">
        <f aca="false">+U188*$H$73</f>
        <v>#N/A</v>
      </c>
      <c r="V289" s="12" t="e">
        <f aca="false">+V188*$H$73</f>
        <v>#N/A</v>
      </c>
      <c r="W289" s="12" t="e">
        <f aca="false">+W188*$H$73</f>
        <v>#N/A</v>
      </c>
      <c r="X289" s="12" t="e">
        <f aca="false">+X188*$H$73</f>
        <v>#N/A</v>
      </c>
      <c r="Y289" s="12" t="e">
        <f aca="false">+Y188*$H$73</f>
        <v>#N/A</v>
      </c>
      <c r="Z289" s="12" t="e">
        <f aca="false">+Z188*$H$73</f>
        <v>#N/A</v>
      </c>
      <c r="AA289" s="12" t="e">
        <f aca="false">+AA188*$H$73</f>
        <v>#N/A</v>
      </c>
      <c r="AB289" s="12" t="e">
        <f aca="false">+AB188*$H$73</f>
        <v>#N/A</v>
      </c>
      <c r="AC289" s="12" t="e">
        <f aca="false">+AC188*$H$73</f>
        <v>#N/A</v>
      </c>
    </row>
    <row r="290" customFormat="false" ht="11.25" hidden="false" customHeight="false" outlineLevel="0" collapsed="false">
      <c r="F290" s="43" t="s">
        <v>307</v>
      </c>
      <c r="U290" s="12" t="e">
        <f aca="false">U$23</f>
        <v>#N/A</v>
      </c>
    </row>
    <row r="291" customFormat="false" ht="11.25" hidden="false" customHeight="false" outlineLevel="0" collapsed="false">
      <c r="F291" s="43" t="s">
        <v>308</v>
      </c>
      <c r="U291" s="12" t="e">
        <f aca="false">+U288-U289-U290</f>
        <v>#N/A</v>
      </c>
      <c r="V291" s="12" t="e">
        <f aca="false">+V288-V289-V290</f>
        <v>#N/A</v>
      </c>
      <c r="W291" s="12" t="e">
        <f aca="false">+W288-W289-W290</f>
        <v>#N/A</v>
      </c>
      <c r="X291" s="12" t="e">
        <f aca="false">+X288-X289-X290</f>
        <v>#N/A</v>
      </c>
      <c r="Y291" s="12" t="e">
        <f aca="false">+Y288-Y289-Y290</f>
        <v>#N/A</v>
      </c>
      <c r="Z291" s="12" t="e">
        <f aca="false">+Z288-Z289-Z290</f>
        <v>#N/A</v>
      </c>
      <c r="AA291" s="12" t="e">
        <f aca="false">+AA288-AA289-AA290</f>
        <v>#N/A</v>
      </c>
      <c r="AB291" s="12" t="e">
        <f aca="false">+AB288-AB289-AB290</f>
        <v>#N/A</v>
      </c>
      <c r="AC291" s="12" t="e">
        <f aca="false">+AC288-AC289-AC290</f>
        <v>#N/A</v>
      </c>
    </row>
    <row r="292" customFormat="false" ht="11.25" hidden="false" customHeight="false" outlineLevel="0" collapsed="false">
      <c r="F292" s="65" t="s">
        <v>260</v>
      </c>
      <c r="H292" s="162" t="e">
        <f aca="false">XIRR(U291:AC291,U94:AC94)</f>
        <v>#VALUE!</v>
      </c>
      <c r="U292" s="12" t="e">
        <f aca="false">NPV(10%,U291:$AC291)</f>
        <v>#N/A</v>
      </c>
      <c r="V292" s="12" t="e">
        <f aca="false">NPV(10%,V291:$AC291)</f>
        <v>#N/A</v>
      </c>
      <c r="W292" s="12" t="e">
        <f aca="false">NPV(10%,W291:$AC291)</f>
        <v>#N/A</v>
      </c>
      <c r="X292" s="12" t="e">
        <f aca="false">NPV(10%,X291:$AC291)</f>
        <v>#N/A</v>
      </c>
      <c r="Y292" s="12" t="e">
        <f aca="false">NPV(10%,Y291:$AC291)</f>
        <v>#N/A</v>
      </c>
      <c r="Z292" s="12" t="e">
        <f aca="false">NPV(10%,Z291:$AC291)</f>
        <v>#N/A</v>
      </c>
      <c r="AA292" s="12" t="e">
        <f aca="false">NPV(10%,AA291:$AC291)</f>
        <v>#N/A</v>
      </c>
      <c r="AB292" s="12" t="e">
        <f aca="false">NPV(10%,AB291:$AC291)</f>
        <v>#N/A</v>
      </c>
      <c r="AC292" s="12" t="e">
        <f aca="false">NPV(10%,AC291:$AC291)</f>
        <v>#N/A</v>
      </c>
    </row>
    <row r="293" customFormat="false" ht="11.25" hidden="false" customHeight="false" outlineLevel="0" collapsed="false">
      <c r="F293" s="65"/>
      <c r="H293" s="162"/>
    </row>
    <row r="294" customFormat="false" ht="11.25" hidden="false" customHeight="false" outlineLevel="0" collapsed="false">
      <c r="F294" s="43" t="s">
        <v>309</v>
      </c>
      <c r="V294" s="12" t="e">
        <f aca="false">(+V192*V$53)+(V193*V$64)</f>
        <v>#N/A</v>
      </c>
      <c r="W294" s="12" t="e">
        <f aca="false">(+W192*W$53)+(W193*W$64)</f>
        <v>#N/A</v>
      </c>
      <c r="X294" s="12" t="e">
        <f aca="false">(+X192*X$53)+(X193*X$64)</f>
        <v>#N/A</v>
      </c>
      <c r="Y294" s="12" t="e">
        <f aca="false">(+Y192*Y$53)+(Y193*Y$64)</f>
        <v>#N/A</v>
      </c>
      <c r="Z294" s="12" t="e">
        <f aca="false">(+Z192*Z$53)+(Z193*Z$64)</f>
        <v>#N/A</v>
      </c>
      <c r="AA294" s="12" t="e">
        <f aca="false">(+AA192*AA$53)+(AA193*AA$64)</f>
        <v>#N/A</v>
      </c>
      <c r="AB294" s="12" t="e">
        <f aca="false">(+AB192*AB$53)+(AB193*AB$64)</f>
        <v>#N/A</v>
      </c>
      <c r="AC294" s="12" t="e">
        <f aca="false">(+AC192*AC$53)+(AC193*AC$64)</f>
        <v>#N/A</v>
      </c>
    </row>
    <row r="295" customFormat="false" ht="11.25" hidden="false" customHeight="false" outlineLevel="0" collapsed="false">
      <c r="F295" s="43" t="s">
        <v>310</v>
      </c>
      <c r="V295" s="12" t="e">
        <f aca="false">+V191*$H$73</f>
        <v>#N/A</v>
      </c>
      <c r="W295" s="12" t="e">
        <f aca="false">+W191*$H$73</f>
        <v>#N/A</v>
      </c>
      <c r="X295" s="12" t="e">
        <f aca="false">+X191*$H$73</f>
        <v>#N/A</v>
      </c>
      <c r="Y295" s="12" t="e">
        <f aca="false">+Y191*$H$73</f>
        <v>#N/A</v>
      </c>
      <c r="Z295" s="12" t="e">
        <f aca="false">+Z191*$H$73</f>
        <v>#N/A</v>
      </c>
      <c r="AA295" s="12" t="e">
        <f aca="false">+AA191*$H$73</f>
        <v>#N/A</v>
      </c>
      <c r="AB295" s="12" t="e">
        <f aca="false">+AB191*$H$73</f>
        <v>#N/A</v>
      </c>
      <c r="AC295" s="12" t="e">
        <f aca="false">+AC191*$H$73</f>
        <v>#N/A</v>
      </c>
    </row>
    <row r="296" customFormat="false" ht="11.25" hidden="false" customHeight="false" outlineLevel="0" collapsed="false">
      <c r="F296" s="43" t="s">
        <v>311</v>
      </c>
      <c r="V296" s="12" t="e">
        <f aca="false">V$23</f>
        <v>#N/A</v>
      </c>
    </row>
    <row r="297" customFormat="false" ht="11.25" hidden="false" customHeight="false" outlineLevel="0" collapsed="false">
      <c r="F297" s="43" t="s">
        <v>312</v>
      </c>
      <c r="V297" s="12" t="e">
        <f aca="false">+V294-V295-V296</f>
        <v>#N/A</v>
      </c>
      <c r="W297" s="12" t="e">
        <f aca="false">+W294-W295-W296</f>
        <v>#N/A</v>
      </c>
      <c r="X297" s="12" t="e">
        <f aca="false">+X294-X295-X296</f>
        <v>#N/A</v>
      </c>
      <c r="Y297" s="12" t="e">
        <f aca="false">+Y294-Y295-Y296</f>
        <v>#N/A</v>
      </c>
      <c r="Z297" s="12" t="e">
        <f aca="false">+Z294-Z295-Z296</f>
        <v>#N/A</v>
      </c>
      <c r="AA297" s="12" t="e">
        <f aca="false">+AA294-AA295-AA296</f>
        <v>#N/A</v>
      </c>
      <c r="AB297" s="12" t="e">
        <f aca="false">+AB294-AB295-AB296</f>
        <v>#N/A</v>
      </c>
      <c r="AC297" s="12" t="e">
        <f aca="false">+AC294-AC295-AC296</f>
        <v>#N/A</v>
      </c>
    </row>
    <row r="298" customFormat="false" ht="11.25" hidden="false" customHeight="false" outlineLevel="0" collapsed="false">
      <c r="F298" s="65" t="s">
        <v>260</v>
      </c>
      <c r="H298" s="162" t="e">
        <f aca="false">XIRR(V297:AC297,V94:AC94)</f>
        <v>#VALUE!</v>
      </c>
      <c r="V298" s="12" t="e">
        <f aca="false">NPV(10%,V297:$AC297)</f>
        <v>#N/A</v>
      </c>
      <c r="W298" s="12" t="e">
        <f aca="false">NPV(10%,W297:$AC297)</f>
        <v>#N/A</v>
      </c>
      <c r="X298" s="12" t="e">
        <f aca="false">NPV(10%,X297:$AC297)</f>
        <v>#N/A</v>
      </c>
      <c r="Y298" s="12" t="e">
        <f aca="false">NPV(10%,Y297:$AC297)</f>
        <v>#N/A</v>
      </c>
      <c r="Z298" s="12" t="e">
        <f aca="false">NPV(10%,Z297:$AC297)</f>
        <v>#N/A</v>
      </c>
      <c r="AA298" s="12" t="e">
        <f aca="false">NPV(10%,AA297:$AC297)</f>
        <v>#N/A</v>
      </c>
      <c r="AB298" s="12" t="e">
        <f aca="false">NPV(10%,AB297:$AC297)</f>
        <v>#N/A</v>
      </c>
      <c r="AC298" s="12" t="e">
        <f aca="false">NPV(10%,AC297:$AC297)</f>
        <v>#N/A</v>
      </c>
    </row>
    <row r="299" customFormat="false" ht="11.25" hidden="false" customHeight="false" outlineLevel="0" collapsed="false">
      <c r="F299" s="65"/>
      <c r="H299" s="162"/>
    </row>
    <row r="300" customFormat="false" ht="11.25" hidden="false" customHeight="false" outlineLevel="0" collapsed="false">
      <c r="F300" s="43" t="s">
        <v>313</v>
      </c>
      <c r="W300" s="12" t="e">
        <f aca="false">(+W195*W$53)+(W196*W$64)</f>
        <v>#N/A</v>
      </c>
      <c r="X300" s="12" t="e">
        <f aca="false">(+X195*X$53)+(X196*X$64)</f>
        <v>#N/A</v>
      </c>
      <c r="Y300" s="12" t="e">
        <f aca="false">(+Y195*Y$53)+(Y196*Y$64)</f>
        <v>#N/A</v>
      </c>
      <c r="Z300" s="12" t="e">
        <f aca="false">(+Z195*Z$53)+(Z196*Z$64)</f>
        <v>#N/A</v>
      </c>
      <c r="AA300" s="12" t="e">
        <f aca="false">(+AA195*AA$53)+(AA196*AA$64)</f>
        <v>#N/A</v>
      </c>
      <c r="AB300" s="12" t="e">
        <f aca="false">(+AB195*AB$53)+(AB196*AB$64)</f>
        <v>#N/A</v>
      </c>
      <c r="AC300" s="12" t="e">
        <f aca="false">(+AC195*AC$53)+(AC196*AC$64)</f>
        <v>#N/A</v>
      </c>
    </row>
    <row r="301" customFormat="false" ht="11.25" hidden="false" customHeight="false" outlineLevel="0" collapsed="false">
      <c r="F301" s="43" t="s">
        <v>314</v>
      </c>
      <c r="W301" s="12" t="e">
        <f aca="false">+W194*$H$73</f>
        <v>#N/A</v>
      </c>
      <c r="X301" s="12" t="e">
        <f aca="false">+X194*$H$73</f>
        <v>#N/A</v>
      </c>
      <c r="Y301" s="12" t="e">
        <f aca="false">+Y194*$H$73</f>
        <v>#N/A</v>
      </c>
      <c r="Z301" s="12" t="e">
        <f aca="false">+Z194*$H$73</f>
        <v>#N/A</v>
      </c>
      <c r="AA301" s="12" t="e">
        <f aca="false">+AA194*$H$73</f>
        <v>#N/A</v>
      </c>
      <c r="AB301" s="12" t="e">
        <f aca="false">+AB194*$H$73</f>
        <v>#N/A</v>
      </c>
      <c r="AC301" s="12" t="e">
        <f aca="false">+AC194*$H$73</f>
        <v>#N/A</v>
      </c>
    </row>
    <row r="302" customFormat="false" ht="11.25" hidden="false" customHeight="false" outlineLevel="0" collapsed="false">
      <c r="F302" s="43" t="s">
        <v>315</v>
      </c>
      <c r="W302" s="12" t="e">
        <f aca="false">W$23</f>
        <v>#N/A</v>
      </c>
    </row>
    <row r="303" customFormat="false" ht="11.25" hidden="false" customHeight="false" outlineLevel="0" collapsed="false">
      <c r="F303" s="43" t="s">
        <v>316</v>
      </c>
      <c r="W303" s="12" t="e">
        <f aca="false">+W300-W301-W302</f>
        <v>#N/A</v>
      </c>
      <c r="X303" s="12" t="e">
        <f aca="false">+X300-X301-X302</f>
        <v>#N/A</v>
      </c>
      <c r="Y303" s="12" t="e">
        <f aca="false">+Y300-Y301-Y302</f>
        <v>#N/A</v>
      </c>
      <c r="Z303" s="12" t="e">
        <f aca="false">+Z300-Z301-Z302</f>
        <v>#N/A</v>
      </c>
      <c r="AA303" s="12" t="e">
        <f aca="false">+AA300-AA301-AA302</f>
        <v>#N/A</v>
      </c>
      <c r="AB303" s="12" t="e">
        <f aca="false">+AB300-AB301-AB302</f>
        <v>#N/A</v>
      </c>
      <c r="AC303" s="12" t="e">
        <f aca="false">+AC300-AC301-AC302</f>
        <v>#N/A</v>
      </c>
    </row>
    <row r="304" customFormat="false" ht="11.25" hidden="false" customHeight="false" outlineLevel="0" collapsed="false">
      <c r="F304" s="65" t="s">
        <v>260</v>
      </c>
      <c r="H304" s="162" t="e">
        <f aca="false">XIRR(W303:AC303,W94:AC94)</f>
        <v>#VALUE!</v>
      </c>
      <c r="W304" s="12" t="e">
        <f aca="false">NPV(10%,W303:$AC303)</f>
        <v>#N/A</v>
      </c>
      <c r="X304" s="12" t="e">
        <f aca="false">NPV(10%,X303:$AC303)</f>
        <v>#N/A</v>
      </c>
      <c r="Y304" s="12" t="e">
        <f aca="false">NPV(10%,Y303:$AC303)</f>
        <v>#N/A</v>
      </c>
      <c r="Z304" s="12" t="e">
        <f aca="false">NPV(10%,Z303:$AC303)</f>
        <v>#N/A</v>
      </c>
      <c r="AA304" s="12" t="e">
        <f aca="false">NPV(10%,AA303:$AC303)</f>
        <v>#N/A</v>
      </c>
      <c r="AB304" s="12" t="e">
        <f aca="false">NPV(10%,AB303:$AC303)</f>
        <v>#N/A</v>
      </c>
      <c r="AC304" s="12" t="e">
        <f aca="false">NPV(10%,AC303:$AC303)</f>
        <v>#N/A</v>
      </c>
    </row>
    <row r="305" customFormat="false" ht="11.25" hidden="false" customHeight="false" outlineLevel="0" collapsed="false">
      <c r="F305" s="65"/>
      <c r="H305" s="162"/>
    </row>
    <row r="306" customFormat="false" ht="11.25" hidden="false" customHeight="false" outlineLevel="0" collapsed="false">
      <c r="F306" s="43" t="s">
        <v>317</v>
      </c>
      <c r="X306" s="12" t="e">
        <f aca="false">(+X198*X$53)+(X199*X$64)</f>
        <v>#N/A</v>
      </c>
      <c r="Y306" s="12" t="e">
        <f aca="false">(+Y198*Y$53)+(Y199*Y$64)</f>
        <v>#N/A</v>
      </c>
      <c r="Z306" s="12" t="e">
        <f aca="false">(+Z198*Z$53)+(Z199*Z$64)</f>
        <v>#N/A</v>
      </c>
      <c r="AA306" s="12" t="e">
        <f aca="false">(+AA198*AA$53)+(AA199*AA$64)</f>
        <v>#N/A</v>
      </c>
      <c r="AB306" s="12" t="e">
        <f aca="false">(+AB198*AB$53)+(AB199*AB$64)</f>
        <v>#N/A</v>
      </c>
      <c r="AC306" s="12" t="e">
        <f aca="false">(+AC198*AC$53)+(AC199*AC$64)</f>
        <v>#N/A</v>
      </c>
    </row>
    <row r="307" customFormat="false" ht="11.25" hidden="false" customHeight="false" outlineLevel="0" collapsed="false">
      <c r="F307" s="43" t="s">
        <v>318</v>
      </c>
      <c r="X307" s="12" t="e">
        <f aca="false">+X197*$H$73</f>
        <v>#N/A</v>
      </c>
      <c r="Y307" s="12" t="e">
        <f aca="false">+Y197*$H$73</f>
        <v>#N/A</v>
      </c>
      <c r="Z307" s="12" t="e">
        <f aca="false">+Z197*$H$73</f>
        <v>#N/A</v>
      </c>
      <c r="AA307" s="12" t="e">
        <f aca="false">+AA197*$H$73</f>
        <v>#N/A</v>
      </c>
      <c r="AB307" s="12" t="e">
        <f aca="false">+AB197*$H$73</f>
        <v>#N/A</v>
      </c>
      <c r="AC307" s="12" t="e">
        <f aca="false">+AC197*$H$73</f>
        <v>#N/A</v>
      </c>
    </row>
    <row r="308" customFormat="false" ht="11.25" hidden="false" customHeight="false" outlineLevel="0" collapsed="false">
      <c r="F308" s="43" t="s">
        <v>319</v>
      </c>
      <c r="X308" s="12" t="e">
        <f aca="false">X$23</f>
        <v>#N/A</v>
      </c>
    </row>
    <row r="309" customFormat="false" ht="11.25" hidden="false" customHeight="false" outlineLevel="0" collapsed="false">
      <c r="F309" s="43" t="s">
        <v>320</v>
      </c>
      <c r="X309" s="12" t="e">
        <f aca="false">+X306-X307-X308</f>
        <v>#N/A</v>
      </c>
      <c r="Y309" s="12" t="e">
        <f aca="false">+Y306-Y307-Y308</f>
        <v>#N/A</v>
      </c>
      <c r="Z309" s="12" t="e">
        <f aca="false">+Z306-Z307-Z308</f>
        <v>#N/A</v>
      </c>
      <c r="AA309" s="12" t="e">
        <f aca="false">+AA306-AA307-AA308</f>
        <v>#N/A</v>
      </c>
      <c r="AB309" s="12" t="e">
        <f aca="false">+AB306-AB307-AB308</f>
        <v>#N/A</v>
      </c>
      <c r="AC309" s="12" t="e">
        <f aca="false">+AC306-AC307-AC308</f>
        <v>#N/A</v>
      </c>
    </row>
    <row r="310" customFormat="false" ht="11.25" hidden="false" customHeight="false" outlineLevel="0" collapsed="false">
      <c r="F310" s="65" t="s">
        <v>260</v>
      </c>
      <c r="H310" s="162" t="e">
        <f aca="false">XIRR(X309:AC309,X94:AC94)</f>
        <v>#VALUE!</v>
      </c>
      <c r="X310" s="12" t="e">
        <f aca="false">NPV(10%,X309:$AC309)</f>
        <v>#N/A</v>
      </c>
      <c r="Y310" s="12" t="e">
        <f aca="false">NPV(10%,Y309:$AC309)</f>
        <v>#N/A</v>
      </c>
      <c r="Z310" s="12" t="e">
        <f aca="false">NPV(10%,Z309:$AC309)</f>
        <v>#N/A</v>
      </c>
      <c r="AA310" s="12" t="e">
        <f aca="false">NPV(10%,AA309:$AC309)</f>
        <v>#N/A</v>
      </c>
      <c r="AB310" s="12" t="e">
        <f aca="false">NPV(10%,AB309:$AC309)</f>
        <v>#N/A</v>
      </c>
      <c r="AC310" s="12" t="e">
        <f aca="false">NPV(10%,AC309:$AC309)</f>
        <v>#N/A</v>
      </c>
    </row>
    <row r="311" customFormat="false" ht="11.25" hidden="false" customHeight="false" outlineLevel="0" collapsed="false">
      <c r="F311" s="65"/>
      <c r="H311" s="162"/>
    </row>
    <row r="312" customFormat="false" ht="11.25" hidden="false" customHeight="false" outlineLevel="0" collapsed="false">
      <c r="F312" s="43" t="s">
        <v>321</v>
      </c>
      <c r="Y312" s="12" t="e">
        <f aca="false">(+Y201*Y$53)+(Y202*Y$64)</f>
        <v>#N/A</v>
      </c>
      <c r="Z312" s="12" t="e">
        <f aca="false">(+Z201*Z$53)+(Z202*Z$64)</f>
        <v>#N/A</v>
      </c>
      <c r="AA312" s="12" t="e">
        <f aca="false">(+AA201*AA$53)+(AA202*AA$64)</f>
        <v>#N/A</v>
      </c>
      <c r="AB312" s="12" t="e">
        <f aca="false">(+AB201*AB$53)+(AB202*AB$64)</f>
        <v>#N/A</v>
      </c>
      <c r="AC312" s="12" t="e">
        <f aca="false">(+AC201*AC$53)+(AC202*AC$64)</f>
        <v>#N/A</v>
      </c>
    </row>
    <row r="313" customFormat="false" ht="11.25" hidden="false" customHeight="false" outlineLevel="0" collapsed="false">
      <c r="F313" s="43" t="s">
        <v>322</v>
      </c>
      <c r="Y313" s="12" t="e">
        <f aca="false">+Y200*$H$73</f>
        <v>#N/A</v>
      </c>
      <c r="Z313" s="12" t="e">
        <f aca="false">+Z200*$H$73</f>
        <v>#N/A</v>
      </c>
      <c r="AA313" s="12" t="e">
        <f aca="false">+AA200*$H$73</f>
        <v>#N/A</v>
      </c>
      <c r="AB313" s="12" t="e">
        <f aca="false">+AB200*$H$73</f>
        <v>#N/A</v>
      </c>
      <c r="AC313" s="12" t="e">
        <f aca="false">+AC200*$H$73</f>
        <v>#N/A</v>
      </c>
    </row>
    <row r="314" customFormat="false" ht="11.25" hidden="false" customHeight="false" outlineLevel="0" collapsed="false">
      <c r="F314" s="43" t="s">
        <v>323</v>
      </c>
      <c r="Y314" s="12" t="e">
        <f aca="false">Y$23</f>
        <v>#N/A</v>
      </c>
    </row>
    <row r="315" customFormat="false" ht="11.25" hidden="false" customHeight="false" outlineLevel="0" collapsed="false">
      <c r="F315" s="43" t="s">
        <v>324</v>
      </c>
      <c r="Y315" s="12" t="e">
        <f aca="false">+Y312-Y313-Y314</f>
        <v>#N/A</v>
      </c>
      <c r="Z315" s="12" t="e">
        <f aca="false">+Z312-Z313-Z314</f>
        <v>#N/A</v>
      </c>
      <c r="AA315" s="12" t="e">
        <f aca="false">+AA312-AA313-AA314</f>
        <v>#N/A</v>
      </c>
      <c r="AB315" s="12" t="e">
        <f aca="false">+AB312-AB313-AB314</f>
        <v>#N/A</v>
      </c>
      <c r="AC315" s="12" t="e">
        <f aca="false">+AC312-AC313-AC314</f>
        <v>#N/A</v>
      </c>
    </row>
    <row r="316" customFormat="false" ht="11.25" hidden="false" customHeight="false" outlineLevel="0" collapsed="false">
      <c r="F316" s="65" t="s">
        <v>260</v>
      </c>
      <c r="H316" s="162" t="e">
        <f aca="false">XIRR(Y315:AC315,Y94:AC94)</f>
        <v>#VALUE!</v>
      </c>
      <c r="Y316" s="12" t="e">
        <f aca="false">NPV(10%,Y315:$AC315)</f>
        <v>#N/A</v>
      </c>
      <c r="Z316" s="12" t="e">
        <f aca="false">NPV(10%,Z315:$AC315)</f>
        <v>#N/A</v>
      </c>
      <c r="AA316" s="12" t="e">
        <f aca="false">NPV(10%,AA315:$AC315)</f>
        <v>#N/A</v>
      </c>
      <c r="AB316" s="12" t="e">
        <f aca="false">NPV(10%,AB315:$AC315)</f>
        <v>#N/A</v>
      </c>
      <c r="AC316" s="12" t="e">
        <f aca="false">NPV(10%,AC315:$AC315)</f>
        <v>#N/A</v>
      </c>
    </row>
    <row r="317" customFormat="false" ht="11.25" hidden="false" customHeight="false" outlineLevel="0" collapsed="false">
      <c r="F317" s="65"/>
      <c r="H317" s="162"/>
    </row>
    <row r="318" customFormat="false" ht="11.25" hidden="false" customHeight="false" outlineLevel="0" collapsed="false">
      <c r="F318" s="43" t="s">
        <v>325</v>
      </c>
      <c r="Z318" s="12" t="e">
        <f aca="false">(+Z204*Z$53)+(Z205*Z$64)</f>
        <v>#N/A</v>
      </c>
      <c r="AA318" s="12" t="e">
        <f aca="false">(+AA204*AA$53)+(AA205*AA$64)</f>
        <v>#N/A</v>
      </c>
      <c r="AB318" s="12" t="e">
        <f aca="false">(+AB204*AB$53)+(AB205*AB$64)</f>
        <v>#N/A</v>
      </c>
      <c r="AC318" s="12" t="e">
        <f aca="false">(+AC204*AC$53)+(AC205*AC$64)</f>
        <v>#N/A</v>
      </c>
    </row>
    <row r="319" customFormat="false" ht="11.25" hidden="false" customHeight="false" outlineLevel="0" collapsed="false">
      <c r="F319" s="43" t="s">
        <v>326</v>
      </c>
      <c r="Z319" s="12" t="e">
        <f aca="false">+Z203*$H$73</f>
        <v>#N/A</v>
      </c>
      <c r="AA319" s="12" t="e">
        <f aca="false">+AA203*$H$73</f>
        <v>#N/A</v>
      </c>
      <c r="AB319" s="12" t="e">
        <f aca="false">+AB203*$H$73</f>
        <v>#N/A</v>
      </c>
      <c r="AC319" s="12" t="e">
        <f aca="false">+AC203*$H$73</f>
        <v>#N/A</v>
      </c>
    </row>
    <row r="320" customFormat="false" ht="11.25" hidden="false" customHeight="false" outlineLevel="0" collapsed="false">
      <c r="F320" s="43" t="s">
        <v>327</v>
      </c>
      <c r="Z320" s="12" t="e">
        <f aca="false">Z$23</f>
        <v>#N/A</v>
      </c>
    </row>
    <row r="321" customFormat="false" ht="11.25" hidden="false" customHeight="false" outlineLevel="0" collapsed="false">
      <c r="F321" s="43" t="s">
        <v>328</v>
      </c>
      <c r="Z321" s="12" t="e">
        <f aca="false">+Z318-Z319-Z320</f>
        <v>#N/A</v>
      </c>
      <c r="AA321" s="12" t="e">
        <f aca="false">+AA318-AA319-AA320</f>
        <v>#N/A</v>
      </c>
      <c r="AB321" s="12" t="e">
        <f aca="false">+AB318-AB319-AB320</f>
        <v>#N/A</v>
      </c>
      <c r="AC321" s="12" t="e">
        <f aca="false">+AC318-AC319-AC320</f>
        <v>#N/A</v>
      </c>
    </row>
    <row r="322" customFormat="false" ht="11.25" hidden="false" customHeight="false" outlineLevel="0" collapsed="false">
      <c r="F322" s="65" t="s">
        <v>260</v>
      </c>
      <c r="H322" s="162" t="e">
        <f aca="false">XIRR(Z321:AC321,Z94:AC94)</f>
        <v>#VALUE!</v>
      </c>
      <c r="Z322" s="12" t="e">
        <f aca="false">NPV(10%,Z321:$AC321)</f>
        <v>#N/A</v>
      </c>
      <c r="AA322" s="12" t="e">
        <f aca="false">NPV(10%,AA321:$AC321)</f>
        <v>#N/A</v>
      </c>
      <c r="AB322" s="12" t="e">
        <f aca="false">NPV(10%,AB321:$AC321)</f>
        <v>#N/A</v>
      </c>
      <c r="AC322" s="12" t="e">
        <f aca="false">NPV(10%,AC321:$AC321)</f>
        <v>#N/A</v>
      </c>
    </row>
    <row r="323" customFormat="false" ht="11.25" hidden="false" customHeight="false" outlineLevel="0" collapsed="false">
      <c r="F323" s="65"/>
      <c r="H323" s="162"/>
    </row>
    <row r="324" customFormat="false" ht="11.25" hidden="false" customHeight="false" outlineLevel="0" collapsed="false">
      <c r="F324" s="43" t="s">
        <v>329</v>
      </c>
      <c r="AA324" s="12" t="e">
        <f aca="false">(+AA207*AA$53)+(AA208*AA$64)</f>
        <v>#N/A</v>
      </c>
      <c r="AB324" s="12" t="e">
        <f aca="false">(+AB207*AB$53)+(AB208*AB$64)</f>
        <v>#N/A</v>
      </c>
      <c r="AC324" s="12" t="e">
        <f aca="false">(+AC207*AC$53)+(AC208*AC$64)</f>
        <v>#N/A</v>
      </c>
    </row>
    <row r="325" customFormat="false" ht="11.25" hidden="false" customHeight="false" outlineLevel="0" collapsed="false">
      <c r="F325" s="43" t="s">
        <v>330</v>
      </c>
      <c r="AA325" s="12" t="e">
        <f aca="false">+AA206*$H$73</f>
        <v>#N/A</v>
      </c>
      <c r="AB325" s="12" t="e">
        <f aca="false">+AB206*$H$73</f>
        <v>#N/A</v>
      </c>
      <c r="AC325" s="12" t="e">
        <f aca="false">+AC206*$H$73</f>
        <v>#N/A</v>
      </c>
    </row>
    <row r="326" customFormat="false" ht="11.25" hidden="false" customHeight="false" outlineLevel="0" collapsed="false">
      <c r="F326" s="43" t="s">
        <v>331</v>
      </c>
      <c r="AA326" s="12" t="e">
        <f aca="false">AA$23</f>
        <v>#N/A</v>
      </c>
    </row>
    <row r="327" customFormat="false" ht="11.25" hidden="false" customHeight="false" outlineLevel="0" collapsed="false">
      <c r="F327" s="43" t="s">
        <v>332</v>
      </c>
      <c r="AA327" s="12" t="e">
        <f aca="false">+AA324-AA325-AA326</f>
        <v>#N/A</v>
      </c>
      <c r="AB327" s="12" t="e">
        <f aca="false">+AB324-AB325-AB326</f>
        <v>#N/A</v>
      </c>
      <c r="AC327" s="12" t="e">
        <f aca="false">+AC324-AC325-AC326</f>
        <v>#N/A</v>
      </c>
    </row>
    <row r="328" customFormat="false" ht="11.25" hidden="false" customHeight="false" outlineLevel="0" collapsed="false">
      <c r="F328" s="65" t="s">
        <v>260</v>
      </c>
      <c r="H328" s="162" t="e">
        <f aca="false">XIRR(AA327:AC327,AA94:AC94)</f>
        <v>#VALUE!</v>
      </c>
      <c r="AA328" s="12" t="e">
        <f aca="false">NPV(10%,AA327:$AC327)</f>
        <v>#N/A</v>
      </c>
      <c r="AB328" s="12" t="e">
        <f aca="false">NPV(10%,AB327:$AC327)</f>
        <v>#N/A</v>
      </c>
      <c r="AC328" s="12" t="e">
        <f aca="false">NPV(10%,AC327:$AC327)</f>
        <v>#N/A</v>
      </c>
    </row>
    <row r="329" customFormat="false" ht="11.25" hidden="false" customHeight="false" outlineLevel="0" collapsed="false">
      <c r="F329" s="65"/>
      <c r="H329" s="162"/>
    </row>
    <row r="330" customFormat="false" ht="11.25" hidden="false" customHeight="false" outlineLevel="0" collapsed="false">
      <c r="F330" s="43" t="s">
        <v>333</v>
      </c>
      <c r="AB330" s="12" t="e">
        <f aca="false">(+AB210*AB$53)+(AB211*AB$64)</f>
        <v>#N/A</v>
      </c>
      <c r="AC330" s="12" t="e">
        <f aca="false">(+AC210*AC$53)+(AC211*AC$64)</f>
        <v>#N/A</v>
      </c>
    </row>
    <row r="331" customFormat="false" ht="11.25" hidden="false" customHeight="false" outlineLevel="0" collapsed="false">
      <c r="F331" s="43" t="s">
        <v>334</v>
      </c>
      <c r="AB331" s="12" t="e">
        <f aca="false">+AB209*$H$73</f>
        <v>#N/A</v>
      </c>
      <c r="AC331" s="12" t="e">
        <f aca="false">+AC209*$H$73</f>
        <v>#N/A</v>
      </c>
    </row>
    <row r="332" customFormat="false" ht="11.25" hidden="false" customHeight="false" outlineLevel="0" collapsed="false">
      <c r="F332" s="43" t="s">
        <v>335</v>
      </c>
      <c r="AB332" s="12" t="e">
        <f aca="false">AB$23</f>
        <v>#N/A</v>
      </c>
    </row>
    <row r="333" customFormat="false" ht="11.25" hidden="false" customHeight="false" outlineLevel="0" collapsed="false">
      <c r="F333" s="43" t="s">
        <v>336</v>
      </c>
      <c r="AB333" s="12" t="e">
        <f aca="false">+AB330-AB331-AB332</f>
        <v>#N/A</v>
      </c>
      <c r="AC333" s="12" t="e">
        <f aca="false">+AC330-AC331-AC332</f>
        <v>#N/A</v>
      </c>
    </row>
    <row r="334" customFormat="false" ht="11.25" hidden="false" customHeight="false" outlineLevel="0" collapsed="false">
      <c r="F334" s="65" t="s">
        <v>260</v>
      </c>
      <c r="H334" s="162" t="e">
        <f aca="false">XIRR(AB333:AC333,AB94:AC94)</f>
        <v>#VALUE!</v>
      </c>
      <c r="AB334" s="12" t="e">
        <f aca="false">NPV(10%,AB333:$AC333)</f>
        <v>#N/A</v>
      </c>
      <c r="AC334" s="12" t="e">
        <f aca="false">NPV(10%,AC333:$AC333)</f>
        <v>#N/A</v>
      </c>
    </row>
    <row r="335" customFormat="false" ht="11.25" hidden="false" customHeight="false" outlineLevel="0" collapsed="false">
      <c r="F335" s="65"/>
      <c r="H335" s="162"/>
    </row>
    <row r="336" customFormat="false" ht="11.25" hidden="false" customHeight="false" outlineLevel="0" collapsed="false">
      <c r="F336" s="43" t="s">
        <v>337</v>
      </c>
      <c r="AC336" s="12" t="e">
        <f aca="false">(+AC210*AC$53)+(AC211*AC$64)</f>
        <v>#N/A</v>
      </c>
    </row>
    <row r="337" customFormat="false" ht="11.25" hidden="false" customHeight="false" outlineLevel="0" collapsed="false">
      <c r="F337" s="43" t="s">
        <v>338</v>
      </c>
      <c r="AC337" s="12" t="e">
        <f aca="false">+AC209*$H$73</f>
        <v>#N/A</v>
      </c>
    </row>
    <row r="338" customFormat="false" ht="11.25" hidden="false" customHeight="false" outlineLevel="0" collapsed="false">
      <c r="F338" s="43" t="s">
        <v>339</v>
      </c>
      <c r="AC338" s="12" t="e">
        <f aca="false">AC$23</f>
        <v>#N/A</v>
      </c>
    </row>
    <row r="339" customFormat="false" ht="11.25" hidden="false" customHeight="false" outlineLevel="0" collapsed="false">
      <c r="F339" s="43" t="s">
        <v>340</v>
      </c>
      <c r="AC339" s="12" t="e">
        <f aca="false">+AC336-AC337-AC338</f>
        <v>#N/A</v>
      </c>
    </row>
    <row r="340" customFormat="false" ht="11.25" hidden="false" customHeight="false" outlineLevel="0" collapsed="false">
      <c r="F340" s="65" t="s">
        <v>260</v>
      </c>
      <c r="H340" s="162" t="e">
        <f aca="false">XIRR(AC339,AB94:AC94)</f>
        <v>#VALUE!</v>
      </c>
      <c r="AC340" s="12" t="e">
        <f aca="false">NPV(10%,AC339:$AC339)</f>
        <v>#N/A</v>
      </c>
    </row>
    <row r="341" customFormat="false" ht="11.25" hidden="false" customHeight="false" outlineLevel="0" collapsed="false">
      <c r="F341" s="65"/>
      <c r="H341" s="162"/>
    </row>
    <row r="342" customFormat="false" ht="11.25" hidden="false" customHeight="false" outlineLevel="0" collapsed="false">
      <c r="F342" s="65"/>
      <c r="H342" s="162"/>
    </row>
    <row r="343" customFormat="false" ht="11.25" hidden="false" customHeight="false" outlineLevel="0" collapsed="false">
      <c r="F343" s="67" t="s">
        <v>341</v>
      </c>
      <c r="I343" s="12" t="e">
        <f aca="false">+I220+I226+I232+I238+I244+I250+I256+I262</f>
        <v>#N/A</v>
      </c>
      <c r="J343" s="12" t="e">
        <f aca="false">+J220+J226+J232+J238+J244+J250+J256+J262</f>
        <v>#N/A</v>
      </c>
      <c r="K343" s="12" t="e">
        <f aca="false">+K220+K226+K232+K238+K244+K250+K256+K262</f>
        <v>#N/A</v>
      </c>
      <c r="L343" s="12" t="e">
        <f aca="false">+L220+L226+L232+L238+L244+L250+L256+L262</f>
        <v>#N/A</v>
      </c>
      <c r="M343" s="12" t="e">
        <f aca="false">+M220+M226+M232+M238+M244+M250+M256+M262</f>
        <v>#N/A</v>
      </c>
      <c r="N343" s="12" t="e">
        <f aca="false">+N220+N226+N232+N238+N244+N250+N256+N262</f>
        <v>#N/A</v>
      </c>
      <c r="O343" s="12" t="e">
        <f aca="false">+O220+O226+O232+O238+O244+O250+O256+O262</f>
        <v>#N/A</v>
      </c>
      <c r="P343" s="12" t="e">
        <f aca="false">+P220+P226+P232+P238+P244+P250+P256+P262</f>
        <v>#N/A</v>
      </c>
      <c r="Q343" s="12" t="e">
        <f aca="false">+Q220+Q226+Q232+Q238+Q244+Q250+Q256+Q262</f>
        <v>#N/A</v>
      </c>
      <c r="R343" s="12" t="e">
        <f aca="false">+R220+R226+R232+R238+R244+R250+R256+R262</f>
        <v>#N/A</v>
      </c>
      <c r="S343" s="12" t="e">
        <f aca="false">+S220+S226+S232+S238+S244+S250+S256+S262</f>
        <v>#N/A</v>
      </c>
      <c r="T343" s="12" t="e">
        <f aca="false">+T220+T226+T232+T238+T244+T250+T256+T262</f>
        <v>#N/A</v>
      </c>
      <c r="U343" s="12" t="e">
        <f aca="false">+U220+U226+U232+U238+U244+U250+U256+U262</f>
        <v>#N/A</v>
      </c>
      <c r="V343" s="12" t="e">
        <f aca="false">+V220+V226+V232+V238+V244+V250+V256+V262</f>
        <v>#N/A</v>
      </c>
      <c r="W343" s="12" t="e">
        <f aca="false">+W220+W226+W232+W238+W244+W250+W256+W262</f>
        <v>#N/A</v>
      </c>
      <c r="X343" s="12" t="e">
        <f aca="false">+X220+X226+X232+X238+X244+X250+X256+X262</f>
        <v>#N/A</v>
      </c>
      <c r="Y343" s="12" t="e">
        <f aca="false">+Y220+Y226+Y232+Y238+Y244+Y250+Y256+Y262</f>
        <v>#N/A</v>
      </c>
      <c r="Z343" s="12" t="e">
        <f aca="false">+Z220+Z226+Z232+Z238+Z244+Z250+Z256+Z262</f>
        <v>#N/A</v>
      </c>
      <c r="AA343" s="12" t="e">
        <f aca="false">+AA220+AA226+AA232+AA238+AA244+AA250+AA256+AA262</f>
        <v>#N/A</v>
      </c>
      <c r="AB343" s="12" t="e">
        <f aca="false">+AB220+AB226+AB232+AB238+AB244+AB250+AB256+AB262</f>
        <v>#N/A</v>
      </c>
      <c r="AC343" s="12" t="e">
        <f aca="false">+AC220+AC226+AC232+AC238+AC244+AC250+AC256+AC262</f>
        <v>#N/A</v>
      </c>
    </row>
    <row r="345" customFormat="false" ht="12" hidden="false" customHeight="false" outlineLevel="0" collapsed="false"/>
    <row r="346" customFormat="false" ht="12" hidden="false" customHeight="false" outlineLevel="0" collapsed="false">
      <c r="A346" s="79"/>
      <c r="B346" s="79"/>
      <c r="C346" s="79"/>
      <c r="D346" s="79"/>
      <c r="E346" s="79"/>
      <c r="F346" s="163"/>
      <c r="G346" s="79"/>
      <c r="H346" s="79"/>
      <c r="I346" s="79"/>
      <c r="J346" s="79"/>
      <c r="K346" s="79"/>
      <c r="L346" s="79"/>
      <c r="M346" s="79"/>
      <c r="N346" s="79"/>
      <c r="O346" s="79"/>
      <c r="P346" s="79"/>
      <c r="Q346" s="79"/>
      <c r="R346" s="79"/>
      <c r="S346" s="79"/>
      <c r="T346" s="79"/>
      <c r="U346" s="79"/>
      <c r="V346" s="79"/>
      <c r="W346" s="79"/>
      <c r="X346" s="79"/>
      <c r="Y346" s="79"/>
      <c r="Z346" s="79"/>
      <c r="AA346" s="79"/>
      <c r="AB346" s="79"/>
      <c r="AC346" s="79"/>
    </row>
    <row r="347" customFormat="false" ht="11.25" hidden="false" customHeight="false" outlineLevel="0" collapsed="false">
      <c r="A347" s="164" t="s">
        <v>342</v>
      </c>
    </row>
    <row r="348" customFormat="false" ht="11.25" hidden="false" customHeight="false" outlineLevel="0" collapsed="false">
      <c r="B348" s="43" t="s">
        <v>343</v>
      </c>
      <c r="E348" s="88"/>
      <c r="F348" s="88"/>
      <c r="G348" s="88"/>
      <c r="H348" s="88"/>
      <c r="I348" s="88" t="e">
        <f aca="false">+I67</f>
        <v>#N/A</v>
      </c>
      <c r="J348" s="88" t="e">
        <f aca="false">+J67</f>
        <v>#VALUE!</v>
      </c>
      <c r="K348" s="88" t="e">
        <f aca="false">+K67</f>
        <v>#VALUE!</v>
      </c>
      <c r="L348" s="88" t="e">
        <f aca="false">+L67</f>
        <v>#VALUE!</v>
      </c>
      <c r="M348" s="88" t="e">
        <f aca="false">+M67</f>
        <v>#VALUE!</v>
      </c>
      <c r="N348" s="88" t="e">
        <f aca="false">+N67</f>
        <v>#VALUE!</v>
      </c>
      <c r="O348" s="88" t="e">
        <f aca="false">+O67</f>
        <v>#VALUE!</v>
      </c>
      <c r="P348" s="88" t="e">
        <f aca="false">+P67</f>
        <v>#VALUE!</v>
      </c>
      <c r="Q348" s="88" t="e">
        <f aca="false">+Q67</f>
        <v>#VALUE!</v>
      </c>
      <c r="R348" s="88" t="e">
        <f aca="false">+R67</f>
        <v>#VALUE!</v>
      </c>
      <c r="S348" s="88" t="e">
        <f aca="false">+S67</f>
        <v>#VALUE!</v>
      </c>
      <c r="T348" s="88" t="e">
        <f aca="false">+T67</f>
        <v>#VALUE!</v>
      </c>
      <c r="U348" s="88" t="e">
        <f aca="false">+U67</f>
        <v>#VALUE!</v>
      </c>
      <c r="V348" s="88" t="e">
        <f aca="false">+V67</f>
        <v>#VALUE!</v>
      </c>
      <c r="W348" s="88" t="e">
        <f aca="false">+W67</f>
        <v>#VALUE!</v>
      </c>
      <c r="X348" s="88" t="e">
        <f aca="false">+X67</f>
        <v>#VALUE!</v>
      </c>
      <c r="Y348" s="88" t="e">
        <f aca="false">+Y67</f>
        <v>#VALUE!</v>
      </c>
      <c r="Z348" s="88" t="e">
        <f aca="false">+Z67</f>
        <v>#VALUE!</v>
      </c>
      <c r="AA348" s="88" t="e">
        <f aca="false">+AA67</f>
        <v>#VALUE!</v>
      </c>
      <c r="AB348" s="88" t="e">
        <f aca="false">+AB67</f>
        <v>#VALUE!</v>
      </c>
      <c r="AC348" s="88" t="e">
        <f aca="false">+AC67</f>
        <v>#VALUE!</v>
      </c>
    </row>
    <row r="349" customFormat="false" ht="11.25" hidden="false" customHeight="false" outlineLevel="0" collapsed="false">
      <c r="B349" s="12" t="s">
        <v>344</v>
      </c>
      <c r="E349" s="88"/>
      <c r="F349" s="88"/>
      <c r="G349" s="88"/>
      <c r="H349" s="88"/>
      <c r="I349" s="88" t="e">
        <f aca="false">+I127</f>
        <v>#N/A</v>
      </c>
      <c r="J349" s="88" t="e">
        <f aca="false">+J127</f>
        <v>#VALUE!</v>
      </c>
      <c r="K349" s="88" t="e">
        <f aca="false">+K127</f>
        <v>#VALUE!</v>
      </c>
      <c r="L349" s="88" t="e">
        <f aca="false">+L127</f>
        <v>#VALUE!</v>
      </c>
      <c r="M349" s="88" t="e">
        <f aca="false">+M127</f>
        <v>#VALUE!</v>
      </c>
      <c r="N349" s="88" t="e">
        <f aca="false">+N127</f>
        <v>#VALUE!</v>
      </c>
      <c r="O349" s="88" t="e">
        <f aca="false">+O127</f>
        <v>#VALUE!</v>
      </c>
      <c r="P349" s="88" t="e">
        <f aca="false">+P127</f>
        <v>#VALUE!</v>
      </c>
      <c r="Q349" s="88" t="e">
        <f aca="false">+Q127</f>
        <v>#VALUE!</v>
      </c>
      <c r="R349" s="88" t="e">
        <f aca="false">+R127</f>
        <v>#VALUE!</v>
      </c>
      <c r="S349" s="88" t="e">
        <f aca="false">+S127</f>
        <v>#VALUE!</v>
      </c>
      <c r="T349" s="88" t="e">
        <f aca="false">+T127</f>
        <v>#VALUE!</v>
      </c>
      <c r="U349" s="88" t="e">
        <f aca="false">+U127</f>
        <v>#VALUE!</v>
      </c>
      <c r="V349" s="88" t="e">
        <f aca="false">+V127</f>
        <v>#VALUE!</v>
      </c>
      <c r="W349" s="88" t="e">
        <f aca="false">+W127</f>
        <v>#VALUE!</v>
      </c>
      <c r="X349" s="88" t="e">
        <f aca="false">+X127</f>
        <v>#VALUE!</v>
      </c>
      <c r="Y349" s="88" t="e">
        <f aca="false">+Y127</f>
        <v>#VALUE!</v>
      </c>
      <c r="Z349" s="88" t="e">
        <f aca="false">+Z127</f>
        <v>#VALUE!</v>
      </c>
      <c r="AA349" s="88" t="e">
        <f aca="false">+AA127</f>
        <v>#VALUE!</v>
      </c>
      <c r="AB349" s="88" t="e">
        <f aca="false">+AB127</f>
        <v>#VALUE!</v>
      </c>
      <c r="AC349" s="88" t="e">
        <f aca="false">+AC127</f>
        <v>#VALUE!</v>
      </c>
    </row>
    <row r="350" customFormat="false" ht="11.25" hidden="false" customHeight="false" outlineLevel="0" collapsed="false">
      <c r="B350" s="43" t="s">
        <v>345</v>
      </c>
      <c r="E350" s="88"/>
      <c r="F350" s="88"/>
      <c r="G350" s="88"/>
      <c r="H350" s="88"/>
      <c r="I350" s="88" t="e">
        <f aca="false">+I148</f>
        <v>#N/A</v>
      </c>
      <c r="J350" s="88" t="e">
        <f aca="false">+J148</f>
        <v>#VALUE!</v>
      </c>
      <c r="K350" s="88" t="e">
        <f aca="false">+K148</f>
        <v>#VALUE!</v>
      </c>
      <c r="L350" s="88" t="e">
        <f aca="false">+L148</f>
        <v>#VALUE!</v>
      </c>
      <c r="M350" s="88" t="e">
        <f aca="false">+M148</f>
        <v>#VALUE!</v>
      </c>
      <c r="N350" s="88" t="e">
        <f aca="false">+N148</f>
        <v>#VALUE!</v>
      </c>
      <c r="O350" s="88" t="e">
        <f aca="false">+O148</f>
        <v>#VALUE!</v>
      </c>
      <c r="P350" s="88" t="e">
        <f aca="false">+P148</f>
        <v>#VALUE!</v>
      </c>
      <c r="Q350" s="88" t="e">
        <f aca="false">+Q148</f>
        <v>#VALUE!</v>
      </c>
      <c r="R350" s="88" t="e">
        <f aca="false">+R148</f>
        <v>#VALUE!</v>
      </c>
      <c r="S350" s="88" t="e">
        <f aca="false">+S148</f>
        <v>#VALUE!</v>
      </c>
      <c r="T350" s="88" t="e">
        <f aca="false">+T148</f>
        <v>#VALUE!</v>
      </c>
      <c r="U350" s="88" t="e">
        <f aca="false">+U148</f>
        <v>#VALUE!</v>
      </c>
      <c r="V350" s="88" t="e">
        <f aca="false">+V148</f>
        <v>#VALUE!</v>
      </c>
      <c r="W350" s="88" t="e">
        <f aca="false">+W148</f>
        <v>#VALUE!</v>
      </c>
      <c r="X350" s="88" t="e">
        <f aca="false">+X148</f>
        <v>#VALUE!</v>
      </c>
      <c r="Y350" s="88" t="e">
        <f aca="false">+Y148</f>
        <v>#VALUE!</v>
      </c>
      <c r="Z350" s="88" t="e">
        <f aca="false">+Z148</f>
        <v>#VALUE!</v>
      </c>
      <c r="AA350" s="88" t="e">
        <f aca="false">+AA148</f>
        <v>#VALUE!</v>
      </c>
      <c r="AB350" s="88" t="e">
        <f aca="false">+AB148</f>
        <v>#VALUE!</v>
      </c>
      <c r="AC350" s="88" t="e">
        <f aca="false">+AC148</f>
        <v>#VALUE!</v>
      </c>
    </row>
    <row r="351" customFormat="false" ht="11.25" hidden="false" customHeight="false" outlineLevel="0" collapsed="false">
      <c r="B351" s="165" t="s">
        <v>346</v>
      </c>
      <c r="C351" s="68"/>
      <c r="E351" s="88"/>
      <c r="F351" s="88"/>
      <c r="G351" s="88"/>
      <c r="H351" s="88"/>
      <c r="I351" s="88" t="e">
        <f aca="false">+I23</f>
        <v>#N/A</v>
      </c>
      <c r="J351" s="88" t="e">
        <f aca="false">+J23</f>
        <v>#N/A</v>
      </c>
      <c r="K351" s="88" t="e">
        <f aca="false">+K23</f>
        <v>#N/A</v>
      </c>
      <c r="L351" s="88" t="e">
        <f aca="false">+L23</f>
        <v>#N/A</v>
      </c>
      <c r="M351" s="88" t="e">
        <f aca="false">+M23</f>
        <v>#N/A</v>
      </c>
      <c r="N351" s="88" t="e">
        <f aca="false">+N23</f>
        <v>#N/A</v>
      </c>
      <c r="O351" s="88" t="e">
        <f aca="false">+O23</f>
        <v>#N/A</v>
      </c>
      <c r="P351" s="88" t="e">
        <f aca="false">+P23</f>
        <v>#N/A</v>
      </c>
      <c r="Q351" s="88" t="e">
        <f aca="false">+Q23</f>
        <v>#N/A</v>
      </c>
      <c r="R351" s="88" t="e">
        <f aca="false">+R23</f>
        <v>#N/A</v>
      </c>
      <c r="S351" s="88" t="e">
        <f aca="false">+S23</f>
        <v>#N/A</v>
      </c>
      <c r="T351" s="88" t="e">
        <f aca="false">+T23</f>
        <v>#N/A</v>
      </c>
      <c r="U351" s="88" t="e">
        <f aca="false">+U23</f>
        <v>#N/A</v>
      </c>
      <c r="V351" s="88" t="e">
        <f aca="false">+V23</f>
        <v>#N/A</v>
      </c>
      <c r="W351" s="88" t="e">
        <f aca="false">+W23</f>
        <v>#N/A</v>
      </c>
      <c r="X351" s="88" t="e">
        <f aca="false">+X23</f>
        <v>#N/A</v>
      </c>
      <c r="Y351" s="88" t="e">
        <f aca="false">+Y23</f>
        <v>#N/A</v>
      </c>
      <c r="Z351" s="88" t="e">
        <f aca="false">+Z23</f>
        <v>#N/A</v>
      </c>
      <c r="AA351" s="88" t="e">
        <f aca="false">+AA23</f>
        <v>#N/A</v>
      </c>
      <c r="AB351" s="88" t="e">
        <f aca="false">+AB23</f>
        <v>#N/A</v>
      </c>
      <c r="AC351" s="88" t="e">
        <f aca="false">+AC23</f>
        <v>#N/A</v>
      </c>
    </row>
    <row r="352" customFormat="false" ht="11.25" hidden="false" customHeight="false" outlineLevel="0" collapsed="false">
      <c r="B352" s="43" t="s">
        <v>347</v>
      </c>
      <c r="E352" s="88"/>
      <c r="F352" s="88"/>
      <c r="G352" s="88"/>
      <c r="H352" s="88"/>
      <c r="I352" s="88"/>
      <c r="J352" s="88"/>
      <c r="K352" s="88"/>
      <c r="L352" s="88"/>
      <c r="M352" s="88"/>
      <c r="N352" s="88"/>
      <c r="O352" s="88"/>
      <c r="P352" s="88"/>
      <c r="Q352" s="88"/>
      <c r="R352" s="88"/>
      <c r="S352" s="88"/>
      <c r="T352" s="88"/>
      <c r="U352" s="88"/>
      <c r="V352" s="88"/>
      <c r="W352" s="88"/>
      <c r="X352" s="88"/>
      <c r="Y352" s="88"/>
      <c r="Z352" s="88"/>
      <c r="AA352" s="88"/>
      <c r="AB352" s="88"/>
      <c r="AC352" s="88"/>
    </row>
    <row r="353" customFormat="false" ht="11.25" hidden="false" customHeight="false" outlineLevel="0" collapsed="false">
      <c r="B353" s="43" t="s">
        <v>348</v>
      </c>
      <c r="E353" s="88"/>
      <c r="F353" s="88"/>
      <c r="G353" s="88"/>
      <c r="H353" s="88"/>
      <c r="I353" s="88"/>
      <c r="J353" s="88"/>
      <c r="K353" s="88"/>
      <c r="L353" s="88"/>
      <c r="M353" s="88"/>
      <c r="N353" s="88"/>
      <c r="O353" s="88"/>
      <c r="P353" s="88"/>
      <c r="Q353" s="88"/>
      <c r="R353" s="88"/>
      <c r="S353" s="88"/>
      <c r="T353" s="88"/>
      <c r="U353" s="88"/>
      <c r="V353" s="88"/>
      <c r="W353" s="88"/>
      <c r="X353" s="88"/>
      <c r="Y353" s="88"/>
      <c r="Z353" s="88"/>
      <c r="AA353" s="88"/>
      <c r="AB353" s="88"/>
      <c r="AC353" s="88"/>
    </row>
    <row r="354" customFormat="false" ht="11.25" hidden="false" customHeight="false" outlineLevel="0" collapsed="false">
      <c r="B354" s="166" t="s">
        <v>349</v>
      </c>
      <c r="C354" s="166"/>
      <c r="E354" s="88"/>
      <c r="F354" s="88"/>
      <c r="G354" s="88"/>
      <c r="H354" s="88"/>
      <c r="I354" s="88"/>
      <c r="J354" s="88"/>
      <c r="K354" s="88"/>
      <c r="L354" s="88"/>
      <c r="M354" s="88"/>
      <c r="N354" s="88"/>
      <c r="O354" s="88"/>
      <c r="P354" s="88"/>
      <c r="Q354" s="88"/>
      <c r="R354" s="88"/>
      <c r="S354" s="88"/>
      <c r="T354" s="88"/>
      <c r="U354" s="88"/>
      <c r="V354" s="88"/>
      <c r="W354" s="88"/>
      <c r="X354" s="88"/>
      <c r="Y354" s="88"/>
      <c r="Z354" s="88"/>
      <c r="AA354" s="88"/>
      <c r="AB354" s="88"/>
      <c r="AC354" s="88"/>
    </row>
    <row r="355" customFormat="false" ht="11.25" hidden="false" customHeight="false" outlineLevel="0" collapsed="false">
      <c r="B355" s="12" t="s">
        <v>350</v>
      </c>
      <c r="E355" s="88"/>
      <c r="F355" s="88"/>
      <c r="G355" s="88"/>
      <c r="H355" s="88"/>
      <c r="I355" s="88"/>
      <c r="J355" s="88"/>
      <c r="K355" s="88"/>
      <c r="L355" s="88"/>
      <c r="M355" s="88"/>
      <c r="N355" s="88"/>
      <c r="O355" s="88"/>
      <c r="P355" s="88"/>
      <c r="Q355" s="88"/>
      <c r="R355" s="88"/>
      <c r="S355" s="88"/>
      <c r="T355" s="88"/>
      <c r="U355" s="88"/>
      <c r="V355" s="88"/>
      <c r="W355" s="88"/>
      <c r="X355" s="88"/>
      <c r="Y355" s="88"/>
      <c r="Z355" s="88"/>
      <c r="AA355" s="88"/>
      <c r="AB355" s="88"/>
      <c r="AC355" s="88"/>
    </row>
    <row r="356" customFormat="false" ht="11.25" hidden="false" customHeight="false" outlineLevel="0" collapsed="false">
      <c r="B356" s="12" t="s">
        <v>351</v>
      </c>
      <c r="E356" s="88"/>
      <c r="F356" s="88"/>
      <c r="G356" s="88"/>
      <c r="H356" s="88"/>
      <c r="I356" s="88"/>
      <c r="J356" s="88"/>
      <c r="K356" s="88"/>
      <c r="L356" s="88"/>
      <c r="M356" s="88"/>
      <c r="N356" s="88"/>
      <c r="O356" s="88"/>
      <c r="P356" s="88"/>
      <c r="Q356" s="88"/>
      <c r="R356" s="88"/>
      <c r="S356" s="88"/>
      <c r="T356" s="88"/>
      <c r="U356" s="88"/>
      <c r="V356" s="88"/>
      <c r="W356" s="88"/>
      <c r="X356" s="88"/>
      <c r="Y356" s="88"/>
      <c r="Z356" s="88"/>
      <c r="AA356" s="88"/>
      <c r="AB356" s="88"/>
      <c r="AC356" s="88"/>
    </row>
    <row r="357" customFormat="false" ht="11.25" hidden="false" customHeight="false" outlineLevel="0" collapsed="false">
      <c r="B357" s="12" t="s">
        <v>352</v>
      </c>
      <c r="E357" s="88"/>
      <c r="F357" s="88"/>
      <c r="G357" s="88"/>
      <c r="H357" s="88"/>
      <c r="I357" s="88"/>
      <c r="J357" s="88"/>
      <c r="K357" s="88"/>
      <c r="L357" s="88"/>
      <c r="M357" s="88"/>
      <c r="N357" s="88"/>
      <c r="O357" s="88"/>
      <c r="P357" s="88"/>
      <c r="Q357" s="88"/>
      <c r="R357" s="88"/>
      <c r="S357" s="88"/>
      <c r="T357" s="88"/>
      <c r="U357" s="88"/>
      <c r="V357" s="88"/>
      <c r="W357" s="88"/>
      <c r="X357" s="88"/>
      <c r="Y357" s="88"/>
      <c r="Z357" s="88"/>
      <c r="AA357" s="88"/>
      <c r="AB357" s="88"/>
      <c r="AC357" s="88"/>
    </row>
    <row r="358" customFormat="false" ht="11.25" hidden="false" customHeight="false" outlineLevel="0" collapsed="false">
      <c r="B358" s="43" t="s">
        <v>353</v>
      </c>
      <c r="E358" s="88"/>
      <c r="F358" s="88"/>
      <c r="G358" s="88"/>
      <c r="H358" s="88"/>
      <c r="I358" s="88"/>
      <c r="J358" s="88"/>
      <c r="K358" s="88"/>
      <c r="L358" s="88"/>
      <c r="M358" s="88"/>
      <c r="N358" s="88"/>
      <c r="O358" s="88"/>
      <c r="P358" s="88"/>
      <c r="Q358" s="88"/>
      <c r="R358" s="88"/>
      <c r="S358" s="88"/>
      <c r="T358" s="88"/>
      <c r="U358" s="88"/>
      <c r="V358" s="88"/>
      <c r="W358" s="88"/>
      <c r="X358" s="88"/>
      <c r="Y358" s="88"/>
      <c r="Z358" s="88"/>
      <c r="AA358" s="88"/>
      <c r="AB358" s="88"/>
      <c r="AC358" s="88"/>
    </row>
    <row r="359" customFormat="false" ht="11.25" hidden="false" customHeight="false" outlineLevel="0" collapsed="false">
      <c r="B359" s="43" t="s">
        <v>354</v>
      </c>
      <c r="E359" s="88"/>
      <c r="F359" s="88"/>
      <c r="G359" s="88"/>
      <c r="H359" s="88"/>
      <c r="I359" s="88"/>
      <c r="J359" s="88"/>
      <c r="K359" s="88"/>
      <c r="L359" s="88"/>
      <c r="M359" s="88"/>
      <c r="N359" s="88"/>
      <c r="O359" s="88"/>
      <c r="P359" s="88"/>
      <c r="Q359" s="88"/>
      <c r="R359" s="88"/>
      <c r="S359" s="88"/>
      <c r="T359" s="88"/>
      <c r="U359" s="88"/>
      <c r="V359" s="88"/>
      <c r="W359" s="88"/>
      <c r="X359" s="88"/>
      <c r="Y359" s="88"/>
      <c r="Z359" s="88"/>
      <c r="AA359" s="88"/>
      <c r="AB359" s="88"/>
      <c r="AC359" s="88"/>
    </row>
    <row r="360" customFormat="false" ht="11.25" hidden="false" customHeight="false" outlineLevel="0" collapsed="false">
      <c r="B360" s="43"/>
      <c r="E360" s="88"/>
      <c r="F360" s="88"/>
      <c r="G360" s="88"/>
      <c r="H360" s="88"/>
      <c r="I360" s="88"/>
      <c r="J360" s="88"/>
      <c r="K360" s="88"/>
      <c r="L360" s="88"/>
      <c r="M360" s="88"/>
      <c r="N360" s="88"/>
      <c r="O360" s="88"/>
      <c r="P360" s="88"/>
      <c r="Q360" s="88"/>
      <c r="R360" s="88"/>
      <c r="S360" s="88"/>
      <c r="T360" s="88"/>
      <c r="U360" s="88"/>
      <c r="V360" s="88"/>
      <c r="W360" s="88"/>
      <c r="X360" s="88"/>
      <c r="Y360" s="88"/>
      <c r="Z360" s="88"/>
      <c r="AA360" s="88"/>
      <c r="AB360" s="88"/>
      <c r="AC360" s="88"/>
    </row>
    <row r="361" customFormat="false" ht="11.25" hidden="false" customHeight="false" outlineLevel="0" collapsed="false">
      <c r="B361" s="167" t="s">
        <v>355</v>
      </c>
      <c r="E361" s="88"/>
      <c r="F361" s="88"/>
      <c r="G361" s="88"/>
      <c r="H361" s="88"/>
      <c r="I361" s="88"/>
      <c r="J361" s="88"/>
      <c r="K361" s="88"/>
      <c r="L361" s="88"/>
      <c r="M361" s="88"/>
      <c r="N361" s="88"/>
      <c r="O361" s="88"/>
      <c r="P361" s="88"/>
      <c r="Q361" s="88"/>
      <c r="R361" s="88"/>
      <c r="S361" s="88"/>
      <c r="T361" s="88"/>
      <c r="U361" s="88"/>
      <c r="V361" s="88"/>
      <c r="W361" s="88"/>
      <c r="X361" s="88"/>
      <c r="Y361" s="88"/>
      <c r="Z361" s="88"/>
      <c r="AA361" s="88"/>
      <c r="AB361" s="88"/>
      <c r="AC361" s="88"/>
    </row>
    <row r="362" customFormat="false" ht="11.25" hidden="false" customHeight="false" outlineLevel="0" collapsed="false">
      <c r="B362" s="43" t="s">
        <v>356</v>
      </c>
      <c r="E362" s="88"/>
      <c r="F362" s="88"/>
      <c r="G362" s="88"/>
      <c r="H362" s="88"/>
      <c r="I362" s="88" t="e">
        <f aca="false">+I23</f>
        <v>#N/A</v>
      </c>
      <c r="J362" s="88" t="e">
        <f aca="false">+J23</f>
        <v>#N/A</v>
      </c>
      <c r="K362" s="88" t="e">
        <f aca="false">+K23</f>
        <v>#N/A</v>
      </c>
      <c r="L362" s="88" t="e">
        <f aca="false">+L23</f>
        <v>#N/A</v>
      </c>
      <c r="M362" s="88" t="e">
        <f aca="false">+M23</f>
        <v>#N/A</v>
      </c>
      <c r="N362" s="88" t="e">
        <f aca="false">+N23</f>
        <v>#N/A</v>
      </c>
      <c r="O362" s="88" t="e">
        <f aca="false">+O23</f>
        <v>#N/A</v>
      </c>
      <c r="P362" s="88" t="e">
        <f aca="false">+P23</f>
        <v>#N/A</v>
      </c>
      <c r="Q362" s="88" t="e">
        <f aca="false">+Q23</f>
        <v>#N/A</v>
      </c>
      <c r="R362" s="88" t="e">
        <f aca="false">+R23</f>
        <v>#N/A</v>
      </c>
      <c r="S362" s="88" t="e">
        <f aca="false">+S23</f>
        <v>#N/A</v>
      </c>
      <c r="T362" s="88" t="e">
        <f aca="false">+T23</f>
        <v>#N/A</v>
      </c>
      <c r="U362" s="88" t="e">
        <f aca="false">+U23</f>
        <v>#N/A</v>
      </c>
      <c r="V362" s="88" t="e">
        <f aca="false">+V23</f>
        <v>#N/A</v>
      </c>
      <c r="W362" s="88" t="e">
        <f aca="false">+W23</f>
        <v>#N/A</v>
      </c>
      <c r="X362" s="88" t="e">
        <f aca="false">+X23</f>
        <v>#N/A</v>
      </c>
      <c r="Y362" s="88" t="e">
        <f aca="false">+Y23</f>
        <v>#N/A</v>
      </c>
      <c r="Z362" s="88" t="e">
        <f aca="false">+Z23</f>
        <v>#N/A</v>
      </c>
      <c r="AA362" s="88" t="e">
        <f aca="false">+AA23</f>
        <v>#N/A</v>
      </c>
      <c r="AB362" s="88" t="e">
        <f aca="false">+AB23</f>
        <v>#N/A</v>
      </c>
      <c r="AC362" s="88" t="e">
        <f aca="false">+AC23</f>
        <v>#N/A</v>
      </c>
    </row>
    <row r="363" customFormat="false" ht="11.25" hidden="false" customHeight="false" outlineLevel="0" collapsed="false">
      <c r="B363" s="43" t="s">
        <v>357</v>
      </c>
      <c r="E363" s="88"/>
      <c r="F363" s="88"/>
      <c r="G363" s="88"/>
      <c r="H363" s="88"/>
      <c r="I363" s="88"/>
      <c r="J363" s="88"/>
      <c r="K363" s="88"/>
      <c r="L363" s="88"/>
      <c r="M363" s="88"/>
      <c r="N363" s="88"/>
      <c r="O363" s="88"/>
      <c r="P363" s="88"/>
      <c r="Q363" s="88"/>
      <c r="R363" s="88"/>
      <c r="S363" s="88"/>
      <c r="T363" s="88"/>
      <c r="U363" s="88"/>
      <c r="V363" s="88"/>
      <c r="W363" s="88"/>
      <c r="X363" s="88"/>
      <c r="Y363" s="88"/>
      <c r="Z363" s="88"/>
      <c r="AA363" s="88"/>
      <c r="AB363" s="88"/>
      <c r="AC363" s="88"/>
    </row>
    <row r="364" customFormat="false" ht="11.25" hidden="false" customHeight="false" outlineLevel="0" collapsed="false">
      <c r="B364" s="43" t="s">
        <v>358</v>
      </c>
      <c r="E364" s="88"/>
      <c r="F364" s="88"/>
      <c r="G364" s="88"/>
      <c r="H364" s="88"/>
      <c r="I364" s="88" t="e">
        <f aca="false">+I103</f>
        <v>#N/A</v>
      </c>
      <c r="J364" s="88" t="e">
        <f aca="false">+J103</f>
        <v>#VALUE!</v>
      </c>
      <c r="K364" s="88" t="e">
        <f aca="false">+K103</f>
        <v>#VALUE!</v>
      </c>
      <c r="L364" s="88" t="e">
        <f aca="false">+L103</f>
        <v>#VALUE!</v>
      </c>
      <c r="M364" s="88" t="e">
        <f aca="false">+M103</f>
        <v>#VALUE!</v>
      </c>
      <c r="N364" s="88" t="e">
        <f aca="false">+N103</f>
        <v>#VALUE!</v>
      </c>
      <c r="O364" s="88" t="e">
        <f aca="false">+O103</f>
        <v>#VALUE!</v>
      </c>
      <c r="P364" s="88" t="e">
        <f aca="false">+P103</f>
        <v>#VALUE!</v>
      </c>
      <c r="Q364" s="88" t="e">
        <f aca="false">+Q103</f>
        <v>#VALUE!</v>
      </c>
      <c r="R364" s="88" t="e">
        <f aca="false">+R103</f>
        <v>#VALUE!</v>
      </c>
      <c r="S364" s="88" t="e">
        <f aca="false">+S103</f>
        <v>#VALUE!</v>
      </c>
      <c r="T364" s="88" t="e">
        <f aca="false">+T103</f>
        <v>#VALUE!</v>
      </c>
      <c r="U364" s="88" t="e">
        <f aca="false">+U103</f>
        <v>#VALUE!</v>
      </c>
      <c r="V364" s="88" t="e">
        <f aca="false">+V103</f>
        <v>#VALUE!</v>
      </c>
      <c r="W364" s="88" t="e">
        <f aca="false">+W103</f>
        <v>#VALUE!</v>
      </c>
      <c r="X364" s="88" t="e">
        <f aca="false">+X103</f>
        <v>#VALUE!</v>
      </c>
      <c r="Y364" s="88" t="e">
        <f aca="false">+Y103</f>
        <v>#VALUE!</v>
      </c>
      <c r="Z364" s="88" t="e">
        <f aca="false">+Z103</f>
        <v>#VALUE!</v>
      </c>
      <c r="AA364" s="88" t="e">
        <f aca="false">+AA103</f>
        <v>#VALUE!</v>
      </c>
      <c r="AB364" s="88" t="e">
        <f aca="false">+AB103</f>
        <v>#VALUE!</v>
      </c>
      <c r="AC364" s="88" t="e">
        <f aca="false">+AC103</f>
        <v>#VALUE!</v>
      </c>
    </row>
    <row r="365" customFormat="false" ht="11.25" hidden="false" customHeight="false" outlineLevel="0" collapsed="false">
      <c r="A365" s="35"/>
      <c r="B365" s="12" t="s">
        <v>359</v>
      </c>
      <c r="C365" s="35"/>
      <c r="E365" s="88"/>
      <c r="F365" s="88"/>
      <c r="G365" s="88"/>
      <c r="H365" s="88"/>
      <c r="I365" s="88" t="e">
        <f aca="false">+I364</f>
        <v>#N/A</v>
      </c>
      <c r="J365" s="88" t="e">
        <f aca="false">+J364</f>
        <v>#VALUE!</v>
      </c>
      <c r="K365" s="88" t="e">
        <f aca="false">+K364</f>
        <v>#VALUE!</v>
      </c>
      <c r="L365" s="88" t="e">
        <f aca="false">+L364</f>
        <v>#VALUE!</v>
      </c>
      <c r="M365" s="88" t="e">
        <f aca="false">+M364</f>
        <v>#VALUE!</v>
      </c>
      <c r="N365" s="88" t="e">
        <f aca="false">+N364</f>
        <v>#VALUE!</v>
      </c>
      <c r="O365" s="88" t="e">
        <f aca="false">+O364</f>
        <v>#VALUE!</v>
      </c>
      <c r="P365" s="88" t="e">
        <f aca="false">+P364</f>
        <v>#VALUE!</v>
      </c>
      <c r="Q365" s="88" t="e">
        <f aca="false">+Q364</f>
        <v>#VALUE!</v>
      </c>
      <c r="R365" s="88" t="e">
        <f aca="false">+R364</f>
        <v>#VALUE!</v>
      </c>
      <c r="S365" s="88" t="e">
        <f aca="false">+S364</f>
        <v>#VALUE!</v>
      </c>
      <c r="T365" s="88" t="e">
        <f aca="false">+T364</f>
        <v>#VALUE!</v>
      </c>
      <c r="U365" s="88" t="e">
        <f aca="false">+U364</f>
        <v>#VALUE!</v>
      </c>
      <c r="V365" s="88" t="e">
        <f aca="false">+V364</f>
        <v>#VALUE!</v>
      </c>
      <c r="W365" s="88" t="e">
        <f aca="false">+W364</f>
        <v>#VALUE!</v>
      </c>
      <c r="X365" s="88" t="e">
        <f aca="false">+X364</f>
        <v>#VALUE!</v>
      </c>
      <c r="Y365" s="88" t="e">
        <f aca="false">+Y364</f>
        <v>#VALUE!</v>
      </c>
      <c r="Z365" s="88" t="e">
        <f aca="false">+Z364</f>
        <v>#VALUE!</v>
      </c>
      <c r="AA365" s="88" t="e">
        <f aca="false">+AA364</f>
        <v>#VALUE!</v>
      </c>
      <c r="AB365" s="88" t="e">
        <f aca="false">+AB364</f>
        <v>#VALUE!</v>
      </c>
      <c r="AC365" s="88" t="e">
        <f aca="false">+AC364</f>
        <v>#VALUE!</v>
      </c>
    </row>
    <row r="366" customFormat="false" ht="11.25" hidden="false" customHeight="false" outlineLevel="0" collapsed="false">
      <c r="A366" s="35"/>
      <c r="B366" s="12" t="s">
        <v>360</v>
      </c>
      <c r="C366" s="35"/>
      <c r="E366" s="88"/>
      <c r="F366" s="88"/>
      <c r="G366" s="88"/>
      <c r="H366" s="88"/>
      <c r="I366" s="88"/>
      <c r="J366" s="88"/>
      <c r="K366" s="88"/>
      <c r="L366" s="88"/>
      <c r="M366" s="88"/>
      <c r="N366" s="88"/>
      <c r="O366" s="88"/>
      <c r="P366" s="88"/>
      <c r="Q366" s="88"/>
      <c r="R366" s="88"/>
      <c r="S366" s="88"/>
      <c r="T366" s="88"/>
      <c r="U366" s="88"/>
      <c r="V366" s="88"/>
      <c r="W366" s="88"/>
      <c r="X366" s="88"/>
      <c r="Y366" s="88"/>
      <c r="Z366" s="88"/>
      <c r="AA366" s="88"/>
      <c r="AB366" s="88"/>
      <c r="AC366" s="88"/>
    </row>
    <row r="367" customFormat="false" ht="11.25" hidden="false" customHeight="false" outlineLevel="0" collapsed="false">
      <c r="A367" s="35"/>
      <c r="B367" s="43" t="s">
        <v>361</v>
      </c>
      <c r="C367" s="35"/>
      <c r="E367" s="88"/>
      <c r="F367" s="88"/>
      <c r="G367" s="88"/>
      <c r="H367" s="88"/>
      <c r="I367" s="88"/>
      <c r="J367" s="88"/>
      <c r="K367" s="88"/>
      <c r="L367" s="88"/>
      <c r="M367" s="88"/>
      <c r="N367" s="88"/>
      <c r="O367" s="88"/>
      <c r="P367" s="88"/>
      <c r="Q367" s="88"/>
      <c r="R367" s="88"/>
      <c r="S367" s="88"/>
      <c r="T367" s="88"/>
      <c r="U367" s="88"/>
      <c r="V367" s="88"/>
      <c r="W367" s="88"/>
      <c r="X367" s="88"/>
      <c r="Y367" s="88"/>
      <c r="Z367" s="88"/>
      <c r="AA367" s="88"/>
      <c r="AB367" s="88"/>
      <c r="AC367" s="88"/>
    </row>
    <row r="368" customFormat="false" ht="11.25" hidden="false" customHeight="false" outlineLevel="0" collapsed="false">
      <c r="A368" s="35"/>
      <c r="B368" s="43" t="s">
        <v>362</v>
      </c>
      <c r="C368" s="35"/>
      <c r="E368" s="88"/>
      <c r="F368" s="88"/>
      <c r="G368" s="88"/>
      <c r="H368" s="88"/>
      <c r="I368" s="88"/>
      <c r="J368" s="88"/>
      <c r="K368" s="88"/>
      <c r="L368" s="88"/>
      <c r="M368" s="88"/>
      <c r="N368" s="88"/>
      <c r="O368" s="88"/>
      <c r="P368" s="88"/>
      <c r="Q368" s="88"/>
      <c r="R368" s="88"/>
      <c r="S368" s="88"/>
      <c r="T368" s="88"/>
      <c r="U368" s="88"/>
      <c r="V368" s="88"/>
      <c r="W368" s="88"/>
      <c r="X368" s="88"/>
      <c r="Y368" s="88"/>
      <c r="Z368" s="88"/>
      <c r="AA368" s="88"/>
      <c r="AB368" s="88"/>
      <c r="AC368" s="88"/>
    </row>
    <row r="369" customFormat="false" ht="11.25" hidden="false" customHeight="false" outlineLevel="0" collapsed="false">
      <c r="A369" s="168" t="s">
        <v>363</v>
      </c>
      <c r="B369" s="35"/>
      <c r="C369" s="43"/>
      <c r="D369" s="35"/>
      <c r="E369" s="35"/>
      <c r="F369" s="35"/>
      <c r="G369" s="35"/>
      <c r="H369" s="65"/>
      <c r="I369" s="169"/>
      <c r="J369" s="169"/>
      <c r="K369" s="169"/>
      <c r="L369" s="169"/>
      <c r="M369" s="169"/>
      <c r="N369" s="169"/>
      <c r="O369" s="169"/>
      <c r="P369" s="169"/>
      <c r="Q369" s="169"/>
      <c r="R369" s="169"/>
      <c r="S369" s="169"/>
      <c r="T369" s="169"/>
      <c r="U369" s="169"/>
      <c r="V369" s="169"/>
      <c r="W369" s="169"/>
      <c r="X369" s="169"/>
      <c r="Y369" s="169"/>
      <c r="Z369" s="169"/>
      <c r="AA369" s="169"/>
      <c r="AB369" s="169"/>
      <c r="AC369" s="169"/>
    </row>
    <row r="370" customFormat="false" ht="11.25" hidden="false" customHeight="false" outlineLevel="0" collapsed="false">
      <c r="A370" s="168" t="s">
        <v>364</v>
      </c>
      <c r="B370" s="35"/>
      <c r="C370" s="43"/>
      <c r="D370" s="35"/>
      <c r="E370" s="35"/>
      <c r="F370" s="35"/>
      <c r="G370" s="35"/>
      <c r="H370" s="65"/>
      <c r="I370" s="169"/>
      <c r="J370" s="169"/>
      <c r="K370" s="169"/>
      <c r="L370" s="169"/>
      <c r="M370" s="169"/>
      <c r="N370" s="169"/>
      <c r="O370" s="169"/>
      <c r="P370" s="169"/>
      <c r="Q370" s="169"/>
      <c r="R370" s="169"/>
      <c r="S370" s="169"/>
      <c r="T370" s="169"/>
      <c r="U370" s="169"/>
      <c r="V370" s="169"/>
      <c r="W370" s="169"/>
      <c r="X370" s="169"/>
      <c r="Y370" s="169"/>
      <c r="Z370" s="169"/>
      <c r="AA370" s="169"/>
      <c r="AB370" s="169"/>
      <c r="AC370" s="169"/>
    </row>
    <row r="371" customFormat="false" ht="11.25" hidden="false" customHeight="false" outlineLevel="0" collapsed="false">
      <c r="A371" s="170" t="s">
        <v>365</v>
      </c>
      <c r="B371" s="35"/>
      <c r="C371" s="43"/>
      <c r="D371" s="35"/>
      <c r="E371" s="35"/>
      <c r="F371" s="35"/>
      <c r="G371" s="35"/>
      <c r="H371" s="35"/>
      <c r="I371" s="171"/>
      <c r="J371" s="35"/>
      <c r="K371" s="35"/>
      <c r="L371" s="172"/>
      <c r="M371" s="172"/>
      <c r="N371" s="172"/>
      <c r="O371" s="172"/>
      <c r="P371" s="172"/>
      <c r="Q371" s="172"/>
      <c r="R371" s="172"/>
      <c r="S371" s="172"/>
      <c r="T371" s="35"/>
      <c r="U371" s="35"/>
      <c r="V371" s="35"/>
      <c r="W371" s="35"/>
      <c r="X371" s="35"/>
    </row>
    <row r="372" customFormat="false" ht="12" hidden="false" customHeight="false" outlineLevel="0" collapsed="false">
      <c r="A372" s="105"/>
      <c r="B372" s="105"/>
      <c r="C372" s="105"/>
      <c r="D372" s="105"/>
      <c r="E372" s="105"/>
      <c r="F372" s="105"/>
      <c r="G372" s="105"/>
      <c r="H372" s="105"/>
      <c r="I372" s="105"/>
      <c r="J372" s="105"/>
      <c r="K372" s="105"/>
      <c r="L372" s="105"/>
      <c r="M372" s="105"/>
      <c r="N372" s="105"/>
      <c r="O372" s="105"/>
      <c r="P372" s="105"/>
      <c r="Q372" s="105"/>
      <c r="R372" s="105"/>
      <c r="S372" s="105"/>
      <c r="T372" s="105"/>
      <c r="U372" s="105"/>
      <c r="V372" s="105"/>
      <c r="W372" s="105"/>
      <c r="X372" s="105"/>
      <c r="Y372" s="105"/>
      <c r="Z372" s="105"/>
      <c r="AA372" s="105"/>
      <c r="AB372" s="105"/>
      <c r="AC372" s="105"/>
    </row>
    <row r="373" customFormat="false" ht="12" hidden="false" customHeight="false" outlineLevel="0" collapsed="false"/>
    <row r="374" customFormat="false" ht="11.25" hidden="false" customHeight="false" outlineLevel="0" collapsed="false">
      <c r="A374" s="164" t="s">
        <v>366</v>
      </c>
      <c r="H374" s="173"/>
    </row>
    <row r="375" customFormat="false" ht="11.25" hidden="false" customHeight="false" outlineLevel="0" collapsed="false">
      <c r="E375" s="12" t="s">
        <v>367</v>
      </c>
      <c r="H375" s="173" t="n">
        <f aca="false">+CFMODEL!H966</f>
        <v>0.5</v>
      </c>
    </row>
    <row r="376" customFormat="false" ht="11.25" hidden="false" customHeight="false" outlineLevel="0" collapsed="false">
      <c r="E376" s="43" t="s">
        <v>368</v>
      </c>
      <c r="G376" s="174"/>
      <c r="H376" s="88" t="n">
        <f aca="false">+CFMODEL!H967</f>
        <v>1000</v>
      </c>
    </row>
    <row r="377" customFormat="false" ht="11.25" hidden="false" customHeight="false" outlineLevel="0" collapsed="false">
      <c r="E377" s="43" t="s">
        <v>143</v>
      </c>
      <c r="G377" s="174"/>
      <c r="H377" s="88"/>
      <c r="I377" s="175" t="e">
        <f aca="false">+CFMODEL!I969</f>
        <v>#N/A</v>
      </c>
      <c r="J377" s="175" t="str">
        <f aca="false">+CFMODEL!J969</f>
        <v>NA</v>
      </c>
      <c r="K377" s="175" t="str">
        <f aca="false">+CFMODEL!K969</f>
        <v>NA</v>
      </c>
      <c r="L377" s="175" t="str">
        <f aca="false">+CFMODEL!L969</f>
        <v>NA</v>
      </c>
      <c r="M377" s="175" t="str">
        <f aca="false">+CFMODEL!M969</f>
        <v>NA</v>
      </c>
      <c r="N377" s="175" t="str">
        <f aca="false">+CFMODEL!N969</f>
        <v>NA</v>
      </c>
      <c r="O377" s="175" t="str">
        <f aca="false">+CFMODEL!O969</f>
        <v>NA</v>
      </c>
      <c r="P377" s="175" t="str">
        <f aca="false">+CFMODEL!P969</f>
        <v>NA</v>
      </c>
      <c r="Q377" s="175" t="str">
        <f aca="false">+CFMODEL!Q969</f>
        <v>NA</v>
      </c>
      <c r="R377" s="175" t="str">
        <f aca="false">+CFMODEL!R969</f>
        <v>NA</v>
      </c>
      <c r="S377" s="175" t="str">
        <f aca="false">+CFMODEL!S969</f>
        <v>NA</v>
      </c>
      <c r="T377" s="175" t="str">
        <f aca="false">+CFMODEL!T969</f>
        <v>NA</v>
      </c>
      <c r="U377" s="175" t="str">
        <f aca="false">+CFMODEL!U969</f>
        <v>NA</v>
      </c>
      <c r="V377" s="175" t="str">
        <f aca="false">+CFMODEL!V969</f>
        <v>NA</v>
      </c>
      <c r="W377" s="175" t="str">
        <f aca="false">+CFMODEL!W969</f>
        <v>NA</v>
      </c>
      <c r="X377" s="175" t="str">
        <f aca="false">+CFMODEL!X969</f>
        <v>NA</v>
      </c>
      <c r="Y377" s="175" t="str">
        <f aca="false">+CFMODEL!Y969</f>
        <v>NA</v>
      </c>
      <c r="Z377" s="175" t="str">
        <f aca="false">+CFMODEL!Z969</f>
        <v>NA</v>
      </c>
      <c r="AA377" s="175" t="str">
        <f aca="false">+CFMODEL!AA969</f>
        <v>NA</v>
      </c>
      <c r="AB377" s="175" t="str">
        <f aca="false">+CFMODEL!AB969</f>
        <v>NA</v>
      </c>
      <c r="AC377" s="175" t="str">
        <f aca="false">+CFMODEL!AC969</f>
        <v>NA</v>
      </c>
    </row>
    <row r="378" customFormat="false" ht="11.25" hidden="false" customHeight="false" outlineLevel="0" collapsed="false">
      <c r="E378" s="43" t="s">
        <v>369</v>
      </c>
      <c r="G378" s="174"/>
      <c r="H378" s="88"/>
      <c r="I378" s="176" t="e">
        <f aca="false">+CFMODEL!I970</f>
        <v>#N/A</v>
      </c>
      <c r="J378" s="176" t="e">
        <f aca="false">+CFMODEL!J970</f>
        <v>#N/A</v>
      </c>
      <c r="K378" s="176" t="e">
        <f aca="false">+CFMODEL!K970</f>
        <v>#N/A</v>
      </c>
      <c r="L378" s="176" t="e">
        <f aca="false">+CFMODEL!L970</f>
        <v>#N/A</v>
      </c>
      <c r="M378" s="176" t="e">
        <f aca="false">+CFMODEL!M970</f>
        <v>#N/A</v>
      </c>
      <c r="N378" s="176" t="e">
        <f aca="false">+CFMODEL!N970</f>
        <v>#N/A</v>
      </c>
      <c r="O378" s="176" t="e">
        <f aca="false">+CFMODEL!O970</f>
        <v>#N/A</v>
      </c>
      <c r="P378" s="176" t="e">
        <f aca="false">+CFMODEL!P970</f>
        <v>#N/A</v>
      </c>
      <c r="Q378" s="176" t="e">
        <f aca="false">+CFMODEL!Q970</f>
        <v>#N/A</v>
      </c>
      <c r="R378" s="176" t="e">
        <f aca="false">+CFMODEL!R970</f>
        <v>#N/A</v>
      </c>
      <c r="S378" s="176" t="e">
        <f aca="false">+CFMODEL!S970</f>
        <v>#N/A</v>
      </c>
      <c r="T378" s="176" t="e">
        <f aca="false">+CFMODEL!T970</f>
        <v>#N/A</v>
      </c>
      <c r="U378" s="176" t="e">
        <f aca="false">+CFMODEL!U970</f>
        <v>#N/A</v>
      </c>
      <c r="V378" s="176" t="e">
        <f aca="false">+CFMODEL!V970</f>
        <v>#N/A</v>
      </c>
      <c r="W378" s="176" t="e">
        <f aca="false">+CFMODEL!W970</f>
        <v>#N/A</v>
      </c>
      <c r="X378" s="176" t="e">
        <f aca="false">+CFMODEL!X970</f>
        <v>#N/A</v>
      </c>
      <c r="Y378" s="176" t="e">
        <f aca="false">+CFMODEL!Y970</f>
        <v>#N/A</v>
      </c>
      <c r="Z378" s="176" t="e">
        <f aca="false">+CFMODEL!Z970</f>
        <v>#N/A</v>
      </c>
      <c r="AA378" s="176" t="e">
        <f aca="false">+CFMODEL!AA970</f>
        <v>#N/A</v>
      </c>
      <c r="AB378" s="176" t="e">
        <f aca="false">+CFMODEL!AB970</f>
        <v>#N/A</v>
      </c>
      <c r="AC378" s="176" t="e">
        <f aca="false">+CFMODEL!AC970</f>
        <v>#N/A</v>
      </c>
    </row>
    <row r="379" customFormat="false" ht="11.25" hidden="false" customHeight="false" outlineLevel="0" collapsed="false">
      <c r="E379" s="43" t="s">
        <v>370</v>
      </c>
      <c r="G379" s="174"/>
      <c r="I379" s="88" t="e">
        <f aca="false">+CFMODEL!I971</f>
        <v>#VALUE!</v>
      </c>
      <c r="J379" s="88" t="e">
        <f aca="false">+CFMODEL!J971</f>
        <v>#VALUE!</v>
      </c>
      <c r="K379" s="88" t="e">
        <f aca="false">+CFMODEL!K971</f>
        <v>#VALUE!</v>
      </c>
      <c r="L379" s="88" t="e">
        <f aca="false">+CFMODEL!L971</f>
        <v>#VALUE!</v>
      </c>
      <c r="M379" s="88" t="e">
        <f aca="false">+CFMODEL!M971</f>
        <v>#VALUE!</v>
      </c>
      <c r="N379" s="88" t="e">
        <f aca="false">+CFMODEL!N971</f>
        <v>#VALUE!</v>
      </c>
      <c r="O379" s="88" t="e">
        <f aca="false">+CFMODEL!O971</f>
        <v>#VALUE!</v>
      </c>
      <c r="P379" s="88" t="e">
        <f aca="false">+CFMODEL!P971</f>
        <v>#VALUE!</v>
      </c>
      <c r="Q379" s="88" t="e">
        <f aca="false">+CFMODEL!Q971</f>
        <v>#VALUE!</v>
      </c>
      <c r="R379" s="88" t="e">
        <f aca="false">+CFMODEL!R971</f>
        <v>#VALUE!</v>
      </c>
      <c r="S379" s="88" t="e">
        <f aca="false">+CFMODEL!S971</f>
        <v>#VALUE!</v>
      </c>
      <c r="T379" s="88" t="e">
        <f aca="false">+CFMODEL!T971</f>
        <v>#VALUE!</v>
      </c>
      <c r="U379" s="88" t="e">
        <f aca="false">+CFMODEL!U971</f>
        <v>#VALUE!</v>
      </c>
      <c r="V379" s="88" t="e">
        <f aca="false">+CFMODEL!V971</f>
        <v>#VALUE!</v>
      </c>
      <c r="W379" s="88" t="e">
        <f aca="false">+CFMODEL!W971</f>
        <v>#VALUE!</v>
      </c>
      <c r="X379" s="88" t="e">
        <f aca="false">+CFMODEL!X971</f>
        <v>#VALUE!</v>
      </c>
      <c r="Y379" s="88" t="e">
        <f aca="false">+CFMODEL!Y971</f>
        <v>#VALUE!</v>
      </c>
      <c r="Z379" s="88" t="e">
        <f aca="false">+CFMODEL!Z971</f>
        <v>#VALUE!</v>
      </c>
      <c r="AA379" s="88" t="e">
        <f aca="false">+CFMODEL!AA971</f>
        <v>#VALUE!</v>
      </c>
      <c r="AB379" s="88" t="e">
        <f aca="false">+CFMODEL!AB971</f>
        <v>#VALUE!</v>
      </c>
      <c r="AC379" s="88" t="e">
        <f aca="false">+CFMODEL!AC971</f>
        <v>#VALUE!</v>
      </c>
    </row>
    <row r="380" customFormat="false" ht="11.25" hidden="false" customHeight="false" outlineLevel="0" collapsed="false">
      <c r="E380" s="43" t="s">
        <v>371</v>
      </c>
      <c r="G380" s="174"/>
      <c r="I380" s="88" t="e">
        <f aca="false">+CFMODEL!I972</f>
        <v>#N/A</v>
      </c>
      <c r="J380" s="88" t="e">
        <f aca="false">+CFMODEL!J972</f>
        <v>#N/A</v>
      </c>
      <c r="K380" s="88" t="e">
        <f aca="false">+CFMODEL!K972</f>
        <v>#N/A</v>
      </c>
      <c r="L380" s="88" t="e">
        <f aca="false">+CFMODEL!L972</f>
        <v>#N/A</v>
      </c>
      <c r="M380" s="88" t="e">
        <f aca="false">+CFMODEL!M972</f>
        <v>#N/A</v>
      </c>
      <c r="N380" s="88" t="e">
        <f aca="false">+CFMODEL!N972</f>
        <v>#N/A</v>
      </c>
      <c r="O380" s="88" t="e">
        <f aca="false">+CFMODEL!O972</f>
        <v>#N/A</v>
      </c>
      <c r="P380" s="88" t="e">
        <f aca="false">+CFMODEL!P972</f>
        <v>#N/A</v>
      </c>
      <c r="Q380" s="88" t="e">
        <f aca="false">+CFMODEL!Q972</f>
        <v>#N/A</v>
      </c>
      <c r="R380" s="88" t="e">
        <f aca="false">+CFMODEL!R972</f>
        <v>#N/A</v>
      </c>
      <c r="S380" s="88" t="e">
        <f aca="false">+CFMODEL!S972</f>
        <v>#N/A</v>
      </c>
      <c r="T380" s="88" t="e">
        <f aca="false">+CFMODEL!T972</f>
        <v>#N/A</v>
      </c>
      <c r="U380" s="88" t="e">
        <f aca="false">+CFMODEL!U972</f>
        <v>#N/A</v>
      </c>
      <c r="V380" s="88" t="e">
        <f aca="false">+CFMODEL!V972</f>
        <v>#N/A</v>
      </c>
      <c r="W380" s="88" t="e">
        <f aca="false">+CFMODEL!W972</f>
        <v>#N/A</v>
      </c>
      <c r="X380" s="88" t="e">
        <f aca="false">+CFMODEL!X972</f>
        <v>#N/A</v>
      </c>
      <c r="Y380" s="88" t="e">
        <f aca="false">+CFMODEL!Y972</f>
        <v>#N/A</v>
      </c>
      <c r="Z380" s="88" t="e">
        <f aca="false">+CFMODEL!Z972</f>
        <v>#N/A</v>
      </c>
      <c r="AA380" s="88" t="e">
        <f aca="false">+CFMODEL!AA972</f>
        <v>#N/A</v>
      </c>
      <c r="AB380" s="88" t="e">
        <f aca="false">+CFMODEL!AB972</f>
        <v>#N/A</v>
      </c>
      <c r="AC380" s="88" t="e">
        <f aca="false">+CFMODEL!AC972</f>
        <v>#N/A</v>
      </c>
    </row>
    <row r="381" customFormat="false" ht="12" hidden="false" customHeight="false" outlineLevel="0" collapsed="false">
      <c r="A381" s="105"/>
      <c r="B381" s="105"/>
      <c r="C381" s="105"/>
      <c r="D381" s="105"/>
      <c r="E381" s="105"/>
      <c r="F381" s="105"/>
      <c r="G381" s="105"/>
      <c r="H381" s="105"/>
      <c r="I381" s="105"/>
      <c r="J381" s="105"/>
      <c r="K381" s="105"/>
      <c r="L381" s="105"/>
      <c r="M381" s="105"/>
      <c r="N381" s="105"/>
      <c r="O381" s="105"/>
      <c r="P381" s="105"/>
      <c r="Q381" s="105"/>
      <c r="R381" s="105"/>
      <c r="S381" s="105"/>
      <c r="T381" s="105"/>
      <c r="U381" s="105"/>
      <c r="V381" s="105"/>
      <c r="W381" s="105"/>
      <c r="X381" s="105"/>
      <c r="Y381" s="105"/>
      <c r="Z381" s="105"/>
      <c r="AA381" s="105"/>
      <c r="AB381" s="105"/>
      <c r="AC381" s="105"/>
    </row>
    <row r="382" customFormat="false" ht="12" hidden="false" customHeight="false" outlineLevel="0" collapsed="false"/>
  </sheetData>
  <mergeCells count="1">
    <mergeCell ref="B29:E29"/>
  </mergeCells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5" scale="100" fitToWidth="1" fitToHeight="10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R885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3" ySplit="3" topLeftCell="AF796" activePane="bottomRight" state="frozen"/>
      <selection pane="topLeft" activeCell="A1" activeCellId="0" sqref="A1"/>
      <selection pane="topRight" activeCell="AF1" activeCellId="0" sqref="AF1"/>
      <selection pane="bottomLeft" activeCell="A796" activeCellId="0" sqref="A796"/>
      <selection pane="bottomRight" activeCell="AI828" activeCellId="0" sqref="AI828"/>
    </sheetView>
  </sheetViews>
  <sheetFormatPr defaultColWidth="9.82421875" defaultRowHeight="11.25" customHeight="true" zeroHeight="false" outlineLevelRow="0" outlineLevelCol="0"/>
  <cols>
    <col collapsed="false" customWidth="true" hidden="false" outlineLevel="0" max="2" min="1" style="67" width="11.49"/>
    <col collapsed="false" customWidth="true" hidden="false" outlineLevel="0" max="3" min="3" style="67" width="15.65"/>
    <col collapsed="false" customWidth="true" hidden="false" outlineLevel="0" max="6" min="6" style="67" width="9.49"/>
  </cols>
  <sheetData>
    <row r="1" customFormat="false" ht="12" hidden="false" customHeight="false" outlineLevel="0" collapsed="false">
      <c r="A1" s="12" t="n">
        <v>0</v>
      </c>
      <c r="AE1" s="43" t="s">
        <v>372</v>
      </c>
    </row>
    <row r="2" customFormat="false" ht="12.75" hidden="false" customHeight="false" outlineLevel="0" collapsed="false">
      <c r="A2" s="67" t="b">
        <f aca="false">FALSE()</f>
        <v>0</v>
      </c>
      <c r="F2" s="35"/>
      <c r="H2" s="71" t="str">
        <f aca="false">YearHeadings</f>
        <v>6/30/99 or</v>
      </c>
      <c r="I2" s="33" t="str">
        <f aca="false">YearHeadings</f>
        <v>12/31/99 or</v>
      </c>
      <c r="J2" s="34" t="s">
        <v>373</v>
      </c>
      <c r="K2" s="35"/>
      <c r="L2" s="35"/>
      <c r="M2" s="35"/>
      <c r="N2" s="35"/>
      <c r="O2" s="35"/>
      <c r="P2" s="35"/>
      <c r="Q2" s="35"/>
      <c r="R2" s="35"/>
      <c r="S2" s="36" t="str">
        <f aca="false">YearHeadings</f>
        <v>Year 10</v>
      </c>
      <c r="U2" s="35"/>
      <c r="V2" s="35"/>
      <c r="W2" s="35"/>
      <c r="X2" s="35"/>
      <c r="AA2" s="37"/>
      <c r="AC2" s="38" t="s">
        <v>13</v>
      </c>
      <c r="AE2" s="67" t="s">
        <v>374</v>
      </c>
    </row>
    <row r="3" customFormat="false" ht="12.75" hidden="false" customHeight="false" outlineLevel="0" collapsed="false">
      <c r="E3" s="72" t="str">
        <f aca="false">YearHeadings</f>
        <v>1996 </v>
      </c>
      <c r="F3" s="72" t="str">
        <f aca="false">YearHeadings</f>
        <v>1997 </v>
      </c>
      <c r="G3" s="72" t="str">
        <f aca="false">YearHeadings</f>
        <v>1998 </v>
      </c>
      <c r="H3" s="73" t="str">
        <f aca="false">YearHeadings</f>
        <v>6 M/1999 </v>
      </c>
      <c r="I3" s="39" t="str">
        <f aca="false">YearHeadings</f>
        <v>6 M/1999 </v>
      </c>
      <c r="J3" s="40" t="n">
        <f aca="false">YearHeadings</f>
        <v>2000</v>
      </c>
      <c r="K3" s="40" t="n">
        <f aca="false">YearHeadings</f>
        <v>2001</v>
      </c>
      <c r="L3" s="40" t="n">
        <f aca="false">YearHeadings</f>
        <v>2002</v>
      </c>
      <c r="M3" s="40" t="n">
        <f aca="false">YearHeadings</f>
        <v>2003</v>
      </c>
      <c r="N3" s="40" t="n">
        <f aca="false">YearHeadings</f>
        <v>2004</v>
      </c>
      <c r="O3" s="40" t="n">
        <f aca="false">YearHeadings</f>
        <v>2005</v>
      </c>
      <c r="P3" s="40" t="n">
        <f aca="false">YearHeadings</f>
        <v>2006</v>
      </c>
      <c r="Q3" s="40" t="n">
        <f aca="false">YearHeadings</f>
        <v>2007</v>
      </c>
      <c r="R3" s="40" t="n">
        <f aca="false">YearHeadings</f>
        <v>2008</v>
      </c>
      <c r="S3" s="41" t="n">
        <f aca="false">YearHeadings</f>
        <v>2009</v>
      </c>
      <c r="T3" s="40" t="n">
        <f aca="false">YearHeadings</f>
        <v>2010</v>
      </c>
      <c r="U3" s="40" t="n">
        <f aca="false">YearHeadings</f>
        <v>2011</v>
      </c>
      <c r="V3" s="40" t="n">
        <f aca="false">YearHeadings</f>
        <v>2012</v>
      </c>
      <c r="W3" s="40" t="n">
        <f aca="false">YearHeadings</f>
        <v>2013</v>
      </c>
      <c r="X3" s="40" t="n">
        <f aca="false">YearHeadings</f>
        <v>2014</v>
      </c>
      <c r="Y3" s="40" t="n">
        <f aca="false">+X3+1</f>
        <v>2015</v>
      </c>
      <c r="Z3" s="40" t="n">
        <f aca="false">+Y3+1</f>
        <v>2016</v>
      </c>
      <c r="AA3" s="40" t="n">
        <f aca="false">+Z3+1</f>
        <v>2017</v>
      </c>
      <c r="AB3" s="40" t="n">
        <f aca="false">+AA3+1</f>
        <v>2018</v>
      </c>
      <c r="AC3" s="41" t="n">
        <f aca="false">+AB3+1</f>
        <v>2019</v>
      </c>
      <c r="AE3" s="67" t="s">
        <v>375</v>
      </c>
    </row>
    <row r="4" customFormat="false" ht="12" hidden="false" customHeight="false" outlineLevel="0" collapsed="false">
      <c r="A4" s="4" t="str">
        <f aca="false">+CFMODEL!A4</f>
        <v>Clampett Oil Company</v>
      </c>
      <c r="AE4" s="67" t="s">
        <v>376</v>
      </c>
    </row>
    <row r="5" customFormat="false" ht="11.25" hidden="false" customHeight="false" outlineLevel="0" collapsed="false">
      <c r="A5" s="4" t="str">
        <f aca="false">+CFMODEL!A5</f>
        <v>SCENARIO:    </v>
      </c>
      <c r="C5" s="75" t="str">
        <f aca="false">+CFMODEL!C5</f>
        <v>BASE</v>
      </c>
      <c r="E5" s="76" t="str">
        <f aca="false">+CFMODEL!E5</f>
        <v>($ in</v>
      </c>
      <c r="F5" s="77" t="str">
        <f aca="false">+CFMODEL!F5&amp;")"</f>
        <v>Thousands)</v>
      </c>
      <c r="G5" s="78"/>
      <c r="AE5" s="67" t="s">
        <v>377</v>
      </c>
    </row>
    <row r="6" customFormat="false" ht="12" hidden="false" customHeight="false" outlineLevel="0" collapsed="false">
      <c r="AE6" s="67" t="s">
        <v>378</v>
      </c>
    </row>
    <row r="7" customFormat="false" ht="12.75" hidden="false" customHeight="false" outlineLevel="0" collapsed="false">
      <c r="A7" s="79"/>
      <c r="B7" s="79"/>
      <c r="C7" s="79"/>
      <c r="D7" s="79"/>
      <c r="E7" s="79" t="s">
        <v>379</v>
      </c>
      <c r="G7" s="79"/>
      <c r="H7" s="79"/>
      <c r="I7" s="79"/>
      <c r="J7" s="79"/>
      <c r="K7" s="79"/>
      <c r="L7" s="79"/>
      <c r="M7" s="79"/>
      <c r="N7" s="79"/>
      <c r="O7" s="79"/>
      <c r="P7" s="79"/>
      <c r="Q7" s="79"/>
      <c r="R7" s="79"/>
      <c r="S7" s="79"/>
      <c r="T7" s="79"/>
      <c r="U7" s="79"/>
      <c r="V7" s="79"/>
      <c r="W7" s="79"/>
      <c r="X7" s="79"/>
      <c r="Y7" s="79"/>
      <c r="Z7" s="79"/>
      <c r="AA7" s="79"/>
      <c r="AB7" s="79"/>
      <c r="AC7" s="79"/>
      <c r="AE7" s="67" t="s">
        <v>380</v>
      </c>
    </row>
    <row r="8" customFormat="false" ht="12.75" hidden="false" customHeight="false" outlineLevel="0" collapsed="false">
      <c r="A8" s="82" t="s">
        <v>381</v>
      </c>
      <c r="B8" s="80"/>
      <c r="C8" s="80"/>
      <c r="D8" s="80" t="s">
        <v>382</v>
      </c>
      <c r="E8" s="80" t="s">
        <v>383</v>
      </c>
      <c r="G8" s="88"/>
      <c r="I8" s="81" t="str">
        <f aca="false">+I$3</f>
        <v>6 M/1999 </v>
      </c>
      <c r="J8" s="81" t="n">
        <f aca="false">+J$3</f>
        <v>2000</v>
      </c>
      <c r="K8" s="81" t="n">
        <f aca="false">+K$3</f>
        <v>2001</v>
      </c>
      <c r="L8" s="81" t="n">
        <f aca="false">+L$3</f>
        <v>2002</v>
      </c>
      <c r="M8" s="81" t="n">
        <f aca="false">+M$3</f>
        <v>2003</v>
      </c>
      <c r="N8" s="81" t="n">
        <f aca="false">+N$3</f>
        <v>2004</v>
      </c>
      <c r="O8" s="81" t="n">
        <f aca="false">+O$3</f>
        <v>2005</v>
      </c>
      <c r="P8" s="81" t="n">
        <f aca="false">+P$3</f>
        <v>2006</v>
      </c>
      <c r="Q8" s="81" t="n">
        <f aca="false">+Q$3</f>
        <v>2007</v>
      </c>
      <c r="R8" s="81" t="n">
        <f aca="false">+R$3</f>
        <v>2008</v>
      </c>
      <c r="S8" s="81" t="n">
        <f aca="false">+S$3</f>
        <v>2009</v>
      </c>
      <c r="T8" s="81" t="n">
        <f aca="false">+T$3</f>
        <v>2010</v>
      </c>
      <c r="U8" s="81" t="n">
        <f aca="false">+U$3</f>
        <v>2011</v>
      </c>
      <c r="V8" s="81" t="n">
        <f aca="false">+V$3</f>
        <v>2012</v>
      </c>
      <c r="W8" s="81" t="n">
        <f aca="false">+W$3</f>
        <v>2013</v>
      </c>
      <c r="X8" s="81" t="n">
        <f aca="false">+X$3</f>
        <v>2014</v>
      </c>
      <c r="Y8" s="81" t="n">
        <f aca="false">+Y$3</f>
        <v>2015</v>
      </c>
      <c r="Z8" s="81" t="n">
        <f aca="false">+Z$3</f>
        <v>2016</v>
      </c>
      <c r="AA8" s="81" t="n">
        <f aca="false">+AA$3</f>
        <v>2017</v>
      </c>
      <c r="AB8" s="81" t="n">
        <f aca="false">+AB$3</f>
        <v>2018</v>
      </c>
      <c r="AC8" s="81" t="n">
        <f aca="false">+AC$3</f>
        <v>2019</v>
      </c>
      <c r="AE8" s="67" t="s">
        <v>384</v>
      </c>
    </row>
    <row r="9" customFormat="false" ht="12" hidden="false" customHeight="false" outlineLevel="0" collapsed="false">
      <c r="A9" s="142" t="s">
        <v>385</v>
      </c>
      <c r="B9" s="80"/>
      <c r="C9" s="80"/>
      <c r="D9" s="177" t="s">
        <v>386</v>
      </c>
      <c r="E9" s="80" t="s">
        <v>387</v>
      </c>
      <c r="F9" s="67" t="s">
        <v>388</v>
      </c>
      <c r="G9" s="80" t="s">
        <v>389</v>
      </c>
      <c r="H9" s="67" t="s">
        <v>390</v>
      </c>
      <c r="I9" s="80"/>
      <c r="J9" s="80"/>
      <c r="K9" s="80"/>
      <c r="L9" s="80"/>
      <c r="M9" s="80"/>
      <c r="N9" s="80"/>
      <c r="O9" s="80"/>
      <c r="P9" s="80"/>
      <c r="Q9" s="80"/>
      <c r="R9" s="80"/>
      <c r="S9" s="80"/>
      <c r="T9" s="80"/>
      <c r="U9" s="80"/>
      <c r="V9" s="80"/>
      <c r="W9" s="80"/>
      <c r="X9" s="80"/>
      <c r="Y9" s="80"/>
      <c r="Z9" s="80"/>
      <c r="AA9" s="80"/>
      <c r="AB9" s="80"/>
      <c r="AC9" s="80"/>
      <c r="AE9" s="67" t="str">
        <f aca="false">+"Oil &amp; Gas - "&amp;C10</f>
        <v>Oil &amp; Gas - PDP</v>
      </c>
    </row>
    <row r="10" customFormat="false" ht="11.25" hidden="false" customHeight="false" outlineLevel="0" collapsed="false">
      <c r="A10" s="80"/>
      <c r="B10" s="4" t="s">
        <v>17</v>
      </c>
      <c r="C10" s="178" t="s">
        <v>391</v>
      </c>
      <c r="D10" s="140" t="n">
        <f aca="false">SUM(I10:AC10)</f>
        <v>0</v>
      </c>
      <c r="G10" s="179" t="n">
        <f aca="false">I246</f>
        <v>1</v>
      </c>
      <c r="H10" s="137"/>
      <c r="I10" s="180" t="n">
        <v>0</v>
      </c>
      <c r="J10" s="180" t="n">
        <v>0</v>
      </c>
      <c r="K10" s="180" t="n">
        <v>0</v>
      </c>
      <c r="L10" s="180" t="n">
        <v>0</v>
      </c>
      <c r="M10" s="180" t="n">
        <v>0</v>
      </c>
      <c r="N10" s="180" t="n">
        <v>0</v>
      </c>
      <c r="O10" s="180" t="n">
        <v>0</v>
      </c>
      <c r="P10" s="180" t="n">
        <v>0</v>
      </c>
      <c r="Q10" s="180" t="n">
        <v>0</v>
      </c>
      <c r="R10" s="180" t="n">
        <v>0</v>
      </c>
      <c r="S10" s="180" t="n">
        <v>0</v>
      </c>
      <c r="T10" s="180" t="n">
        <v>0</v>
      </c>
      <c r="U10" s="180" t="n">
        <v>0</v>
      </c>
      <c r="V10" s="180" t="n">
        <v>0</v>
      </c>
      <c r="W10" s="180" t="n">
        <v>0</v>
      </c>
      <c r="X10" s="180" t="n">
        <v>0</v>
      </c>
      <c r="Y10" s="180" t="n">
        <v>0</v>
      </c>
      <c r="Z10" s="180" t="n">
        <v>0</v>
      </c>
      <c r="AA10" s="180" t="n">
        <v>0</v>
      </c>
      <c r="AB10" s="180" t="n">
        <v>0</v>
      </c>
      <c r="AC10" s="180" t="n">
        <v>0</v>
      </c>
      <c r="AE10" s="67" t="str">
        <f aca="false">+"Oil &amp; Gas - "&amp;C12</f>
        <v>Oil &amp; Gas - PDNP</v>
      </c>
    </row>
    <row r="11" customFormat="false" ht="11.25" hidden="false" customHeight="false" outlineLevel="0" collapsed="false">
      <c r="A11" s="80"/>
      <c r="B11" s="4"/>
      <c r="C11" s="178"/>
      <c r="D11" s="140"/>
      <c r="G11" s="179"/>
      <c r="H11" s="137"/>
      <c r="I11" s="181" t="n">
        <f aca="false">I10*$G$10</f>
        <v>0</v>
      </c>
      <c r="J11" s="181" t="n">
        <f aca="false">J10*$G$10</f>
        <v>0</v>
      </c>
      <c r="K11" s="181" t="n">
        <f aca="false">K10*$G$10</f>
        <v>0</v>
      </c>
      <c r="L11" s="181" t="n">
        <f aca="false">L10*$G$10</f>
        <v>0</v>
      </c>
      <c r="M11" s="181" t="n">
        <f aca="false">M10*$G$10</f>
        <v>0</v>
      </c>
      <c r="N11" s="181" t="n">
        <f aca="false">N10*$G$10</f>
        <v>0</v>
      </c>
      <c r="O11" s="181" t="n">
        <f aca="false">O10*$G$10</f>
        <v>0</v>
      </c>
      <c r="P11" s="181" t="n">
        <f aca="false">P10*$G$10</f>
        <v>0</v>
      </c>
      <c r="Q11" s="181" t="n">
        <f aca="false">Q10*$G$10</f>
        <v>0</v>
      </c>
      <c r="R11" s="181" t="n">
        <f aca="false">R10*$G$10</f>
        <v>0</v>
      </c>
      <c r="S11" s="181" t="n">
        <f aca="false">S10*$G$10</f>
        <v>0</v>
      </c>
      <c r="T11" s="181" t="n">
        <f aca="false">T10*$G$10</f>
        <v>0</v>
      </c>
      <c r="U11" s="181" t="n">
        <f aca="false">U10*$G$10</f>
        <v>0</v>
      </c>
      <c r="V11" s="181" t="n">
        <f aca="false">V10*$G$10</f>
        <v>0</v>
      </c>
      <c r="W11" s="181" t="n">
        <f aca="false">W10*$G$10</f>
        <v>0</v>
      </c>
      <c r="X11" s="181" t="n">
        <f aca="false">X10*$G$10</f>
        <v>0</v>
      </c>
      <c r="Y11" s="181" t="n">
        <f aca="false">Y10*$G$10</f>
        <v>0</v>
      </c>
      <c r="Z11" s="181" t="n">
        <f aca="false">Z10*$G$10</f>
        <v>0</v>
      </c>
      <c r="AA11" s="181" t="n">
        <f aca="false">AA10*$G$10</f>
        <v>0</v>
      </c>
      <c r="AB11" s="181" t="n">
        <f aca="false">AB10*$G$10</f>
        <v>0</v>
      </c>
      <c r="AC11" s="181" t="n">
        <f aca="false">AC10*$G$10</f>
        <v>0</v>
      </c>
    </row>
    <row r="12" customFormat="false" ht="11.25" hidden="false" customHeight="false" outlineLevel="0" collapsed="false">
      <c r="A12" s="80"/>
      <c r="C12" s="178" t="s">
        <v>392</v>
      </c>
      <c r="D12" s="140" t="n">
        <f aca="false">SUM(I12:AC12)</f>
        <v>16.2</v>
      </c>
      <c r="G12" s="179" t="n">
        <f aca="false">F311</f>
        <v>1</v>
      </c>
      <c r="H12" s="137"/>
      <c r="I12" s="180" t="n">
        <v>0</v>
      </c>
      <c r="J12" s="180" t="n">
        <v>0</v>
      </c>
      <c r="K12" s="180" t="n">
        <v>0</v>
      </c>
      <c r="L12" s="180" t="n">
        <v>0</v>
      </c>
      <c r="M12" s="180" t="n">
        <v>0</v>
      </c>
      <c r="N12" s="182" t="n">
        <v>0</v>
      </c>
      <c r="O12" s="180" t="n">
        <v>0</v>
      </c>
      <c r="P12" s="180" t="n">
        <v>0</v>
      </c>
      <c r="Q12" s="180" t="n">
        <v>16.2</v>
      </c>
      <c r="R12" s="180" t="n">
        <v>0</v>
      </c>
      <c r="S12" s="180" t="n">
        <v>0</v>
      </c>
      <c r="T12" s="180" t="n">
        <v>0</v>
      </c>
      <c r="U12" s="180" t="n">
        <v>0</v>
      </c>
      <c r="V12" s="180" t="n">
        <v>0</v>
      </c>
      <c r="W12" s="180" t="n">
        <v>0</v>
      </c>
      <c r="X12" s="180" t="n">
        <v>0</v>
      </c>
      <c r="Y12" s="180" t="n">
        <v>0</v>
      </c>
      <c r="Z12" s="180" t="n">
        <v>0</v>
      </c>
      <c r="AA12" s="180" t="n">
        <v>0</v>
      </c>
      <c r="AB12" s="180" t="n">
        <v>0</v>
      </c>
      <c r="AC12" s="180" t="n">
        <v>0</v>
      </c>
      <c r="AE12" s="67" t="str">
        <f aca="false">+"Oil &amp; Gas - "&amp;C14</f>
        <v>Oil &amp; Gas - PUD</v>
      </c>
    </row>
    <row r="13" customFormat="false" ht="11.25" hidden="false" customHeight="false" outlineLevel="0" collapsed="false">
      <c r="A13" s="80"/>
      <c r="C13" s="178"/>
      <c r="D13" s="140"/>
      <c r="G13" s="179"/>
      <c r="H13" s="137"/>
      <c r="I13" s="181" t="n">
        <f aca="false">I12*$G$12</f>
        <v>0</v>
      </c>
      <c r="J13" s="181" t="n">
        <f aca="false">J12*$G$12</f>
        <v>0</v>
      </c>
      <c r="K13" s="181" t="n">
        <f aca="false">K12*$G$12</f>
        <v>0</v>
      </c>
      <c r="L13" s="181" t="n">
        <f aca="false">L12*$G$12</f>
        <v>0</v>
      </c>
      <c r="M13" s="181" t="n">
        <f aca="false">M12*$G$12</f>
        <v>0</v>
      </c>
      <c r="N13" s="181" t="n">
        <f aca="false">N12*$G$12</f>
        <v>0</v>
      </c>
      <c r="O13" s="181" t="n">
        <f aca="false">O12*$G$12</f>
        <v>0</v>
      </c>
      <c r="P13" s="181" t="n">
        <f aca="false">P12*$G$12</f>
        <v>0</v>
      </c>
      <c r="Q13" s="181" t="n">
        <f aca="false">Q12*$G$12</f>
        <v>16.2</v>
      </c>
      <c r="R13" s="181" t="n">
        <f aca="false">R12*$G$12</f>
        <v>0</v>
      </c>
      <c r="S13" s="181" t="n">
        <f aca="false">S12*$G$12</f>
        <v>0</v>
      </c>
      <c r="T13" s="181" t="n">
        <f aca="false">T12*$G$12</f>
        <v>0</v>
      </c>
      <c r="U13" s="181" t="n">
        <f aca="false">U12*$G$12</f>
        <v>0</v>
      </c>
      <c r="V13" s="181" t="n">
        <f aca="false">V12*$G$12</f>
        <v>0</v>
      </c>
      <c r="W13" s="181" t="n">
        <f aca="false">W12*$G$12</f>
        <v>0</v>
      </c>
      <c r="X13" s="181" t="n">
        <f aca="false">X12*$G$12</f>
        <v>0</v>
      </c>
      <c r="Y13" s="181" t="n">
        <f aca="false">Y12*$G$12</f>
        <v>0</v>
      </c>
      <c r="Z13" s="181" t="n">
        <f aca="false">Z12*$G$12</f>
        <v>0</v>
      </c>
      <c r="AA13" s="181" t="n">
        <f aca="false">AA12*$G$12</f>
        <v>0</v>
      </c>
      <c r="AB13" s="181" t="n">
        <f aca="false">AB12*$G$12</f>
        <v>0</v>
      </c>
      <c r="AC13" s="181" t="n">
        <f aca="false">AC12*$G$12</f>
        <v>0</v>
      </c>
    </row>
    <row r="14" customFormat="false" ht="9.75" hidden="false" customHeight="true" outlineLevel="0" collapsed="false">
      <c r="A14" s="80"/>
      <c r="C14" s="178" t="s">
        <v>393</v>
      </c>
      <c r="D14" s="140" t="n">
        <f aca="false">SUM(I14:AC14)</f>
        <v>31.323</v>
      </c>
      <c r="G14" s="179" t="n">
        <f aca="false">F384</f>
        <v>1</v>
      </c>
      <c r="H14" s="137"/>
      <c r="I14" s="180" t="n">
        <v>0</v>
      </c>
      <c r="J14" s="180" t="n">
        <v>0</v>
      </c>
      <c r="K14" s="180" t="n">
        <v>0</v>
      </c>
      <c r="L14" s="180" t="n">
        <v>0</v>
      </c>
      <c r="M14" s="180" t="n">
        <v>0</v>
      </c>
      <c r="N14" s="180" t="n">
        <v>0</v>
      </c>
      <c r="O14" s="180" t="n">
        <v>25.811</v>
      </c>
      <c r="P14" s="180" t="n">
        <v>5.512</v>
      </c>
      <c r="Q14" s="180" t="n">
        <v>0</v>
      </c>
      <c r="R14" s="180" t="n">
        <v>0</v>
      </c>
      <c r="S14" s="180" t="n">
        <v>0</v>
      </c>
      <c r="T14" s="180" t="n">
        <v>0</v>
      </c>
      <c r="U14" s="180" t="n">
        <v>0</v>
      </c>
      <c r="V14" s="180" t="n">
        <v>0</v>
      </c>
      <c r="W14" s="180" t="n">
        <v>0</v>
      </c>
      <c r="X14" s="180" t="n">
        <v>0</v>
      </c>
      <c r="Y14" s="180" t="n">
        <v>0</v>
      </c>
      <c r="Z14" s="180" t="n">
        <v>0</v>
      </c>
      <c r="AA14" s="180" t="n">
        <v>0</v>
      </c>
      <c r="AB14" s="180" t="n">
        <v>0</v>
      </c>
      <c r="AC14" s="180" t="n">
        <v>0</v>
      </c>
      <c r="AE14" s="67" t="str">
        <f aca="false">+"Oil &amp; Gas - "&amp;C16</f>
        <v>Oil &amp; Gas - PROBABLES</v>
      </c>
    </row>
    <row r="15" customFormat="false" ht="9.75" hidden="false" customHeight="true" outlineLevel="0" collapsed="false">
      <c r="A15" s="80"/>
      <c r="C15" s="178"/>
      <c r="D15" s="140"/>
      <c r="E15" s="90"/>
      <c r="G15" s="90"/>
      <c r="H15" s="137"/>
      <c r="I15" s="181" t="n">
        <f aca="false">I14*$G$14</f>
        <v>0</v>
      </c>
      <c r="J15" s="181" t="n">
        <f aca="false">J14*$G$14</f>
        <v>0</v>
      </c>
      <c r="K15" s="181" t="n">
        <f aca="false">K14*$G$14</f>
        <v>0</v>
      </c>
      <c r="L15" s="181" t="n">
        <f aca="false">L14*$G$14</f>
        <v>0</v>
      </c>
      <c r="M15" s="181" t="n">
        <f aca="false">M14*$G$14</f>
        <v>0</v>
      </c>
      <c r="N15" s="181" t="n">
        <f aca="false">N14*$G$14</f>
        <v>0</v>
      </c>
      <c r="O15" s="181" t="n">
        <f aca="false">O14*$G$14</f>
        <v>25.811</v>
      </c>
      <c r="P15" s="181" t="n">
        <f aca="false">P14*$G$14</f>
        <v>5.512</v>
      </c>
      <c r="Q15" s="181" t="n">
        <f aca="false">Q14*$G$14</f>
        <v>0</v>
      </c>
      <c r="R15" s="181" t="n">
        <f aca="false">R14*$G$14</f>
        <v>0</v>
      </c>
      <c r="S15" s="181" t="n">
        <f aca="false">S14*$G$14</f>
        <v>0</v>
      </c>
      <c r="T15" s="181" t="n">
        <f aca="false">T14*$G$14</f>
        <v>0</v>
      </c>
      <c r="U15" s="181" t="n">
        <f aca="false">U14*$G$14</f>
        <v>0</v>
      </c>
      <c r="V15" s="181" t="n">
        <f aca="false">V14*$G$14</f>
        <v>0</v>
      </c>
      <c r="W15" s="181" t="n">
        <f aca="false">W14*$G$14</f>
        <v>0</v>
      </c>
      <c r="X15" s="181" t="n">
        <f aca="false">X14*$G$14</f>
        <v>0</v>
      </c>
      <c r="Y15" s="181" t="n">
        <f aca="false">Y14*$G$14</f>
        <v>0</v>
      </c>
      <c r="Z15" s="181" t="n">
        <f aca="false">Z14*$G$14</f>
        <v>0</v>
      </c>
      <c r="AA15" s="181" t="n">
        <f aca="false">AA14*$G$14</f>
        <v>0</v>
      </c>
      <c r="AB15" s="181" t="n">
        <f aca="false">AB14*$G$14</f>
        <v>0</v>
      </c>
      <c r="AC15" s="181" t="n">
        <f aca="false">AC14*$G$14</f>
        <v>0</v>
      </c>
    </row>
    <row r="16" customFormat="false" ht="11.25" hidden="false" customHeight="false" outlineLevel="0" collapsed="false">
      <c r="A16" s="80"/>
      <c r="C16" s="183" t="s">
        <v>394</v>
      </c>
      <c r="D16" s="184" t="n">
        <f aca="false">SUM(I16:AC16)</f>
        <v>0</v>
      </c>
      <c r="E16" s="185" t="n">
        <f aca="false">I459</f>
        <v>0</v>
      </c>
      <c r="G16" s="185"/>
      <c r="H16" s="70"/>
      <c r="I16" s="180" t="n">
        <v>0</v>
      </c>
      <c r="J16" s="180" t="n">
        <v>0</v>
      </c>
      <c r="K16" s="180" t="n">
        <v>0</v>
      </c>
      <c r="L16" s="180" t="n">
        <v>0</v>
      </c>
      <c r="M16" s="180" t="n">
        <v>0</v>
      </c>
      <c r="N16" s="180" t="n">
        <v>0</v>
      </c>
      <c r="O16" s="180" t="n">
        <v>0</v>
      </c>
      <c r="P16" s="180" t="n">
        <v>0</v>
      </c>
      <c r="Q16" s="180" t="n">
        <v>0</v>
      </c>
      <c r="R16" s="180" t="n">
        <v>0</v>
      </c>
      <c r="S16" s="180" t="n">
        <v>0</v>
      </c>
      <c r="T16" s="180" t="n">
        <v>0</v>
      </c>
      <c r="U16" s="180" t="n">
        <v>0</v>
      </c>
      <c r="V16" s="180" t="n">
        <v>0</v>
      </c>
      <c r="W16" s="180" t="n">
        <v>0</v>
      </c>
      <c r="X16" s="180" t="n">
        <v>0</v>
      </c>
      <c r="Y16" s="180" t="n">
        <v>0</v>
      </c>
      <c r="Z16" s="180" t="n">
        <v>0</v>
      </c>
      <c r="AA16" s="180" t="n">
        <v>0</v>
      </c>
      <c r="AB16" s="180" t="n">
        <v>0</v>
      </c>
      <c r="AC16" s="180" t="n">
        <v>0</v>
      </c>
      <c r="AE16" s="67" t="str">
        <f aca="false">+"Oil &amp; Gas - "&amp;C18</f>
        <v>Oil &amp; Gas - Acrerage Dev. Prog. </v>
      </c>
    </row>
    <row r="17" customFormat="false" ht="11.25" hidden="false" customHeight="false" outlineLevel="0" collapsed="false">
      <c r="A17" s="80"/>
      <c r="C17" s="183"/>
      <c r="D17" s="184"/>
      <c r="E17" s="185"/>
      <c r="G17" s="185"/>
      <c r="H17" s="70"/>
      <c r="I17" s="181" t="n">
        <f aca="false">I16*$E$16</f>
        <v>0</v>
      </c>
      <c r="J17" s="181" t="n">
        <f aca="false">J16*$E$16</f>
        <v>0</v>
      </c>
      <c r="K17" s="181" t="n">
        <f aca="false">K16*$E$16</f>
        <v>0</v>
      </c>
      <c r="L17" s="181" t="n">
        <f aca="false">L16*$E$16</f>
        <v>0</v>
      </c>
      <c r="M17" s="181" t="n">
        <f aca="false">M16*$E$16</f>
        <v>0</v>
      </c>
      <c r="N17" s="181" t="n">
        <f aca="false">N16*$E$16</f>
        <v>0</v>
      </c>
      <c r="O17" s="181" t="n">
        <f aca="false">O16*$E$16</f>
        <v>0</v>
      </c>
      <c r="P17" s="181" t="n">
        <f aca="false">P16*$E$16</f>
        <v>0</v>
      </c>
      <c r="Q17" s="181" t="n">
        <f aca="false">Q16*$E$16</f>
        <v>0</v>
      </c>
      <c r="R17" s="181" t="n">
        <f aca="false">R16*$E$16</f>
        <v>0</v>
      </c>
      <c r="S17" s="181" t="n">
        <f aca="false">S16*$E$16</f>
        <v>0</v>
      </c>
      <c r="T17" s="181" t="n">
        <f aca="false">T16*$E$16</f>
        <v>0</v>
      </c>
      <c r="U17" s="181" t="n">
        <f aca="false">U16*$E$16</f>
        <v>0</v>
      </c>
      <c r="V17" s="181" t="n">
        <f aca="false">V16*$E$16</f>
        <v>0</v>
      </c>
      <c r="W17" s="181" t="n">
        <f aca="false">W16*$E$16</f>
        <v>0</v>
      </c>
      <c r="X17" s="181" t="n">
        <f aca="false">X16*$E$16</f>
        <v>0</v>
      </c>
      <c r="Y17" s="181" t="n">
        <f aca="false">Y16*$E$16</f>
        <v>0</v>
      </c>
      <c r="Z17" s="181" t="n">
        <f aca="false">Z16*$E$16</f>
        <v>0</v>
      </c>
      <c r="AA17" s="181" t="n">
        <f aca="false">AA16*$E$16</f>
        <v>0</v>
      </c>
      <c r="AB17" s="181" t="n">
        <f aca="false">AB16*$E$16</f>
        <v>0</v>
      </c>
      <c r="AC17" s="181" t="n">
        <f aca="false">AC16*$E$16</f>
        <v>0</v>
      </c>
    </row>
    <row r="18" customFormat="false" ht="11.25" hidden="false" customHeight="false" outlineLevel="0" collapsed="false">
      <c r="A18" s="80"/>
      <c r="C18" s="178" t="s">
        <v>395</v>
      </c>
      <c r="D18" s="184" t="n">
        <f aca="false">SUM(I18:AC18)</f>
        <v>0</v>
      </c>
      <c r="E18" s="90" t="n">
        <f aca="false">I529</f>
        <v>1</v>
      </c>
      <c r="F18" s="186" t="n">
        <v>0.7</v>
      </c>
      <c r="G18" s="187" t="n">
        <f aca="false">F524</f>
        <v>1</v>
      </c>
      <c r="H18" s="186" t="n">
        <v>1.15</v>
      </c>
      <c r="I18" s="180" t="n">
        <v>0</v>
      </c>
      <c r="J18" s="180" t="n">
        <v>0</v>
      </c>
      <c r="K18" s="180" t="n">
        <v>0</v>
      </c>
      <c r="L18" s="180" t="n">
        <v>0</v>
      </c>
      <c r="M18" s="180" t="n">
        <v>0</v>
      </c>
      <c r="N18" s="180" t="n">
        <v>0</v>
      </c>
      <c r="O18" s="180" t="n">
        <v>0</v>
      </c>
      <c r="P18" s="180" t="n">
        <v>0</v>
      </c>
      <c r="Q18" s="180" t="n">
        <v>0</v>
      </c>
      <c r="R18" s="180" t="n">
        <v>0</v>
      </c>
      <c r="S18" s="180" t="n">
        <v>0</v>
      </c>
      <c r="T18" s="180" t="n">
        <v>0</v>
      </c>
      <c r="U18" s="180" t="n">
        <v>0</v>
      </c>
      <c r="V18" s="180" t="n">
        <v>0</v>
      </c>
      <c r="W18" s="180" t="n">
        <v>0</v>
      </c>
      <c r="X18" s="180" t="n">
        <v>0</v>
      </c>
      <c r="Y18" s="180" t="n">
        <v>0</v>
      </c>
      <c r="Z18" s="180" t="n">
        <v>0</v>
      </c>
      <c r="AA18" s="180" t="n">
        <v>0</v>
      </c>
      <c r="AB18" s="180" t="n">
        <v>0</v>
      </c>
      <c r="AC18" s="180" t="n">
        <v>0</v>
      </c>
      <c r="AE18" s="67" t="str">
        <f aca="false">+"Oil &amp; Gas - "&amp;C19</f>
        <v>Oil &amp; Gas - Class F Reserves</v>
      </c>
    </row>
    <row r="19" customFormat="false" ht="11.25" hidden="false" customHeight="false" outlineLevel="0" collapsed="false">
      <c r="A19" s="80"/>
      <c r="C19" s="50" t="s">
        <v>396</v>
      </c>
      <c r="D19" s="184" t="n">
        <f aca="false">SUM(I19:AC19)</f>
        <v>0</v>
      </c>
      <c r="E19" s="140"/>
      <c r="F19" s="140"/>
      <c r="G19" s="140"/>
      <c r="H19" s="137"/>
      <c r="I19" s="180" t="n">
        <v>0</v>
      </c>
      <c r="J19" s="180" t="n">
        <v>0</v>
      </c>
      <c r="K19" s="180" t="n">
        <v>0</v>
      </c>
      <c r="L19" s="180" t="n">
        <v>0</v>
      </c>
      <c r="M19" s="180" t="n">
        <v>0</v>
      </c>
      <c r="N19" s="180" t="n">
        <v>0</v>
      </c>
      <c r="O19" s="180" t="n">
        <v>0</v>
      </c>
      <c r="P19" s="180" t="n">
        <v>0</v>
      </c>
      <c r="Q19" s="180" t="n">
        <v>0</v>
      </c>
      <c r="R19" s="180" t="n">
        <v>0</v>
      </c>
      <c r="S19" s="180" t="n">
        <v>0</v>
      </c>
      <c r="T19" s="180" t="n">
        <v>0</v>
      </c>
      <c r="U19" s="180" t="n">
        <v>0</v>
      </c>
      <c r="V19" s="180" t="n">
        <v>0</v>
      </c>
      <c r="W19" s="180" t="n">
        <v>0</v>
      </c>
      <c r="X19" s="180" t="n">
        <v>0</v>
      </c>
      <c r="Y19" s="180" t="n">
        <v>0</v>
      </c>
      <c r="Z19" s="180" t="n">
        <v>0</v>
      </c>
      <c r="AA19" s="180" t="n">
        <v>0</v>
      </c>
      <c r="AB19" s="180" t="n">
        <v>0</v>
      </c>
      <c r="AC19" s="180" t="n">
        <v>0</v>
      </c>
      <c r="AE19" s="43" t="s">
        <v>397</v>
      </c>
    </row>
    <row r="20" customFormat="false" ht="11.25" hidden="false" customHeight="false" outlineLevel="0" collapsed="false">
      <c r="A20" s="80"/>
      <c r="C20" s="188" t="s">
        <v>398</v>
      </c>
      <c r="D20" s="189" t="n">
        <f aca="false">SUM(D10:D19)</f>
        <v>47.523</v>
      </c>
      <c r="E20" s="140"/>
      <c r="F20" s="140"/>
      <c r="G20" s="140"/>
      <c r="H20" s="137"/>
      <c r="I20" s="189" t="n">
        <f aca="false">SUM(I11,I13,I15,I17,I18,I19)</f>
        <v>0</v>
      </c>
      <c r="J20" s="189" t="n">
        <f aca="false">SUM(J11,J13,J15,J17,J18,J19)</f>
        <v>0</v>
      </c>
      <c r="K20" s="189" t="n">
        <f aca="false">SUM(K11,K13,K15,K17,K18,K19)</f>
        <v>0</v>
      </c>
      <c r="L20" s="189" t="n">
        <f aca="false">SUM(L11,L13,L15,L17,L18,L19)</f>
        <v>0</v>
      </c>
      <c r="M20" s="189" t="n">
        <f aca="false">SUM(M11,M13,M15,M17,M18,M19)</f>
        <v>0</v>
      </c>
      <c r="N20" s="189" t="n">
        <f aca="false">SUM(N11,N13,N15,N17,N18,N19)</f>
        <v>0</v>
      </c>
      <c r="O20" s="189" t="n">
        <f aca="false">SUM(O11,O13,O15,O17,O18,O19)</f>
        <v>25.811</v>
      </c>
      <c r="P20" s="189" t="n">
        <f aca="false">SUM(P11,P13,P15,P17,P18,P19)</f>
        <v>5.512</v>
      </c>
      <c r="Q20" s="189" t="n">
        <f aca="false">SUM(Q11,Q13,Q15,Q17,Q18,Q19)</f>
        <v>16.2</v>
      </c>
      <c r="R20" s="189" t="n">
        <f aca="false">SUM(R11,R13,R15,R17,R18,R19)</f>
        <v>0</v>
      </c>
      <c r="S20" s="189" t="n">
        <f aca="false">SUM(S11,S13,S15,S17,S18,S19)</f>
        <v>0</v>
      </c>
      <c r="T20" s="189" t="n">
        <f aca="false">SUM(T11,T13,T15,T17,T18,T19)</f>
        <v>0</v>
      </c>
      <c r="U20" s="189" t="n">
        <f aca="false">SUM(U11,U13,U15,U17,U18,U19)</f>
        <v>0</v>
      </c>
      <c r="V20" s="189" t="n">
        <f aca="false">SUM(V11,V13,V15,V17,V18,V19)</f>
        <v>0</v>
      </c>
      <c r="W20" s="189" t="n">
        <f aca="false">SUM(W11,W13,W15,W17,W18,W19)</f>
        <v>0</v>
      </c>
      <c r="X20" s="189" t="n">
        <f aca="false">SUM(X11,X13,X15,X17,X18,X19)</f>
        <v>0</v>
      </c>
      <c r="Y20" s="189" t="n">
        <f aca="false">SUM(Y11,Y13,Y15,Y17,Y18,Y19)</f>
        <v>0</v>
      </c>
      <c r="Z20" s="189" t="n">
        <f aca="false">SUM(Z11,Z13,Z15,Z17,Z18,Z19)</f>
        <v>0</v>
      </c>
      <c r="AA20" s="189" t="n">
        <f aca="false">SUM(AA11,AA13,AA15,AA17,AA18,AA19)</f>
        <v>0</v>
      </c>
      <c r="AB20" s="189" t="n">
        <f aca="false">SUM(AB11,AB13,AB15,AB17,AB18,AB19)</f>
        <v>0</v>
      </c>
      <c r="AC20" s="189" t="n">
        <f aca="false">SUM(AC11,AC13,AC15,AC17,AC18,AC19)</f>
        <v>0</v>
      </c>
      <c r="AE20" s="43" t="s">
        <v>399</v>
      </c>
    </row>
    <row r="21" customFormat="false" ht="11.25" hidden="false" customHeight="false" outlineLevel="0" collapsed="false">
      <c r="A21" s="80"/>
      <c r="AE21" s="67" t="s">
        <v>400</v>
      </c>
    </row>
    <row r="22" customFormat="false" ht="11.25" hidden="false" customHeight="false" outlineLevel="0" collapsed="false">
      <c r="A22" s="80"/>
      <c r="B22" s="4" t="s">
        <v>401</v>
      </c>
      <c r="C22" s="183" t="s">
        <v>402</v>
      </c>
      <c r="D22" s="140" t="n">
        <f aca="false">SUM(I22:AC22)</f>
        <v>0</v>
      </c>
      <c r="E22" s="140"/>
      <c r="F22" s="140"/>
      <c r="G22" s="140"/>
      <c r="H22" s="137"/>
      <c r="I22" s="180" t="n">
        <v>0</v>
      </c>
      <c r="J22" s="180" t="n">
        <v>0</v>
      </c>
      <c r="K22" s="180" t="n">
        <v>0</v>
      </c>
      <c r="L22" s="180" t="n">
        <v>0</v>
      </c>
      <c r="M22" s="180" t="n">
        <v>0</v>
      </c>
      <c r="N22" s="180" t="n">
        <v>0</v>
      </c>
      <c r="O22" s="180" t="n">
        <v>0</v>
      </c>
      <c r="P22" s="180" t="n">
        <v>0</v>
      </c>
      <c r="Q22" s="180" t="n">
        <v>0</v>
      </c>
      <c r="R22" s="180" t="n">
        <v>0</v>
      </c>
      <c r="S22" s="180" t="n">
        <v>0</v>
      </c>
      <c r="T22" s="180" t="n">
        <v>0</v>
      </c>
      <c r="U22" s="180" t="n">
        <v>0</v>
      </c>
      <c r="V22" s="180" t="n">
        <v>0</v>
      </c>
      <c r="W22" s="180" t="n">
        <v>0</v>
      </c>
      <c r="X22" s="180" t="n">
        <v>0</v>
      </c>
      <c r="Y22" s="180" t="n">
        <v>0</v>
      </c>
      <c r="Z22" s="180" t="n">
        <v>0</v>
      </c>
      <c r="AA22" s="180" t="n">
        <v>0</v>
      </c>
      <c r="AB22" s="180" t="n">
        <v>0</v>
      </c>
      <c r="AC22" s="180" t="n">
        <v>0</v>
      </c>
      <c r="AE22" s="67" t="s">
        <v>403</v>
      </c>
    </row>
    <row r="23" customFormat="false" ht="11.25" hidden="false" customHeight="false" outlineLevel="0" collapsed="false">
      <c r="A23" s="80"/>
      <c r="B23" s="4"/>
      <c r="C23" s="183" t="s">
        <v>404</v>
      </c>
      <c r="D23" s="140" t="n">
        <f aca="false">SUM(I23:AC23)</f>
        <v>0</v>
      </c>
      <c r="E23" s="140"/>
      <c r="F23" s="140"/>
      <c r="G23" s="140"/>
      <c r="H23" s="137"/>
      <c r="I23" s="180" t="n">
        <v>0</v>
      </c>
      <c r="J23" s="180" t="n">
        <v>0</v>
      </c>
      <c r="K23" s="180" t="n">
        <v>0</v>
      </c>
      <c r="L23" s="180" t="n">
        <v>0</v>
      </c>
      <c r="M23" s="180" t="n">
        <v>0</v>
      </c>
      <c r="N23" s="180" t="n">
        <v>0</v>
      </c>
      <c r="O23" s="180" t="n">
        <v>0</v>
      </c>
      <c r="P23" s="180" t="n">
        <v>0</v>
      </c>
      <c r="Q23" s="180" t="n">
        <v>0</v>
      </c>
      <c r="R23" s="180" t="n">
        <v>0</v>
      </c>
      <c r="S23" s="180" t="n">
        <v>0</v>
      </c>
      <c r="T23" s="180" t="n">
        <v>0</v>
      </c>
      <c r="U23" s="180" t="n">
        <v>0</v>
      </c>
      <c r="V23" s="180" t="n">
        <v>0</v>
      </c>
      <c r="W23" s="180" t="n">
        <v>0</v>
      </c>
      <c r="X23" s="180" t="n">
        <v>0</v>
      </c>
      <c r="Y23" s="180" t="n">
        <v>0</v>
      </c>
      <c r="Z23" s="180" t="n">
        <v>0</v>
      </c>
      <c r="AA23" s="180" t="n">
        <v>0</v>
      </c>
      <c r="AB23" s="180" t="n">
        <v>0</v>
      </c>
      <c r="AC23" s="180" t="n">
        <v>0</v>
      </c>
      <c r="AE23" s="67" t="s">
        <v>405</v>
      </c>
    </row>
    <row r="24" customFormat="false" ht="11.25" hidden="false" customHeight="false" outlineLevel="0" collapsed="false">
      <c r="A24" s="80"/>
      <c r="C24" s="183" t="s">
        <v>406</v>
      </c>
      <c r="D24" s="140" t="n">
        <f aca="false">SUM(I24:AC24)</f>
        <v>0</v>
      </c>
      <c r="E24" s="140"/>
      <c r="F24" s="140"/>
      <c r="G24" s="140"/>
      <c r="H24" s="137"/>
      <c r="I24" s="180" t="n">
        <v>0</v>
      </c>
      <c r="J24" s="180" t="n">
        <v>0</v>
      </c>
      <c r="K24" s="180" t="n">
        <v>0</v>
      </c>
      <c r="L24" s="180" t="n">
        <v>0</v>
      </c>
      <c r="M24" s="180" t="n">
        <v>0</v>
      </c>
      <c r="N24" s="180" t="n">
        <v>0</v>
      </c>
      <c r="O24" s="180" t="n">
        <v>0</v>
      </c>
      <c r="P24" s="180" t="n">
        <v>0</v>
      </c>
      <c r="Q24" s="180" t="n">
        <v>0</v>
      </c>
      <c r="R24" s="180" t="n">
        <v>0</v>
      </c>
      <c r="S24" s="180" t="n">
        <v>0</v>
      </c>
      <c r="T24" s="180" t="n">
        <v>0</v>
      </c>
      <c r="U24" s="180" t="n">
        <v>0</v>
      </c>
      <c r="V24" s="180" t="n">
        <v>0</v>
      </c>
      <c r="W24" s="180" t="n">
        <v>0</v>
      </c>
      <c r="X24" s="180" t="n">
        <v>0</v>
      </c>
      <c r="Y24" s="180" t="n">
        <v>0</v>
      </c>
      <c r="Z24" s="180" t="n">
        <v>0</v>
      </c>
      <c r="AA24" s="180" t="n">
        <v>0</v>
      </c>
      <c r="AB24" s="180" t="n">
        <v>0</v>
      </c>
      <c r="AC24" s="180" t="n">
        <v>0</v>
      </c>
      <c r="AE24" s="67" t="s">
        <v>407</v>
      </c>
    </row>
    <row r="25" customFormat="false" ht="11.25" hidden="false" customHeight="false" outlineLevel="0" collapsed="false">
      <c r="A25" s="80"/>
      <c r="C25" s="183" t="s">
        <v>408</v>
      </c>
      <c r="D25" s="140" t="n">
        <f aca="false">SUM(I25:AC25)</f>
        <v>0</v>
      </c>
      <c r="E25" s="140"/>
      <c r="F25" s="140"/>
      <c r="G25" s="140"/>
      <c r="H25" s="137"/>
      <c r="I25" s="180" t="n">
        <v>0</v>
      </c>
      <c r="J25" s="180" t="n">
        <v>0</v>
      </c>
      <c r="K25" s="180" t="n">
        <v>0</v>
      </c>
      <c r="L25" s="180" t="n">
        <v>0</v>
      </c>
      <c r="M25" s="180" t="n">
        <v>0</v>
      </c>
      <c r="N25" s="180" t="n">
        <v>0</v>
      </c>
      <c r="O25" s="180" t="n">
        <v>0</v>
      </c>
      <c r="P25" s="180" t="n">
        <v>0</v>
      </c>
      <c r="Q25" s="180" t="n">
        <v>0</v>
      </c>
      <c r="R25" s="180" t="n">
        <v>0</v>
      </c>
      <c r="S25" s="180" t="n">
        <v>0</v>
      </c>
      <c r="T25" s="180" t="n">
        <v>0</v>
      </c>
      <c r="U25" s="180" t="n">
        <v>0</v>
      </c>
      <c r="V25" s="180" t="n">
        <v>0</v>
      </c>
      <c r="W25" s="180" t="n">
        <v>0</v>
      </c>
      <c r="X25" s="180" t="n">
        <v>0</v>
      </c>
      <c r="Y25" s="180" t="n">
        <v>0</v>
      </c>
      <c r="Z25" s="180" t="n">
        <v>0</v>
      </c>
      <c r="AA25" s="180" t="n">
        <v>0</v>
      </c>
      <c r="AB25" s="180" t="n">
        <v>0</v>
      </c>
      <c r="AC25" s="180" t="n">
        <v>0</v>
      </c>
      <c r="AE25" s="67" t="n">
        <v>24</v>
      </c>
    </row>
    <row r="26" customFormat="false" ht="11.25" hidden="false" customHeight="false" outlineLevel="0" collapsed="false">
      <c r="A26" s="80"/>
      <c r="C26" s="183" t="s">
        <v>409</v>
      </c>
      <c r="D26" s="184" t="n">
        <f aca="false">SUM(I26:AC26)</f>
        <v>0</v>
      </c>
      <c r="E26" s="140"/>
      <c r="F26" s="140"/>
      <c r="G26" s="140"/>
      <c r="H26" s="137"/>
      <c r="I26" s="180" t="n">
        <v>0</v>
      </c>
      <c r="J26" s="180" t="n">
        <v>0</v>
      </c>
      <c r="K26" s="180" t="n">
        <v>0</v>
      </c>
      <c r="L26" s="180" t="n">
        <v>0</v>
      </c>
      <c r="M26" s="180" t="n">
        <v>0</v>
      </c>
      <c r="N26" s="180" t="n">
        <v>0</v>
      </c>
      <c r="O26" s="180" t="n">
        <v>0</v>
      </c>
      <c r="P26" s="180" t="n">
        <v>0</v>
      </c>
      <c r="Q26" s="180" t="n">
        <v>0</v>
      </c>
      <c r="R26" s="180" t="n">
        <v>0</v>
      </c>
      <c r="S26" s="180" t="n">
        <v>0</v>
      </c>
      <c r="T26" s="180" t="n">
        <v>0</v>
      </c>
      <c r="U26" s="180" t="n">
        <v>0</v>
      </c>
      <c r="V26" s="180" t="n">
        <v>0</v>
      </c>
      <c r="W26" s="180" t="n">
        <v>0</v>
      </c>
      <c r="X26" s="180" t="n">
        <v>0</v>
      </c>
      <c r="Y26" s="180" t="n">
        <v>0</v>
      </c>
      <c r="Z26" s="180" t="n">
        <v>0</v>
      </c>
      <c r="AA26" s="180" t="n">
        <v>0</v>
      </c>
      <c r="AB26" s="180" t="n">
        <v>0</v>
      </c>
      <c r="AC26" s="180" t="n">
        <v>0</v>
      </c>
    </row>
    <row r="27" customFormat="false" ht="11.25" hidden="false" customHeight="false" outlineLevel="0" collapsed="false">
      <c r="A27" s="80"/>
      <c r="C27" s="174" t="s">
        <v>410</v>
      </c>
      <c r="D27" s="189" t="n">
        <f aca="false">SUM(D22:D26)</f>
        <v>0</v>
      </c>
      <c r="E27" s="190" t="n">
        <v>0</v>
      </c>
      <c r="F27" s="190" t="n">
        <v>0</v>
      </c>
      <c r="G27" s="190" t="n">
        <v>0</v>
      </c>
      <c r="H27" s="190" t="n">
        <v>0</v>
      </c>
      <c r="I27" s="189" t="n">
        <f aca="false">SUM(I22:I26)</f>
        <v>0</v>
      </c>
      <c r="J27" s="189" t="n">
        <f aca="false">SUM(J22:J26)</f>
        <v>0</v>
      </c>
      <c r="K27" s="189" t="n">
        <f aca="false">SUM(K22:K26)</f>
        <v>0</v>
      </c>
      <c r="L27" s="189" t="n">
        <f aca="false">SUM(L22:L26)</f>
        <v>0</v>
      </c>
      <c r="M27" s="189" t="n">
        <f aca="false">SUM(M22:M26)</f>
        <v>0</v>
      </c>
      <c r="N27" s="189" t="n">
        <f aca="false">SUM(N22:N26)</f>
        <v>0</v>
      </c>
      <c r="O27" s="189" t="n">
        <f aca="false">SUM(O22:O26)</f>
        <v>0</v>
      </c>
      <c r="P27" s="189" t="n">
        <f aca="false">SUM(P22:P26)</f>
        <v>0</v>
      </c>
      <c r="Q27" s="189" t="n">
        <f aca="false">SUM(Q22:Q26)</f>
        <v>0</v>
      </c>
      <c r="R27" s="189" t="n">
        <f aca="false">SUM(R22:R26)</f>
        <v>0</v>
      </c>
      <c r="S27" s="189" t="n">
        <f aca="false">SUM(S22:S26)</f>
        <v>0</v>
      </c>
      <c r="T27" s="189" t="n">
        <f aca="false">SUM(T22:T26)</f>
        <v>0</v>
      </c>
      <c r="U27" s="189" t="n">
        <f aca="false">SUM(U22:U26)</f>
        <v>0</v>
      </c>
      <c r="V27" s="189" t="n">
        <f aca="false">SUM(V22:V26)</f>
        <v>0</v>
      </c>
      <c r="W27" s="189" t="n">
        <f aca="false">SUM(W22:W26)</f>
        <v>0</v>
      </c>
      <c r="X27" s="189" t="n">
        <f aca="false">SUM(X22:X26)</f>
        <v>0</v>
      </c>
      <c r="Y27" s="189" t="n">
        <f aca="false">SUM(Y22:Y26)</f>
        <v>0</v>
      </c>
      <c r="Z27" s="189" t="n">
        <f aca="false">SUM(Z22:Z26)</f>
        <v>0</v>
      </c>
      <c r="AA27" s="189" t="n">
        <f aca="false">SUM(AA22:AA26)</f>
        <v>0</v>
      </c>
      <c r="AB27" s="189" t="n">
        <f aca="false">SUM(AB22:AB26)</f>
        <v>0</v>
      </c>
      <c r="AC27" s="189" t="n">
        <f aca="false">SUM(AC22:AC26)</f>
        <v>0</v>
      </c>
    </row>
    <row r="28" customFormat="false" ht="11.25" hidden="false" customHeight="false" outlineLevel="0" collapsed="false">
      <c r="A28" s="80"/>
      <c r="C28" s="174"/>
      <c r="D28" s="140"/>
      <c r="E28" s="140"/>
      <c r="F28" s="140"/>
      <c r="G28" s="140"/>
      <c r="H28" s="137"/>
      <c r="I28" s="140"/>
      <c r="J28" s="140"/>
      <c r="K28" s="140"/>
      <c r="L28" s="140"/>
      <c r="M28" s="140"/>
      <c r="N28" s="140"/>
      <c r="O28" s="140"/>
      <c r="P28" s="140"/>
      <c r="Q28" s="140"/>
      <c r="R28" s="140"/>
      <c r="S28" s="140"/>
      <c r="T28" s="140"/>
      <c r="U28" s="140"/>
      <c r="V28" s="140"/>
      <c r="W28" s="140"/>
      <c r="X28" s="140"/>
      <c r="Y28" s="140"/>
      <c r="Z28" s="140"/>
      <c r="AA28" s="140"/>
      <c r="AB28" s="140"/>
      <c r="AC28" s="140"/>
    </row>
    <row r="29" customFormat="false" ht="11.25" hidden="false" customHeight="false" outlineLevel="0" collapsed="false">
      <c r="A29" s="153" t="s">
        <v>411</v>
      </c>
      <c r="C29" s="174"/>
      <c r="D29" s="140"/>
      <c r="E29" s="140"/>
      <c r="F29" s="140"/>
      <c r="G29" s="140"/>
      <c r="H29" s="137"/>
      <c r="I29" s="140"/>
      <c r="J29" s="140"/>
      <c r="K29" s="140"/>
      <c r="L29" s="140"/>
      <c r="M29" s="140"/>
      <c r="N29" s="140"/>
      <c r="O29" s="140"/>
      <c r="P29" s="140"/>
      <c r="Q29" s="140"/>
      <c r="R29" s="140"/>
      <c r="S29" s="140"/>
      <c r="T29" s="140"/>
      <c r="U29" s="140"/>
      <c r="V29" s="140"/>
      <c r="W29" s="140"/>
      <c r="X29" s="140"/>
      <c r="Y29" s="140"/>
      <c r="Z29" s="140"/>
      <c r="AA29" s="140"/>
      <c r="AB29" s="140"/>
      <c r="AC29" s="140"/>
    </row>
    <row r="30" customFormat="false" ht="11.25" hidden="false" customHeight="false" outlineLevel="0" collapsed="false">
      <c r="A30" s="65" t="s">
        <v>412</v>
      </c>
      <c r="B30" s="191" t="n">
        <v>0.13</v>
      </c>
      <c r="C30" s="183" t="s">
        <v>413</v>
      </c>
      <c r="D30" s="140" t="n">
        <f aca="false">SUM(I30:AC30)</f>
        <v>0</v>
      </c>
      <c r="E30" s="140"/>
      <c r="F30" s="140"/>
      <c r="G30" s="140"/>
      <c r="H30" s="137"/>
      <c r="I30" s="180" t="n">
        <v>0</v>
      </c>
      <c r="J30" s="180" t="n">
        <v>0</v>
      </c>
      <c r="K30" s="180" t="n">
        <v>0</v>
      </c>
      <c r="L30" s="180" t="n">
        <v>0</v>
      </c>
      <c r="M30" s="180" t="n">
        <v>0</v>
      </c>
      <c r="N30" s="180" t="n">
        <v>0</v>
      </c>
      <c r="O30" s="180" t="n">
        <v>0</v>
      </c>
      <c r="P30" s="180" t="n">
        <v>0</v>
      </c>
      <c r="Q30" s="180" t="n">
        <v>0</v>
      </c>
      <c r="R30" s="180" t="n">
        <v>0</v>
      </c>
      <c r="S30" s="180" t="n">
        <v>0</v>
      </c>
      <c r="T30" s="180" t="n">
        <v>0</v>
      </c>
      <c r="U30" s="180" t="n">
        <v>0</v>
      </c>
      <c r="V30" s="180" t="n">
        <v>0</v>
      </c>
      <c r="W30" s="180" t="n">
        <v>0</v>
      </c>
      <c r="X30" s="180" t="n">
        <v>0</v>
      </c>
      <c r="Y30" s="180" t="n">
        <v>0</v>
      </c>
      <c r="Z30" s="180" t="n">
        <v>0</v>
      </c>
      <c r="AA30" s="180" t="n">
        <v>0</v>
      </c>
      <c r="AB30" s="180" t="n">
        <v>0</v>
      </c>
      <c r="AC30" s="180" t="n">
        <v>0</v>
      </c>
    </row>
    <row r="31" customFormat="false" ht="11.25" hidden="false" customHeight="false" outlineLevel="0" collapsed="false">
      <c r="A31" s="65" t="s">
        <v>412</v>
      </c>
      <c r="B31" s="191" t="n">
        <v>0.13</v>
      </c>
      <c r="C31" s="183" t="s">
        <v>414</v>
      </c>
      <c r="D31" s="184" t="n">
        <f aca="false">SUM(I31:AC31)</f>
        <v>0</v>
      </c>
      <c r="E31" s="140"/>
      <c r="F31" s="140"/>
      <c r="G31" s="140"/>
      <c r="H31" s="137"/>
      <c r="I31" s="180" t="n">
        <v>0</v>
      </c>
      <c r="J31" s="180" t="n">
        <v>0</v>
      </c>
      <c r="K31" s="180" t="n">
        <v>0</v>
      </c>
      <c r="L31" s="180" t="n">
        <v>0</v>
      </c>
      <c r="M31" s="180" t="n">
        <v>0</v>
      </c>
      <c r="N31" s="180" t="n">
        <v>0</v>
      </c>
      <c r="O31" s="180" t="n">
        <v>0</v>
      </c>
      <c r="P31" s="180" t="n">
        <v>0</v>
      </c>
      <c r="Q31" s="180" t="n">
        <v>0</v>
      </c>
      <c r="R31" s="180" t="n">
        <v>0</v>
      </c>
      <c r="S31" s="180" t="n">
        <v>0</v>
      </c>
      <c r="T31" s="180" t="n">
        <v>0</v>
      </c>
      <c r="U31" s="180" t="n">
        <v>0</v>
      </c>
      <c r="V31" s="180" t="n">
        <v>0</v>
      </c>
      <c r="W31" s="180" t="n">
        <v>0</v>
      </c>
      <c r="X31" s="180" t="n">
        <v>0</v>
      </c>
      <c r="Y31" s="180" t="n">
        <v>0</v>
      </c>
      <c r="Z31" s="180" t="n">
        <v>0</v>
      </c>
      <c r="AA31" s="180" t="n">
        <v>0</v>
      </c>
      <c r="AB31" s="180" t="n">
        <v>0</v>
      </c>
      <c r="AC31" s="180" t="n">
        <v>0</v>
      </c>
    </row>
    <row r="32" customFormat="false" ht="11.25" hidden="false" customHeight="false" outlineLevel="0" collapsed="false">
      <c r="C32" s="174" t="s">
        <v>415</v>
      </c>
      <c r="D32" s="69" t="n">
        <f aca="false">SUM(D30:D31)</f>
        <v>0</v>
      </c>
      <c r="E32" s="190" t="n">
        <v>0</v>
      </c>
      <c r="F32" s="190" t="n">
        <v>0</v>
      </c>
      <c r="G32" s="190" t="n">
        <v>0</v>
      </c>
      <c r="H32" s="190" t="n">
        <v>0</v>
      </c>
      <c r="I32" s="69" t="n">
        <f aca="false">SUM(I30:I31)</f>
        <v>0</v>
      </c>
      <c r="J32" s="69" t="n">
        <f aca="false">SUM(J30:J31)</f>
        <v>0</v>
      </c>
      <c r="K32" s="69" t="n">
        <f aca="false">SUM(K30:K31)</f>
        <v>0</v>
      </c>
      <c r="L32" s="69" t="n">
        <f aca="false">SUM(L30:L31)</f>
        <v>0</v>
      </c>
      <c r="M32" s="69" t="n">
        <f aca="false">SUM(M30:M31)</f>
        <v>0</v>
      </c>
      <c r="N32" s="69" t="n">
        <f aca="false">SUM(N30:N31)</f>
        <v>0</v>
      </c>
      <c r="O32" s="69" t="n">
        <f aca="false">SUM(O30:O31)</f>
        <v>0</v>
      </c>
      <c r="P32" s="69" t="n">
        <f aca="false">SUM(P30:P31)</f>
        <v>0</v>
      </c>
      <c r="Q32" s="69" t="n">
        <f aca="false">SUM(Q30:Q31)</f>
        <v>0</v>
      </c>
      <c r="R32" s="69" t="n">
        <f aca="false">SUM(R30:R31)</f>
        <v>0</v>
      </c>
      <c r="S32" s="69" t="n">
        <f aca="false">SUM(S30:S31)</f>
        <v>0</v>
      </c>
      <c r="T32" s="69" t="n">
        <f aca="false">SUM(T30:T31)</f>
        <v>0</v>
      </c>
      <c r="U32" s="69" t="n">
        <f aca="false">SUM(U30:U31)</f>
        <v>0</v>
      </c>
      <c r="V32" s="69" t="n">
        <f aca="false">SUM(V30:V31)</f>
        <v>0</v>
      </c>
      <c r="W32" s="69" t="n">
        <f aca="false">SUM(W30:W31)</f>
        <v>0</v>
      </c>
      <c r="X32" s="69" t="n">
        <f aca="false">SUM(X30:X31)</f>
        <v>0</v>
      </c>
      <c r="Y32" s="69" t="n">
        <f aca="false">SUM(Y30:Y31)</f>
        <v>0</v>
      </c>
      <c r="Z32" s="69" t="n">
        <f aca="false">SUM(Z30:Z31)</f>
        <v>0</v>
      </c>
      <c r="AA32" s="69" t="n">
        <f aca="false">SUM(AA30:AA31)</f>
        <v>0</v>
      </c>
      <c r="AB32" s="69" t="n">
        <f aca="false">SUM(AB30:AB31)</f>
        <v>0</v>
      </c>
      <c r="AC32" s="69" t="n">
        <f aca="false">SUM(AC30:AC31)</f>
        <v>0</v>
      </c>
    </row>
    <row r="33" customFormat="false" ht="11.25" hidden="false" customHeight="false" outlineLevel="0" collapsed="false">
      <c r="B33" s="174"/>
      <c r="C33" s="80"/>
      <c r="D33" s="140"/>
      <c r="E33" s="140"/>
      <c r="F33" s="140"/>
      <c r="G33" s="140"/>
      <c r="H33" s="137"/>
      <c r="I33" s="192"/>
      <c r="J33" s="192"/>
      <c r="K33" s="192"/>
      <c r="L33" s="192"/>
      <c r="M33" s="192"/>
      <c r="N33" s="192"/>
      <c r="O33" s="192"/>
      <c r="P33" s="192"/>
      <c r="Q33" s="192"/>
      <c r="R33" s="192"/>
      <c r="S33" s="192"/>
      <c r="T33" s="192"/>
      <c r="U33" s="192"/>
      <c r="V33" s="192"/>
      <c r="W33" s="192"/>
      <c r="X33" s="192"/>
      <c r="Y33" s="192"/>
      <c r="Z33" s="192"/>
      <c r="AA33" s="192"/>
      <c r="AB33" s="192"/>
      <c r="AC33" s="192"/>
    </row>
    <row r="34" customFormat="false" ht="11.25" hidden="false" customHeight="false" outlineLevel="0" collapsed="false">
      <c r="A34" s="153" t="s">
        <v>416</v>
      </c>
      <c r="B34" s="174"/>
      <c r="C34" s="80"/>
      <c r="D34" s="140" t="n">
        <f aca="false">SUM(I34:AC34)</f>
        <v>0</v>
      </c>
      <c r="E34" s="180" t="n">
        <v>0</v>
      </c>
      <c r="F34" s="180" t="n">
        <v>0</v>
      </c>
      <c r="G34" s="180" t="n">
        <v>0</v>
      </c>
      <c r="H34" s="180" t="n">
        <v>0</v>
      </c>
      <c r="I34" s="180" t="n">
        <v>0</v>
      </c>
      <c r="J34" s="180" t="n">
        <v>0</v>
      </c>
      <c r="K34" s="180" t="n">
        <v>0</v>
      </c>
      <c r="L34" s="180" t="n">
        <v>0</v>
      </c>
      <c r="M34" s="180" t="n">
        <v>0</v>
      </c>
      <c r="N34" s="180" t="n">
        <v>0</v>
      </c>
      <c r="O34" s="180" t="n">
        <v>0</v>
      </c>
      <c r="P34" s="180" t="n">
        <v>0</v>
      </c>
      <c r="Q34" s="180" t="n">
        <v>0</v>
      </c>
      <c r="R34" s="180" t="n">
        <v>0</v>
      </c>
      <c r="S34" s="180" t="n">
        <v>0</v>
      </c>
      <c r="T34" s="180" t="n">
        <v>0</v>
      </c>
      <c r="U34" s="180" t="n">
        <v>0</v>
      </c>
      <c r="V34" s="180" t="n">
        <v>0</v>
      </c>
      <c r="W34" s="180" t="n">
        <v>0</v>
      </c>
      <c r="X34" s="180" t="n">
        <v>0</v>
      </c>
      <c r="Y34" s="180" t="n">
        <v>0</v>
      </c>
      <c r="Z34" s="180" t="n">
        <v>0</v>
      </c>
      <c r="AA34" s="180" t="n">
        <v>0</v>
      </c>
      <c r="AB34" s="180" t="n">
        <v>0</v>
      </c>
      <c r="AC34" s="180" t="n">
        <v>0</v>
      </c>
    </row>
    <row r="35" customFormat="false" ht="11.25" hidden="false" customHeight="false" outlineLevel="0" collapsed="false">
      <c r="B35" s="174"/>
      <c r="C35" s="80"/>
      <c r="D35" s="140"/>
      <c r="E35" s="140"/>
      <c r="F35" s="140"/>
      <c r="G35" s="140"/>
      <c r="H35" s="137"/>
      <c r="I35" s="140"/>
      <c r="J35" s="140"/>
      <c r="K35" s="140"/>
      <c r="L35" s="140"/>
      <c r="M35" s="140"/>
      <c r="N35" s="140"/>
      <c r="O35" s="140"/>
      <c r="P35" s="140"/>
      <c r="Q35" s="140"/>
      <c r="R35" s="140"/>
      <c r="S35" s="140"/>
      <c r="T35" s="140"/>
      <c r="U35" s="140"/>
      <c r="V35" s="140"/>
      <c r="W35" s="140"/>
      <c r="X35" s="140"/>
      <c r="Y35" s="140"/>
      <c r="Z35" s="140"/>
      <c r="AA35" s="140"/>
      <c r="AB35" s="140"/>
      <c r="AC35" s="140"/>
    </row>
    <row r="36" customFormat="false" ht="11.25" hidden="false" customHeight="false" outlineLevel="0" collapsed="false">
      <c r="A36" s="193" t="s">
        <v>417</v>
      </c>
      <c r="B36" s="174"/>
      <c r="C36" s="80"/>
      <c r="D36" s="189" t="n">
        <f aca="false">+D27+D32+D34+D20</f>
        <v>47.523</v>
      </c>
      <c r="E36" s="189" t="n">
        <f aca="false">+E27+E32+E34+E20</f>
        <v>0</v>
      </c>
      <c r="F36" s="189" t="n">
        <f aca="false">+F27+F32+F34+F20</f>
        <v>0</v>
      </c>
      <c r="G36" s="189" t="n">
        <f aca="false">+G27+G32+G34+G20</f>
        <v>0</v>
      </c>
      <c r="H36" s="189" t="n">
        <f aca="false">+H27+H32+H34+H20</f>
        <v>0</v>
      </c>
      <c r="I36" s="189" t="n">
        <f aca="false">+I27+I32+I34+I20</f>
        <v>0</v>
      </c>
      <c r="J36" s="189" t="n">
        <f aca="false">+J27+J32+J34+J20</f>
        <v>0</v>
      </c>
      <c r="K36" s="189" t="n">
        <f aca="false">+K27+K32+K34+K20</f>
        <v>0</v>
      </c>
      <c r="L36" s="189" t="n">
        <f aca="false">+L27+L32+L34+L20</f>
        <v>0</v>
      </c>
      <c r="M36" s="189" t="n">
        <f aca="false">+M27+M32+M34+M20</f>
        <v>0</v>
      </c>
      <c r="N36" s="189" t="n">
        <f aca="false">+N27+N32+N34+N20</f>
        <v>0</v>
      </c>
      <c r="O36" s="189" t="n">
        <f aca="false">+O27+O32+O34+O20</f>
        <v>25.811</v>
      </c>
      <c r="P36" s="189" t="n">
        <f aca="false">+P27+P32+P34+P20</f>
        <v>5.512</v>
      </c>
      <c r="Q36" s="189" t="n">
        <f aca="false">+Q27+Q32+Q34+Q20</f>
        <v>16.2</v>
      </c>
      <c r="R36" s="189" t="n">
        <f aca="false">+R27+R32+R34+R20</f>
        <v>0</v>
      </c>
      <c r="S36" s="189" t="n">
        <f aca="false">+S27+S32+S34+S20</f>
        <v>0</v>
      </c>
      <c r="T36" s="189" t="n">
        <f aca="false">+T27+T32+T34+T20</f>
        <v>0</v>
      </c>
      <c r="U36" s="189" t="n">
        <f aca="false">+U27+U32+U34+U20</f>
        <v>0</v>
      </c>
      <c r="V36" s="189" t="n">
        <f aca="false">+V27+V32+V34+V20</f>
        <v>0</v>
      </c>
      <c r="W36" s="189" t="n">
        <f aca="false">+W27+W32+W34+W20</f>
        <v>0</v>
      </c>
      <c r="X36" s="189" t="n">
        <f aca="false">+X27+X32+X34+X20</f>
        <v>0</v>
      </c>
      <c r="Y36" s="189" t="n">
        <f aca="false">+Y27+Y32+Y34+Y20</f>
        <v>0</v>
      </c>
      <c r="Z36" s="189" t="n">
        <f aca="false">+Z27+Z32+Z34+Z20</f>
        <v>0</v>
      </c>
      <c r="AA36" s="189" t="n">
        <f aca="false">+AA27+AA32+AA34+AA20</f>
        <v>0</v>
      </c>
      <c r="AB36" s="189" t="n">
        <f aca="false">+AB27+AB32+AB34+AB20</f>
        <v>0</v>
      </c>
      <c r="AC36" s="189" t="n">
        <f aca="false">+AC27+AC32+AC34+AC20</f>
        <v>0</v>
      </c>
    </row>
    <row r="37" customFormat="false" ht="11.25" hidden="false" customHeight="false" outlineLevel="0" collapsed="false">
      <c r="A37" s="194"/>
      <c r="B37" s="174"/>
      <c r="C37" s="80"/>
      <c r="D37" s="140"/>
      <c r="E37" s="140"/>
      <c r="F37" s="140"/>
      <c r="G37" s="140"/>
      <c r="H37" s="140"/>
      <c r="I37" s="140"/>
      <c r="J37" s="140"/>
      <c r="K37" s="140"/>
      <c r="L37" s="140"/>
      <c r="M37" s="140"/>
      <c r="N37" s="140"/>
      <c r="O37" s="140"/>
      <c r="P37" s="140"/>
      <c r="Q37" s="140"/>
      <c r="R37" s="140"/>
      <c r="S37" s="140"/>
      <c r="T37" s="140"/>
      <c r="U37" s="140"/>
      <c r="V37" s="140"/>
      <c r="W37" s="140"/>
      <c r="X37" s="140"/>
      <c r="Y37" s="140"/>
      <c r="Z37" s="140"/>
      <c r="AA37" s="140"/>
      <c r="AB37" s="140"/>
      <c r="AC37" s="140"/>
    </row>
    <row r="38" customFormat="false" ht="12" hidden="false" customHeight="false" outlineLevel="0" collapsed="false">
      <c r="A38" s="195"/>
      <c r="B38" s="196"/>
      <c r="C38" s="105"/>
      <c r="D38" s="106"/>
      <c r="E38" s="106"/>
      <c r="F38" s="106"/>
      <c r="G38" s="106"/>
      <c r="H38" s="106"/>
      <c r="I38" s="106"/>
      <c r="J38" s="106"/>
      <c r="K38" s="106"/>
      <c r="L38" s="106"/>
      <c r="M38" s="106"/>
      <c r="N38" s="106"/>
      <c r="O38" s="106"/>
      <c r="P38" s="106"/>
      <c r="Q38" s="106"/>
      <c r="R38" s="106"/>
      <c r="S38" s="106"/>
      <c r="T38" s="106"/>
      <c r="U38" s="106"/>
      <c r="V38" s="106"/>
      <c r="W38" s="106"/>
      <c r="X38" s="106"/>
      <c r="Y38" s="106"/>
      <c r="Z38" s="106"/>
      <c r="AA38" s="106"/>
      <c r="AB38" s="106"/>
      <c r="AC38" s="106"/>
    </row>
    <row r="39" customFormat="false" ht="12.75" hidden="false" customHeight="false" outlineLevel="0" collapsed="false">
      <c r="A39" s="194"/>
      <c r="B39" s="174"/>
      <c r="C39" s="80"/>
      <c r="D39" s="140"/>
      <c r="E39" s="140"/>
      <c r="F39" s="140"/>
      <c r="G39" s="140"/>
      <c r="H39" s="140"/>
      <c r="I39" s="140"/>
      <c r="J39" s="140"/>
      <c r="K39" s="140"/>
      <c r="L39" s="140"/>
      <c r="M39" s="140"/>
      <c r="N39" s="140"/>
      <c r="O39" s="140"/>
      <c r="P39" s="140"/>
      <c r="Q39" s="140"/>
      <c r="R39" s="140"/>
      <c r="S39" s="140"/>
      <c r="T39" s="140"/>
      <c r="U39" s="140"/>
      <c r="V39" s="140"/>
      <c r="W39" s="140"/>
      <c r="X39" s="140"/>
      <c r="Y39" s="140"/>
      <c r="Z39" s="140"/>
      <c r="AA39" s="140"/>
      <c r="AB39" s="140"/>
      <c r="AC39" s="140"/>
    </row>
    <row r="40" customFormat="false" ht="12.75" hidden="false" customHeight="false" outlineLevel="0" collapsed="false">
      <c r="A40" s="82" t="s">
        <v>418</v>
      </c>
      <c r="B40" s="174"/>
      <c r="C40" s="184"/>
      <c r="D40" s="197" t="s">
        <v>419</v>
      </c>
      <c r="E40" s="184"/>
      <c r="F40" s="140"/>
      <c r="G40" s="140"/>
      <c r="I40" s="81" t="str">
        <f aca="false">+I$3</f>
        <v>6 M/1999 </v>
      </c>
      <c r="J40" s="81" t="n">
        <f aca="false">+J$3</f>
        <v>2000</v>
      </c>
      <c r="K40" s="81" t="n">
        <f aca="false">+K$3</f>
        <v>2001</v>
      </c>
      <c r="L40" s="81" t="n">
        <f aca="false">+L$3</f>
        <v>2002</v>
      </c>
      <c r="M40" s="81" t="n">
        <f aca="false">+M$3</f>
        <v>2003</v>
      </c>
      <c r="N40" s="81" t="n">
        <f aca="false">+N$3</f>
        <v>2004</v>
      </c>
      <c r="O40" s="81" t="n">
        <f aca="false">+O$3</f>
        <v>2005</v>
      </c>
      <c r="P40" s="81" t="n">
        <f aca="false">+P$3</f>
        <v>2006</v>
      </c>
      <c r="Q40" s="81" t="n">
        <f aca="false">+Q$3</f>
        <v>2007</v>
      </c>
      <c r="R40" s="81" t="n">
        <f aca="false">+R$3</f>
        <v>2008</v>
      </c>
      <c r="S40" s="81" t="n">
        <f aca="false">+S$3</f>
        <v>2009</v>
      </c>
      <c r="T40" s="81" t="n">
        <f aca="false">+T$3</f>
        <v>2010</v>
      </c>
      <c r="U40" s="81" t="n">
        <f aca="false">+U$3</f>
        <v>2011</v>
      </c>
      <c r="V40" s="81" t="n">
        <f aca="false">+V$3</f>
        <v>2012</v>
      </c>
      <c r="W40" s="81" t="n">
        <f aca="false">+W$3</f>
        <v>2013</v>
      </c>
      <c r="X40" s="81" t="n">
        <f aca="false">+X$3</f>
        <v>2014</v>
      </c>
      <c r="Y40" s="81" t="n">
        <f aca="false">+Y$3</f>
        <v>2015</v>
      </c>
      <c r="Z40" s="81" t="n">
        <f aca="false">+Z$3</f>
        <v>2016</v>
      </c>
      <c r="AA40" s="81" t="n">
        <f aca="false">+AA$3</f>
        <v>2017</v>
      </c>
      <c r="AB40" s="81" t="n">
        <f aca="false">+AB$3</f>
        <v>2018</v>
      </c>
      <c r="AC40" s="81" t="n">
        <f aca="false">+AC$3</f>
        <v>2019</v>
      </c>
    </row>
    <row r="41" customFormat="false" ht="12" hidden="false" customHeight="false" outlineLevel="0" collapsed="false">
      <c r="A41" s="142" t="s">
        <v>385</v>
      </c>
      <c r="B41" s="80"/>
      <c r="C41" s="177"/>
      <c r="D41" s="197" t="s">
        <v>420</v>
      </c>
      <c r="E41" s="198" t="s">
        <v>421</v>
      </c>
      <c r="F41" s="140"/>
      <c r="G41" s="140"/>
      <c r="I41" s="140"/>
      <c r="J41" s="140"/>
      <c r="K41" s="140"/>
      <c r="L41" s="140"/>
      <c r="M41" s="140"/>
      <c r="N41" s="140"/>
      <c r="O41" s="140"/>
      <c r="P41" s="140"/>
      <c r="Q41" s="140"/>
      <c r="R41" s="140"/>
      <c r="S41" s="140"/>
      <c r="T41" s="140"/>
      <c r="U41" s="140"/>
      <c r="V41" s="140"/>
      <c r="W41" s="140"/>
      <c r="X41" s="140"/>
      <c r="Y41" s="140"/>
      <c r="Z41" s="140"/>
      <c r="AA41" s="140"/>
      <c r="AB41" s="140"/>
      <c r="AC41" s="140"/>
    </row>
    <row r="42" customFormat="false" ht="11.25" hidden="false" customHeight="false" outlineLevel="0" collapsed="false">
      <c r="A42" s="80"/>
      <c r="B42" s="4" t="s">
        <v>17</v>
      </c>
      <c r="C42" s="6" t="s">
        <v>157</v>
      </c>
      <c r="D42" s="199" t="s">
        <v>422</v>
      </c>
      <c r="E42" s="199" t="s">
        <v>422</v>
      </c>
      <c r="F42" s="188" t="s">
        <v>423</v>
      </c>
      <c r="I42" s="90" t="n">
        <f aca="false">D44</f>
        <v>1</v>
      </c>
      <c r="J42" s="90" t="n">
        <f aca="false">I42</f>
        <v>1</v>
      </c>
      <c r="K42" s="90" t="n">
        <f aca="false">J42</f>
        <v>1</v>
      </c>
      <c r="L42" s="90" t="n">
        <f aca="false">K42</f>
        <v>1</v>
      </c>
      <c r="M42" s="90" t="n">
        <f aca="false">L42</f>
        <v>1</v>
      </c>
      <c r="N42" s="90" t="n">
        <f aca="false">M42</f>
        <v>1</v>
      </c>
      <c r="O42" s="90" t="n">
        <f aca="false">N42</f>
        <v>1</v>
      </c>
      <c r="P42" s="90" t="n">
        <f aca="false">O42</f>
        <v>1</v>
      </c>
      <c r="Q42" s="90" t="n">
        <f aca="false">P42</f>
        <v>1</v>
      </c>
      <c r="R42" s="90" t="n">
        <f aca="false">Q42</f>
        <v>1</v>
      </c>
      <c r="S42" s="90" t="n">
        <f aca="false">R42</f>
        <v>1</v>
      </c>
      <c r="T42" s="90" t="n">
        <f aca="false">S42</f>
        <v>1</v>
      </c>
      <c r="U42" s="90" t="n">
        <f aca="false">T42</f>
        <v>1</v>
      </c>
      <c r="V42" s="90" t="n">
        <f aca="false">U42</f>
        <v>1</v>
      </c>
      <c r="W42" s="90" t="n">
        <f aca="false">V42</f>
        <v>1</v>
      </c>
      <c r="X42" s="90" t="n">
        <f aca="false">W42</f>
        <v>1</v>
      </c>
      <c r="Y42" s="90" t="n">
        <f aca="false">X42</f>
        <v>1</v>
      </c>
      <c r="Z42" s="90" t="n">
        <f aca="false">Y42</f>
        <v>1</v>
      </c>
      <c r="AA42" s="90" t="n">
        <f aca="false">Z42</f>
        <v>1</v>
      </c>
      <c r="AB42" s="90" t="n">
        <f aca="false">AA42</f>
        <v>1</v>
      </c>
      <c r="AC42" s="90" t="n">
        <f aca="false">AB42</f>
        <v>1</v>
      </c>
    </row>
    <row r="43" customFormat="false" ht="11.25" hidden="false" customHeight="false" outlineLevel="0" collapsed="false">
      <c r="A43" s="80"/>
      <c r="C43" s="5" t="s">
        <v>424</v>
      </c>
      <c r="D43" s="134" t="n">
        <v>0.9</v>
      </c>
      <c r="E43" s="134" t="n">
        <v>0.9</v>
      </c>
      <c r="F43" s="67" t="s">
        <v>425</v>
      </c>
      <c r="I43" s="140" t="n">
        <f aca="false">(SUM(I11,I13,I15,I17,I19)*I42)</f>
        <v>0</v>
      </c>
      <c r="J43" s="140" t="n">
        <f aca="false">(SUM(J11,J13,J15,J17,J19)*J42)</f>
        <v>0</v>
      </c>
      <c r="K43" s="140" t="n">
        <f aca="false">(SUM(K11,K13,K15,K17,K19)*K42)</f>
        <v>0</v>
      </c>
      <c r="L43" s="140" t="n">
        <f aca="false">(SUM(L11,L13,L15,L17,L19)*L42)</f>
        <v>0</v>
      </c>
      <c r="M43" s="140" t="n">
        <f aca="false">(SUM(M11,M13,M15,M17,M19)*M42)</f>
        <v>0</v>
      </c>
      <c r="N43" s="140" t="n">
        <f aca="false">(SUM(N11,N13,N15,N17,N19)*N42)</f>
        <v>0</v>
      </c>
      <c r="O43" s="140" t="n">
        <f aca="false">(SUM(O11,O13,O15,O17,O19)*O42)</f>
        <v>25.811</v>
      </c>
      <c r="P43" s="140" t="n">
        <f aca="false">(SUM(P11,P13,P15,P17,P19)*P42)</f>
        <v>5.512</v>
      </c>
      <c r="Q43" s="140" t="n">
        <f aca="false">(SUM(Q11,Q13,Q15,Q17,Q19)*Q42)</f>
        <v>16.2</v>
      </c>
      <c r="R43" s="140" t="n">
        <f aca="false">(SUM(R11,R13,R15,R17,R19)*R42)</f>
        <v>0</v>
      </c>
      <c r="S43" s="140" t="n">
        <f aca="false">(SUM(S11,S13,S15,S17,S19)*S42)</f>
        <v>0</v>
      </c>
      <c r="T43" s="140" t="n">
        <f aca="false">(SUM(T11,T13,T15,T17,T19)*T42)</f>
        <v>0</v>
      </c>
      <c r="U43" s="140" t="n">
        <f aca="false">(SUM(U11,U13,U15,U17,U19)*U42)</f>
        <v>0</v>
      </c>
      <c r="V43" s="140" t="n">
        <f aca="false">(SUM(V11,V13,V15,V17,V19)*V42)</f>
        <v>0</v>
      </c>
      <c r="W43" s="140" t="n">
        <f aca="false">(SUM(W11,W13,W15,W17,W19)*W42)</f>
        <v>0</v>
      </c>
      <c r="X43" s="140" t="n">
        <f aca="false">(SUM(X11,X13,X15,X17,X19)*X42)</f>
        <v>0</v>
      </c>
      <c r="Y43" s="140" t="n">
        <f aca="false">(SUM(Y11,Y13,Y15,Y17,Y19)*Y42)</f>
        <v>0</v>
      </c>
      <c r="Z43" s="140" t="n">
        <f aca="false">(SUM(Z11,Z13,Z15,Z17,Z19)*Z42)</f>
        <v>0</v>
      </c>
      <c r="AA43" s="140" t="n">
        <f aca="false">(SUM(AA11,AA13,AA15,AA17,AA19)*AA42)</f>
        <v>0</v>
      </c>
      <c r="AB43" s="140" t="n">
        <f aca="false">(SUM(AB11,AB13,AB15,AB17,AB19)*AB42)</f>
        <v>0</v>
      </c>
      <c r="AC43" s="140" t="n">
        <f aca="false">(SUM(AC11,AC13,AC15,AC17,AC19)*AC42)</f>
        <v>0</v>
      </c>
    </row>
    <row r="44" customFormat="false" ht="11.25" hidden="false" customHeight="false" outlineLevel="0" collapsed="false">
      <c r="A44" s="80"/>
      <c r="C44" s="5" t="s">
        <v>426</v>
      </c>
      <c r="D44" s="200" t="n">
        <v>1</v>
      </c>
      <c r="E44" s="201" t="n">
        <v>1</v>
      </c>
      <c r="F44" s="188" t="s">
        <v>421</v>
      </c>
      <c r="I44" s="90" t="n">
        <f aca="false">F524</f>
        <v>1</v>
      </c>
      <c r="J44" s="90" t="n">
        <f aca="false">I44</f>
        <v>1</v>
      </c>
      <c r="K44" s="90" t="n">
        <f aca="false">J44</f>
        <v>1</v>
      </c>
      <c r="L44" s="90" t="n">
        <f aca="false">K44</f>
        <v>1</v>
      </c>
      <c r="M44" s="90" t="n">
        <f aca="false">L44</f>
        <v>1</v>
      </c>
      <c r="N44" s="90" t="n">
        <f aca="false">M44</f>
        <v>1</v>
      </c>
      <c r="O44" s="90" t="n">
        <f aca="false">N44</f>
        <v>1</v>
      </c>
      <c r="P44" s="90" t="n">
        <f aca="false">O44</f>
        <v>1</v>
      </c>
      <c r="Q44" s="90" t="n">
        <f aca="false">P44</f>
        <v>1</v>
      </c>
      <c r="R44" s="90" t="n">
        <f aca="false">Q44</f>
        <v>1</v>
      </c>
      <c r="S44" s="90" t="n">
        <f aca="false">R44</f>
        <v>1</v>
      </c>
      <c r="T44" s="90" t="n">
        <f aca="false">S44</f>
        <v>1</v>
      </c>
      <c r="U44" s="90" t="n">
        <f aca="false">T44</f>
        <v>1</v>
      </c>
      <c r="V44" s="90" t="n">
        <f aca="false">U44</f>
        <v>1</v>
      </c>
      <c r="W44" s="90" t="n">
        <f aca="false">V44</f>
        <v>1</v>
      </c>
      <c r="X44" s="90" t="n">
        <f aca="false">W44</f>
        <v>1</v>
      </c>
      <c r="Y44" s="90" t="n">
        <f aca="false">X44</f>
        <v>1</v>
      </c>
      <c r="Z44" s="90" t="n">
        <f aca="false">Y44</f>
        <v>1</v>
      </c>
      <c r="AA44" s="90" t="n">
        <f aca="false">Z44</f>
        <v>1</v>
      </c>
      <c r="AB44" s="90" t="n">
        <f aca="false">AA44</f>
        <v>1</v>
      </c>
      <c r="AC44" s="90" t="n">
        <f aca="false">AB44</f>
        <v>1</v>
      </c>
    </row>
    <row r="45" customFormat="false" ht="11.25" hidden="false" customHeight="false" outlineLevel="0" collapsed="false">
      <c r="A45" s="80"/>
      <c r="C45" s="5" t="s">
        <v>427</v>
      </c>
      <c r="D45" s="134" t="n">
        <v>1.1</v>
      </c>
      <c r="E45" s="134" t="n">
        <v>1.1</v>
      </c>
      <c r="F45" s="67" t="s">
        <v>425</v>
      </c>
      <c r="G45" s="140"/>
      <c r="I45" s="67" t="n">
        <f aca="false">+I44*I18</f>
        <v>0</v>
      </c>
      <c r="J45" s="67" t="n">
        <f aca="false">+J44*J18</f>
        <v>0</v>
      </c>
      <c r="K45" s="67" t="n">
        <f aca="false">+K44*K18</f>
        <v>0</v>
      </c>
      <c r="L45" s="67" t="n">
        <f aca="false">+L44*L18</f>
        <v>0</v>
      </c>
      <c r="M45" s="67" t="n">
        <f aca="false">+M44*M18</f>
        <v>0</v>
      </c>
      <c r="N45" s="67" t="n">
        <f aca="false">+N44*N18</f>
        <v>0</v>
      </c>
      <c r="O45" s="67" t="n">
        <f aca="false">+O44*O18</f>
        <v>0</v>
      </c>
      <c r="P45" s="67" t="n">
        <f aca="false">+P44*P18</f>
        <v>0</v>
      </c>
      <c r="Q45" s="67" t="n">
        <f aca="false">+Q44*Q18</f>
        <v>0</v>
      </c>
      <c r="R45" s="67" t="n">
        <f aca="false">+R44*R18</f>
        <v>0</v>
      </c>
      <c r="S45" s="67" t="n">
        <f aca="false">+S44*S18</f>
        <v>0</v>
      </c>
      <c r="T45" s="67" t="n">
        <f aca="false">+T44*T18</f>
        <v>0</v>
      </c>
      <c r="U45" s="67" t="n">
        <f aca="false">+U44*U18</f>
        <v>0</v>
      </c>
      <c r="V45" s="67" t="n">
        <f aca="false">+V44*V18</f>
        <v>0</v>
      </c>
      <c r="W45" s="67" t="n">
        <f aca="false">+W44*W18</f>
        <v>0</v>
      </c>
      <c r="X45" s="67" t="n">
        <f aca="false">+X44*X18</f>
        <v>0</v>
      </c>
      <c r="Y45" s="67" t="n">
        <f aca="false">+Y44*Y18</f>
        <v>0</v>
      </c>
      <c r="Z45" s="67" t="n">
        <f aca="false">+Z44*Z18</f>
        <v>0</v>
      </c>
      <c r="AA45" s="67" t="n">
        <f aca="false">+AA44*AA18</f>
        <v>0</v>
      </c>
      <c r="AB45" s="67" t="n">
        <f aca="false">+AB44*AB18</f>
        <v>0</v>
      </c>
      <c r="AC45" s="67" t="n">
        <f aca="false">+AC44*AC18</f>
        <v>0</v>
      </c>
    </row>
    <row r="46" customFormat="false" ht="11.25" hidden="false" customHeight="false" outlineLevel="0" collapsed="false">
      <c r="A46" s="80"/>
      <c r="C46" s="184"/>
      <c r="D46" s="5"/>
      <c r="E46" s="5"/>
      <c r="F46" s="202" t="s">
        <v>428</v>
      </c>
      <c r="G46" s="140"/>
      <c r="I46" s="189" t="n">
        <f aca="false">+I45+I43</f>
        <v>0</v>
      </c>
      <c r="J46" s="189" t="n">
        <f aca="false">+J45+J43</f>
        <v>0</v>
      </c>
      <c r="K46" s="189" t="n">
        <f aca="false">+K45+K43</f>
        <v>0</v>
      </c>
      <c r="L46" s="189" t="n">
        <f aca="false">+L45+L43</f>
        <v>0</v>
      </c>
      <c r="M46" s="189" t="n">
        <f aca="false">+M45+M43</f>
        <v>0</v>
      </c>
      <c r="N46" s="189" t="n">
        <f aca="false">+N45+N43</f>
        <v>0</v>
      </c>
      <c r="O46" s="189" t="n">
        <f aca="false">+O45+O43</f>
        <v>25.811</v>
      </c>
      <c r="P46" s="189" t="n">
        <f aca="false">+P45+P43</f>
        <v>5.512</v>
      </c>
      <c r="Q46" s="189" t="n">
        <f aca="false">+Q45+Q43</f>
        <v>16.2</v>
      </c>
      <c r="R46" s="189" t="n">
        <f aca="false">+R45+R43</f>
        <v>0</v>
      </c>
      <c r="S46" s="189" t="n">
        <f aca="false">+S45+S43</f>
        <v>0</v>
      </c>
      <c r="T46" s="189" t="n">
        <f aca="false">+T45+T43</f>
        <v>0</v>
      </c>
      <c r="U46" s="189" t="n">
        <f aca="false">+U45+U43</f>
        <v>0</v>
      </c>
      <c r="V46" s="189" t="n">
        <f aca="false">+V45+V43</f>
        <v>0</v>
      </c>
      <c r="W46" s="189" t="n">
        <f aca="false">+W45+W43</f>
        <v>0</v>
      </c>
      <c r="X46" s="189" t="n">
        <f aca="false">+X45+X43</f>
        <v>0</v>
      </c>
      <c r="Y46" s="189" t="n">
        <f aca="false">+Y45+Y43</f>
        <v>0</v>
      </c>
      <c r="Z46" s="189" t="n">
        <f aca="false">+Z45+Z43</f>
        <v>0</v>
      </c>
      <c r="AA46" s="189" t="n">
        <f aca="false">+AA45+AA43</f>
        <v>0</v>
      </c>
      <c r="AB46" s="189" t="n">
        <f aca="false">+AB45+AB43</f>
        <v>0</v>
      </c>
      <c r="AC46" s="189" t="n">
        <f aca="false">+AC45+AC43</f>
        <v>0</v>
      </c>
    </row>
    <row r="47" customFormat="false" ht="11.25" hidden="false" customHeight="false" outlineLevel="0" collapsed="false">
      <c r="A47" s="80"/>
      <c r="C47" s="5"/>
      <c r="D47" s="184"/>
      <c r="E47" s="184"/>
      <c r="F47" s="140"/>
      <c r="G47" s="140"/>
      <c r="I47" s="140"/>
      <c r="J47" s="140"/>
      <c r="K47" s="140"/>
      <c r="L47" s="140"/>
      <c r="M47" s="140"/>
      <c r="N47" s="140"/>
      <c r="O47" s="140"/>
      <c r="P47" s="140"/>
      <c r="Q47" s="140"/>
      <c r="R47" s="140"/>
      <c r="S47" s="140"/>
      <c r="T47" s="140"/>
      <c r="U47" s="140"/>
      <c r="V47" s="140"/>
      <c r="W47" s="140"/>
      <c r="X47" s="140"/>
      <c r="Y47" s="140"/>
      <c r="Z47" s="140"/>
      <c r="AA47" s="140"/>
      <c r="AB47" s="140"/>
      <c r="AC47" s="140"/>
    </row>
    <row r="48" customFormat="false" ht="11.25" hidden="false" customHeight="false" outlineLevel="0" collapsed="false">
      <c r="A48" s="80"/>
      <c r="B48" s="4" t="s">
        <v>401</v>
      </c>
      <c r="C48" s="6" t="s">
        <v>157</v>
      </c>
      <c r="D48" s="199" t="s">
        <v>422</v>
      </c>
      <c r="E48" s="184"/>
      <c r="F48" s="140" t="str">
        <f aca="false">+C22</f>
        <v>Asset 1</v>
      </c>
      <c r="G48" s="140"/>
      <c r="I48" s="90" t="n">
        <v>1</v>
      </c>
      <c r="J48" s="90" t="n">
        <v>1</v>
      </c>
      <c r="K48" s="90" t="n">
        <v>1</v>
      </c>
      <c r="L48" s="90" t="n">
        <v>1</v>
      </c>
      <c r="M48" s="90" t="n">
        <v>1</v>
      </c>
      <c r="N48" s="90" t="n">
        <v>1</v>
      </c>
      <c r="O48" s="90" t="n">
        <v>1</v>
      </c>
      <c r="P48" s="90" t="n">
        <v>1</v>
      </c>
      <c r="Q48" s="90" t="n">
        <v>1</v>
      </c>
      <c r="R48" s="90" t="n">
        <v>1</v>
      </c>
      <c r="S48" s="90" t="n">
        <v>1</v>
      </c>
      <c r="T48" s="90" t="n">
        <v>1</v>
      </c>
      <c r="U48" s="90" t="n">
        <v>1</v>
      </c>
      <c r="V48" s="90" t="n">
        <v>1</v>
      </c>
      <c r="W48" s="90" t="n">
        <v>1</v>
      </c>
      <c r="X48" s="90" t="n">
        <v>1</v>
      </c>
      <c r="Y48" s="90" t="n">
        <v>1</v>
      </c>
      <c r="Z48" s="90" t="n">
        <v>1</v>
      </c>
      <c r="AA48" s="90" t="n">
        <v>1</v>
      </c>
      <c r="AB48" s="90" t="n">
        <v>1</v>
      </c>
      <c r="AC48" s="90" t="n">
        <v>1</v>
      </c>
    </row>
    <row r="49" customFormat="false" ht="11.25" hidden="false" customHeight="false" outlineLevel="0" collapsed="false">
      <c r="A49" s="80"/>
      <c r="B49" s="4"/>
      <c r="C49" s="5" t="s">
        <v>424</v>
      </c>
      <c r="D49" s="134"/>
      <c r="E49" s="184"/>
      <c r="F49" s="67" t="s">
        <v>425</v>
      </c>
      <c r="G49" s="140"/>
      <c r="I49" s="140" t="n">
        <f aca="false">+I48*I22</f>
        <v>0</v>
      </c>
      <c r="J49" s="140" t="n">
        <f aca="false">+J48*J22</f>
        <v>0</v>
      </c>
      <c r="K49" s="140" t="n">
        <f aca="false">+K48*K22</f>
        <v>0</v>
      </c>
      <c r="L49" s="140" t="n">
        <f aca="false">+L48*L22</f>
        <v>0</v>
      </c>
      <c r="M49" s="140" t="n">
        <f aca="false">+M48*M22</f>
        <v>0</v>
      </c>
      <c r="N49" s="140" t="n">
        <f aca="false">+N48*N22</f>
        <v>0</v>
      </c>
      <c r="O49" s="140" t="n">
        <f aca="false">+O48*O22</f>
        <v>0</v>
      </c>
      <c r="P49" s="140" t="n">
        <f aca="false">+P48*P22</f>
        <v>0</v>
      </c>
      <c r="Q49" s="140" t="n">
        <f aca="false">+Q48*Q22</f>
        <v>0</v>
      </c>
      <c r="R49" s="140" t="n">
        <f aca="false">+R48*R22</f>
        <v>0</v>
      </c>
      <c r="S49" s="140" t="n">
        <f aca="false">+S48*S22</f>
        <v>0</v>
      </c>
      <c r="T49" s="140" t="n">
        <f aca="false">+T48*T22</f>
        <v>0</v>
      </c>
      <c r="U49" s="140" t="n">
        <f aca="false">+U48*U22</f>
        <v>0</v>
      </c>
      <c r="V49" s="140" t="n">
        <f aca="false">+V48*V22</f>
        <v>0</v>
      </c>
      <c r="W49" s="140" t="n">
        <f aca="false">+W48*W22</f>
        <v>0</v>
      </c>
      <c r="X49" s="140" t="n">
        <f aca="false">+X48*X22</f>
        <v>0</v>
      </c>
      <c r="Y49" s="140" t="n">
        <f aca="false">+Y48*Y22</f>
        <v>0</v>
      </c>
      <c r="Z49" s="140" t="n">
        <f aca="false">+Z48*Z22</f>
        <v>0</v>
      </c>
      <c r="AA49" s="140" t="n">
        <f aca="false">+AA48*AA22</f>
        <v>0</v>
      </c>
      <c r="AB49" s="140" t="n">
        <f aca="false">+AB48*AB22</f>
        <v>0</v>
      </c>
      <c r="AC49" s="140" t="n">
        <f aca="false">+AC48*AC22</f>
        <v>0</v>
      </c>
    </row>
    <row r="50" customFormat="false" ht="11.25" hidden="false" customHeight="false" outlineLevel="0" collapsed="false">
      <c r="A50" s="80"/>
      <c r="C50" s="5" t="s">
        <v>426</v>
      </c>
      <c r="D50" s="134" t="n">
        <v>1</v>
      </c>
      <c r="E50" s="184"/>
      <c r="F50" s="140" t="str">
        <f aca="false">+C23</f>
        <v>Asset 2</v>
      </c>
      <c r="G50" s="140"/>
      <c r="I50" s="90" t="n">
        <v>1</v>
      </c>
      <c r="J50" s="90" t="n">
        <v>1</v>
      </c>
      <c r="K50" s="90" t="n">
        <v>1</v>
      </c>
      <c r="L50" s="90" t="n">
        <v>1</v>
      </c>
      <c r="M50" s="90" t="n">
        <v>1</v>
      </c>
      <c r="N50" s="90" t="n">
        <v>1</v>
      </c>
      <c r="O50" s="90" t="n">
        <v>1</v>
      </c>
      <c r="P50" s="90" t="n">
        <v>1</v>
      </c>
      <c r="Q50" s="90" t="n">
        <v>1</v>
      </c>
      <c r="R50" s="90" t="n">
        <v>1</v>
      </c>
      <c r="S50" s="90" t="n">
        <v>1</v>
      </c>
      <c r="T50" s="90" t="n">
        <v>1</v>
      </c>
      <c r="U50" s="90" t="n">
        <v>1</v>
      </c>
      <c r="V50" s="90" t="n">
        <v>1</v>
      </c>
      <c r="W50" s="90" t="n">
        <v>1</v>
      </c>
      <c r="X50" s="90" t="n">
        <v>1</v>
      </c>
      <c r="Y50" s="90" t="n">
        <v>1</v>
      </c>
      <c r="Z50" s="90" t="n">
        <v>1</v>
      </c>
      <c r="AA50" s="90" t="n">
        <v>1</v>
      </c>
      <c r="AB50" s="90" t="n">
        <v>1</v>
      </c>
      <c r="AC50" s="90" t="n">
        <v>1</v>
      </c>
    </row>
    <row r="51" customFormat="false" ht="11.25" hidden="false" customHeight="false" outlineLevel="0" collapsed="false">
      <c r="A51" s="80"/>
      <c r="C51" s="5" t="s">
        <v>427</v>
      </c>
      <c r="D51" s="134"/>
      <c r="E51" s="184"/>
      <c r="F51" s="67" t="s">
        <v>425</v>
      </c>
      <c r="G51" s="140"/>
      <c r="I51" s="140" t="n">
        <f aca="false">+I50*I23</f>
        <v>0</v>
      </c>
      <c r="J51" s="140" t="n">
        <f aca="false">+J50*J23</f>
        <v>0</v>
      </c>
      <c r="K51" s="140" t="n">
        <f aca="false">+K50*K23</f>
        <v>0</v>
      </c>
      <c r="L51" s="140" t="n">
        <f aca="false">+L50*L23</f>
        <v>0</v>
      </c>
      <c r="M51" s="140" t="n">
        <f aca="false">+M50*M23</f>
        <v>0</v>
      </c>
      <c r="N51" s="140" t="n">
        <f aca="false">+N50*N23</f>
        <v>0</v>
      </c>
      <c r="O51" s="140" t="n">
        <f aca="false">+O50*O23</f>
        <v>0</v>
      </c>
      <c r="P51" s="140" t="n">
        <f aca="false">+P50*P23</f>
        <v>0</v>
      </c>
      <c r="Q51" s="140" t="n">
        <f aca="false">+Q50*Q23</f>
        <v>0</v>
      </c>
      <c r="R51" s="140" t="n">
        <f aca="false">+R50*R23</f>
        <v>0</v>
      </c>
      <c r="S51" s="140" t="n">
        <f aca="false">+S50*S23</f>
        <v>0</v>
      </c>
      <c r="T51" s="140" t="n">
        <f aca="false">+T50*T23</f>
        <v>0</v>
      </c>
      <c r="U51" s="140" t="n">
        <f aca="false">+U50*U23</f>
        <v>0</v>
      </c>
      <c r="V51" s="140" t="n">
        <f aca="false">+V50*V23</f>
        <v>0</v>
      </c>
      <c r="W51" s="140" t="n">
        <f aca="false">+W50*W23</f>
        <v>0</v>
      </c>
      <c r="X51" s="140" t="n">
        <f aca="false">+X50*X23</f>
        <v>0</v>
      </c>
      <c r="Y51" s="140" t="n">
        <f aca="false">+Y50*Y23</f>
        <v>0</v>
      </c>
      <c r="Z51" s="140" t="n">
        <f aca="false">+Z50*Z23</f>
        <v>0</v>
      </c>
      <c r="AA51" s="140" t="n">
        <f aca="false">+AA50*AA23</f>
        <v>0</v>
      </c>
      <c r="AB51" s="140" t="n">
        <f aca="false">+AB50*AB23</f>
        <v>0</v>
      </c>
      <c r="AC51" s="140" t="n">
        <f aca="false">+AC50*AC23</f>
        <v>0</v>
      </c>
    </row>
    <row r="52" customFormat="false" ht="11.25" hidden="false" customHeight="false" outlineLevel="0" collapsed="false">
      <c r="A52" s="80"/>
      <c r="C52" s="5"/>
      <c r="D52" s="184"/>
      <c r="E52" s="184"/>
      <c r="F52" s="140" t="str">
        <f aca="false">+C24</f>
        <v>Asset 3</v>
      </c>
      <c r="G52" s="140"/>
      <c r="I52" s="90" t="n">
        <v>1</v>
      </c>
      <c r="J52" s="90" t="n">
        <v>1</v>
      </c>
      <c r="K52" s="90" t="n">
        <v>1</v>
      </c>
      <c r="L52" s="90" t="n">
        <v>1</v>
      </c>
      <c r="M52" s="90" t="n">
        <v>1</v>
      </c>
      <c r="N52" s="90" t="n">
        <v>1</v>
      </c>
      <c r="O52" s="90" t="n">
        <v>1</v>
      </c>
      <c r="P52" s="90" t="n">
        <v>1</v>
      </c>
      <c r="Q52" s="90" t="n">
        <v>1</v>
      </c>
      <c r="R52" s="90" t="n">
        <v>1</v>
      </c>
      <c r="S52" s="90" t="n">
        <v>1</v>
      </c>
      <c r="T52" s="90" t="n">
        <v>1</v>
      </c>
      <c r="U52" s="90" t="n">
        <v>1</v>
      </c>
      <c r="V52" s="90" t="n">
        <v>1</v>
      </c>
      <c r="W52" s="90" t="n">
        <v>1</v>
      </c>
      <c r="X52" s="90" t="n">
        <v>1</v>
      </c>
      <c r="Y52" s="90" t="n">
        <v>1</v>
      </c>
      <c r="Z52" s="90" t="n">
        <v>1</v>
      </c>
      <c r="AA52" s="90" t="n">
        <v>1</v>
      </c>
      <c r="AB52" s="90" t="n">
        <v>1</v>
      </c>
      <c r="AC52" s="90" t="n">
        <v>1</v>
      </c>
    </row>
    <row r="53" customFormat="false" ht="11.25" hidden="false" customHeight="false" outlineLevel="0" collapsed="false">
      <c r="A53" s="80"/>
      <c r="C53" s="5"/>
      <c r="D53" s="184"/>
      <c r="E53" s="184"/>
      <c r="F53" s="67" t="s">
        <v>425</v>
      </c>
      <c r="G53" s="140"/>
      <c r="I53" s="203" t="n">
        <f aca="false">+I24*I52</f>
        <v>0</v>
      </c>
      <c r="J53" s="203" t="n">
        <f aca="false">+J24*J52</f>
        <v>0</v>
      </c>
      <c r="K53" s="203" t="n">
        <f aca="false">+K24*K52</f>
        <v>0</v>
      </c>
      <c r="L53" s="203" t="n">
        <f aca="false">+L24*L52</f>
        <v>0</v>
      </c>
      <c r="M53" s="203" t="n">
        <f aca="false">+M24*M52</f>
        <v>0</v>
      </c>
      <c r="N53" s="203" t="n">
        <f aca="false">+N24*N52</f>
        <v>0</v>
      </c>
      <c r="O53" s="203" t="n">
        <f aca="false">+O24*O52</f>
        <v>0</v>
      </c>
      <c r="P53" s="203" t="n">
        <f aca="false">+P24*P52</f>
        <v>0</v>
      </c>
      <c r="Q53" s="203" t="n">
        <f aca="false">+Q24*Q52</f>
        <v>0</v>
      </c>
      <c r="R53" s="203" t="n">
        <f aca="false">+R24*R52</f>
        <v>0</v>
      </c>
      <c r="S53" s="203" t="n">
        <f aca="false">+S24*S52</f>
        <v>0</v>
      </c>
      <c r="T53" s="203" t="n">
        <f aca="false">+T24*T52</f>
        <v>0</v>
      </c>
      <c r="U53" s="203" t="n">
        <f aca="false">+U24*U52</f>
        <v>0</v>
      </c>
      <c r="V53" s="203" t="n">
        <f aca="false">+V24*V52</f>
        <v>0</v>
      </c>
      <c r="W53" s="203" t="n">
        <f aca="false">+W24*W52</f>
        <v>0</v>
      </c>
      <c r="X53" s="203" t="n">
        <f aca="false">+X24*X52</f>
        <v>0</v>
      </c>
      <c r="Y53" s="203" t="n">
        <f aca="false">+Y24*Y52</f>
        <v>0</v>
      </c>
      <c r="Z53" s="203" t="n">
        <f aca="false">+Z24*Z52</f>
        <v>0</v>
      </c>
      <c r="AA53" s="203" t="n">
        <f aca="false">+AA24*AA52</f>
        <v>0</v>
      </c>
      <c r="AB53" s="203" t="n">
        <f aca="false">+AB24*AB52</f>
        <v>0</v>
      </c>
      <c r="AC53" s="203" t="n">
        <f aca="false">+AC24*AC52</f>
        <v>0</v>
      </c>
    </row>
    <row r="54" customFormat="false" ht="11.25" hidden="false" customHeight="false" outlineLevel="0" collapsed="false">
      <c r="A54" s="80"/>
      <c r="C54" s="184"/>
      <c r="D54" s="184"/>
      <c r="E54" s="184"/>
      <c r="F54" s="140" t="str">
        <f aca="false">+C25</f>
        <v>Asset 4</v>
      </c>
      <c r="G54" s="140"/>
      <c r="I54" s="90" t="n">
        <v>1</v>
      </c>
      <c r="J54" s="90" t="n">
        <v>1</v>
      </c>
      <c r="K54" s="90" t="n">
        <v>1</v>
      </c>
      <c r="L54" s="90" t="n">
        <v>1</v>
      </c>
      <c r="M54" s="90" t="n">
        <v>1</v>
      </c>
      <c r="N54" s="90" t="n">
        <v>1</v>
      </c>
      <c r="O54" s="90" t="n">
        <v>1</v>
      </c>
      <c r="P54" s="90" t="n">
        <v>1</v>
      </c>
      <c r="Q54" s="90" t="n">
        <v>1</v>
      </c>
      <c r="R54" s="90" t="n">
        <v>1</v>
      </c>
      <c r="S54" s="90" t="n">
        <v>1</v>
      </c>
      <c r="T54" s="90" t="n">
        <v>1</v>
      </c>
      <c r="U54" s="90" t="n">
        <v>1</v>
      </c>
      <c r="V54" s="90" t="n">
        <v>1</v>
      </c>
      <c r="W54" s="90" t="n">
        <v>1</v>
      </c>
      <c r="X54" s="90" t="n">
        <v>1</v>
      </c>
      <c r="Y54" s="90" t="n">
        <v>1</v>
      </c>
      <c r="Z54" s="90" t="n">
        <v>1</v>
      </c>
      <c r="AA54" s="90" t="n">
        <v>1</v>
      </c>
      <c r="AB54" s="90" t="n">
        <v>1</v>
      </c>
      <c r="AC54" s="90" t="n">
        <v>1</v>
      </c>
    </row>
    <row r="55" customFormat="false" ht="11.25" hidden="false" customHeight="false" outlineLevel="0" collapsed="false">
      <c r="A55" s="80"/>
      <c r="C55" s="184"/>
      <c r="D55" s="184"/>
      <c r="E55" s="184"/>
      <c r="F55" s="67" t="s">
        <v>425</v>
      </c>
      <c r="G55" s="140"/>
      <c r="I55" s="140" t="n">
        <f aca="false">+I25*I54</f>
        <v>0</v>
      </c>
      <c r="J55" s="140" t="n">
        <f aca="false">+J25*J54</f>
        <v>0</v>
      </c>
      <c r="K55" s="140" t="n">
        <f aca="false">+K25*K54</f>
        <v>0</v>
      </c>
      <c r="L55" s="140" t="n">
        <f aca="false">+L25*L54</f>
        <v>0</v>
      </c>
      <c r="M55" s="140" t="n">
        <f aca="false">+M25*M54</f>
        <v>0</v>
      </c>
      <c r="N55" s="140" t="n">
        <f aca="false">+N25*N54</f>
        <v>0</v>
      </c>
      <c r="O55" s="140" t="n">
        <f aca="false">+O25*O54</f>
        <v>0</v>
      </c>
      <c r="P55" s="140" t="n">
        <f aca="false">+P25*P54</f>
        <v>0</v>
      </c>
      <c r="Q55" s="140" t="n">
        <f aca="false">+Q25*Q54</f>
        <v>0</v>
      </c>
      <c r="R55" s="140" t="n">
        <f aca="false">+R25*R54</f>
        <v>0</v>
      </c>
      <c r="S55" s="140" t="n">
        <f aca="false">+S25*S54</f>
        <v>0</v>
      </c>
      <c r="T55" s="140" t="n">
        <f aca="false">+T25*T54</f>
        <v>0</v>
      </c>
      <c r="U55" s="140" t="n">
        <f aca="false">+U25*U54</f>
        <v>0</v>
      </c>
      <c r="V55" s="140" t="n">
        <f aca="false">+V25*V54</f>
        <v>0</v>
      </c>
      <c r="W55" s="140" t="n">
        <f aca="false">+W25*W54</f>
        <v>0</v>
      </c>
      <c r="X55" s="140" t="n">
        <f aca="false">+X25*X54</f>
        <v>0</v>
      </c>
      <c r="Y55" s="140" t="n">
        <f aca="false">+Y25*Y54</f>
        <v>0</v>
      </c>
      <c r="Z55" s="140" t="n">
        <f aca="false">+Z25*Z54</f>
        <v>0</v>
      </c>
      <c r="AA55" s="140" t="n">
        <f aca="false">+AA25*AA54</f>
        <v>0</v>
      </c>
      <c r="AB55" s="140" t="n">
        <f aca="false">+AB25*AB54</f>
        <v>0</v>
      </c>
      <c r="AC55" s="140" t="n">
        <f aca="false">+AC25*AC54</f>
        <v>0</v>
      </c>
    </row>
    <row r="56" customFormat="false" ht="11.25" hidden="false" customHeight="false" outlineLevel="0" collapsed="false">
      <c r="A56" s="80"/>
      <c r="C56" s="184"/>
      <c r="D56" s="184"/>
      <c r="E56" s="184"/>
      <c r="F56" s="140" t="str">
        <f aca="false">+C26</f>
        <v>Asset 5</v>
      </c>
      <c r="G56" s="140"/>
      <c r="I56" s="90" t="n">
        <v>1</v>
      </c>
      <c r="J56" s="90" t="n">
        <v>1</v>
      </c>
      <c r="K56" s="90" t="n">
        <v>1</v>
      </c>
      <c r="L56" s="90" t="n">
        <v>1</v>
      </c>
      <c r="M56" s="90" t="n">
        <v>1</v>
      </c>
      <c r="N56" s="90" t="n">
        <v>1</v>
      </c>
      <c r="O56" s="90" t="n">
        <v>1</v>
      </c>
      <c r="P56" s="90" t="n">
        <v>1</v>
      </c>
      <c r="Q56" s="90" t="n">
        <v>1</v>
      </c>
      <c r="R56" s="90" t="n">
        <v>1</v>
      </c>
      <c r="S56" s="90" t="n">
        <v>1</v>
      </c>
      <c r="T56" s="90" t="n">
        <v>1</v>
      </c>
      <c r="U56" s="90" t="n">
        <v>1</v>
      </c>
      <c r="V56" s="90" t="n">
        <v>1</v>
      </c>
      <c r="W56" s="90" t="n">
        <v>1</v>
      </c>
      <c r="X56" s="90" t="n">
        <v>1</v>
      </c>
      <c r="Y56" s="90" t="n">
        <v>1</v>
      </c>
      <c r="Z56" s="90" t="n">
        <v>1</v>
      </c>
      <c r="AA56" s="90" t="n">
        <v>1</v>
      </c>
      <c r="AB56" s="90" t="n">
        <v>1</v>
      </c>
      <c r="AC56" s="90" t="n">
        <v>1</v>
      </c>
    </row>
    <row r="57" customFormat="false" ht="11.25" hidden="false" customHeight="false" outlineLevel="0" collapsed="false">
      <c r="A57" s="80"/>
      <c r="C57" s="184"/>
      <c r="D57" s="184"/>
      <c r="E57" s="184"/>
      <c r="F57" s="67" t="s">
        <v>425</v>
      </c>
      <c r="G57" s="140"/>
      <c r="I57" s="140" t="n">
        <f aca="false">+I26*I56</f>
        <v>0</v>
      </c>
      <c r="J57" s="140" t="n">
        <f aca="false">+J26*J56</f>
        <v>0</v>
      </c>
      <c r="K57" s="140" t="n">
        <f aca="false">+K26*K56</f>
        <v>0</v>
      </c>
      <c r="L57" s="140" t="n">
        <f aca="false">+L26*L56</f>
        <v>0</v>
      </c>
      <c r="M57" s="140" t="n">
        <f aca="false">+M26*M56</f>
        <v>0</v>
      </c>
      <c r="N57" s="140" t="n">
        <f aca="false">+N26*N56</f>
        <v>0</v>
      </c>
      <c r="O57" s="140" t="n">
        <f aca="false">+O26*O56</f>
        <v>0</v>
      </c>
      <c r="P57" s="140" t="n">
        <f aca="false">+P26*P56</f>
        <v>0</v>
      </c>
      <c r="Q57" s="140" t="n">
        <f aca="false">+Q26*Q56</f>
        <v>0</v>
      </c>
      <c r="R57" s="140" t="n">
        <f aca="false">+R26*R56</f>
        <v>0</v>
      </c>
      <c r="S57" s="140" t="n">
        <f aca="false">+S26*S56</f>
        <v>0</v>
      </c>
      <c r="T57" s="140" t="n">
        <f aca="false">+T26*T56</f>
        <v>0</v>
      </c>
      <c r="U57" s="140" t="n">
        <f aca="false">+U26*U56</f>
        <v>0</v>
      </c>
      <c r="V57" s="140" t="n">
        <f aca="false">+V26*V56</f>
        <v>0</v>
      </c>
      <c r="W57" s="140" t="n">
        <f aca="false">+W26*W56</f>
        <v>0</v>
      </c>
      <c r="X57" s="140" t="n">
        <f aca="false">+X26*X56</f>
        <v>0</v>
      </c>
      <c r="Y57" s="140" t="n">
        <f aca="false">+Y26*Y56</f>
        <v>0</v>
      </c>
      <c r="Z57" s="140" t="n">
        <f aca="false">+Z26*Z56</f>
        <v>0</v>
      </c>
      <c r="AA57" s="140" t="n">
        <f aca="false">+AA26*AA56</f>
        <v>0</v>
      </c>
      <c r="AB57" s="140" t="n">
        <f aca="false">+AB26*AB56</f>
        <v>0</v>
      </c>
      <c r="AC57" s="140" t="n">
        <f aca="false">+AC26*AC56</f>
        <v>0</v>
      </c>
    </row>
    <row r="58" customFormat="false" ht="11.25" hidden="false" customHeight="false" outlineLevel="0" collapsed="false">
      <c r="A58" s="80"/>
      <c r="C58" s="184"/>
      <c r="D58" s="184"/>
      <c r="E58" s="184"/>
      <c r="F58" s="202" t="s">
        <v>429</v>
      </c>
      <c r="G58" s="140"/>
      <c r="I58" s="189" t="n">
        <f aca="false">+I49+I51+I53+I55+I57</f>
        <v>0</v>
      </c>
      <c r="J58" s="189" t="n">
        <f aca="false">+J49+J51+J53+J55+J57</f>
        <v>0</v>
      </c>
      <c r="K58" s="189" t="n">
        <f aca="false">+K49+K51+K53+K55+K57</f>
        <v>0</v>
      </c>
      <c r="L58" s="189" t="n">
        <f aca="false">+L49+L51+L53+L55+L57</f>
        <v>0</v>
      </c>
      <c r="M58" s="189" t="n">
        <f aca="false">+M49+M51+M53+M55+M57</f>
        <v>0</v>
      </c>
      <c r="N58" s="189" t="n">
        <f aca="false">+N49+N51+N53+N55+N57</f>
        <v>0</v>
      </c>
      <c r="O58" s="189" t="n">
        <f aca="false">+O49+O51+O53+O55+O57</f>
        <v>0</v>
      </c>
      <c r="P58" s="189" t="n">
        <f aca="false">+P49+P51+P53+P55+P57</f>
        <v>0</v>
      </c>
      <c r="Q58" s="189" t="n">
        <f aca="false">+Q49+Q51+Q53+Q55+Q57</f>
        <v>0</v>
      </c>
      <c r="R58" s="189" t="n">
        <f aca="false">+R49+R51+R53+R55+R57</f>
        <v>0</v>
      </c>
      <c r="S58" s="189" t="n">
        <f aca="false">+S49+S51+S53+S55+S57</f>
        <v>0</v>
      </c>
      <c r="T58" s="189" t="n">
        <f aca="false">+T49+T51+T53+T55+T57</f>
        <v>0</v>
      </c>
      <c r="U58" s="189" t="n">
        <f aca="false">+U49+U51+U53+U55+U57</f>
        <v>0</v>
      </c>
      <c r="V58" s="189" t="n">
        <f aca="false">+V49+V51+V53+V55+V57</f>
        <v>0</v>
      </c>
      <c r="W58" s="189" t="n">
        <f aca="false">+W49+W51+W53+W55+W57</f>
        <v>0</v>
      </c>
      <c r="X58" s="189" t="n">
        <f aca="false">+X49+X51+X53+X55+X57</f>
        <v>0</v>
      </c>
      <c r="Y58" s="189" t="n">
        <f aca="false">+Y49+Y51+Y53+Y55+Y57</f>
        <v>0</v>
      </c>
      <c r="Z58" s="189" t="n">
        <f aca="false">+Z49+Z51+Z53+Z55+Z57</f>
        <v>0</v>
      </c>
      <c r="AA58" s="189" t="n">
        <f aca="false">+AA49+AA51+AA53+AA55+AA57</f>
        <v>0</v>
      </c>
      <c r="AB58" s="189" t="n">
        <f aca="false">+AB49+AB51+AB53+AB55+AB57</f>
        <v>0</v>
      </c>
      <c r="AC58" s="189" t="n">
        <f aca="false">+AC49+AC51+AC53+AC55+AC57</f>
        <v>0</v>
      </c>
    </row>
    <row r="59" customFormat="false" ht="11.25" hidden="false" customHeight="false" outlineLevel="0" collapsed="false">
      <c r="A59" s="153" t="s">
        <v>411</v>
      </c>
      <c r="C59" s="184"/>
      <c r="D59" s="184"/>
      <c r="E59" s="184"/>
      <c r="F59" s="140"/>
      <c r="G59" s="140"/>
      <c r="I59" s="140"/>
      <c r="J59" s="140"/>
      <c r="K59" s="140"/>
      <c r="L59" s="140"/>
      <c r="M59" s="140"/>
      <c r="N59" s="140"/>
      <c r="O59" s="140"/>
      <c r="P59" s="140"/>
      <c r="Q59" s="140"/>
      <c r="R59" s="140"/>
      <c r="S59" s="140"/>
      <c r="T59" s="140"/>
      <c r="U59" s="140"/>
      <c r="V59" s="140"/>
      <c r="W59" s="140"/>
      <c r="X59" s="140"/>
      <c r="Y59" s="140"/>
      <c r="Z59" s="140"/>
      <c r="AA59" s="140"/>
      <c r="AB59" s="140"/>
      <c r="AC59" s="140"/>
    </row>
    <row r="60" customFormat="false" ht="11.25" hidden="false" customHeight="false" outlineLevel="0" collapsed="false">
      <c r="C60" s="6" t="s">
        <v>157</v>
      </c>
      <c r="D60" s="199" t="s">
        <v>422</v>
      </c>
      <c r="E60" s="184"/>
      <c r="F60" s="140" t="str">
        <f aca="false">+C30</f>
        <v>Funding 1</v>
      </c>
      <c r="G60" s="140"/>
      <c r="I60" s="90" t="n">
        <v>1</v>
      </c>
      <c r="J60" s="90" t="n">
        <v>1</v>
      </c>
      <c r="K60" s="90" t="n">
        <v>1</v>
      </c>
      <c r="L60" s="90" t="n">
        <v>1</v>
      </c>
      <c r="M60" s="90" t="n">
        <v>1</v>
      </c>
      <c r="N60" s="90" t="n">
        <v>1</v>
      </c>
      <c r="O60" s="90" t="n">
        <v>1</v>
      </c>
      <c r="P60" s="90" t="n">
        <v>1</v>
      </c>
      <c r="Q60" s="90" t="n">
        <v>1</v>
      </c>
      <c r="R60" s="90" t="n">
        <v>1</v>
      </c>
      <c r="S60" s="90" t="n">
        <v>1</v>
      </c>
      <c r="T60" s="90" t="n">
        <v>1</v>
      </c>
      <c r="U60" s="90" t="n">
        <v>1</v>
      </c>
      <c r="V60" s="90" t="n">
        <v>1</v>
      </c>
      <c r="W60" s="90" t="n">
        <v>1</v>
      </c>
      <c r="X60" s="90" t="n">
        <v>1</v>
      </c>
      <c r="Y60" s="90" t="n">
        <v>1</v>
      </c>
      <c r="Z60" s="90" t="n">
        <v>1</v>
      </c>
      <c r="AA60" s="90" t="n">
        <v>1</v>
      </c>
      <c r="AB60" s="90" t="n">
        <v>1</v>
      </c>
      <c r="AC60" s="90" t="n">
        <v>1</v>
      </c>
    </row>
    <row r="61" customFormat="false" ht="11.25" hidden="false" customHeight="false" outlineLevel="0" collapsed="false">
      <c r="C61" s="5" t="s">
        <v>424</v>
      </c>
      <c r="D61" s="134"/>
      <c r="E61" s="184"/>
      <c r="F61" s="67" t="s">
        <v>425</v>
      </c>
      <c r="G61" s="140"/>
      <c r="I61" s="140" t="n">
        <f aca="false">+I60*I30</f>
        <v>0</v>
      </c>
      <c r="J61" s="140" t="n">
        <f aca="false">+J60*J30</f>
        <v>0</v>
      </c>
      <c r="K61" s="140" t="n">
        <f aca="false">+K60*K30</f>
        <v>0</v>
      </c>
      <c r="L61" s="140" t="n">
        <f aca="false">+L60*L30</f>
        <v>0</v>
      </c>
      <c r="M61" s="140" t="n">
        <f aca="false">+M60*M30</f>
        <v>0</v>
      </c>
      <c r="N61" s="140" t="n">
        <f aca="false">+N60*N30</f>
        <v>0</v>
      </c>
      <c r="O61" s="140" t="n">
        <f aca="false">+O60*O30</f>
        <v>0</v>
      </c>
      <c r="P61" s="140" t="n">
        <f aca="false">+P60*P30</f>
        <v>0</v>
      </c>
      <c r="Q61" s="140" t="n">
        <f aca="false">+Q60*Q30</f>
        <v>0</v>
      </c>
      <c r="R61" s="140" t="n">
        <f aca="false">+R60*R30</f>
        <v>0</v>
      </c>
      <c r="S61" s="140" t="n">
        <f aca="false">+S60*S30</f>
        <v>0</v>
      </c>
      <c r="T61" s="140" t="n">
        <f aca="false">+T60*T30</f>
        <v>0</v>
      </c>
      <c r="U61" s="140" t="n">
        <f aca="false">+U60*U30</f>
        <v>0</v>
      </c>
      <c r="V61" s="140" t="n">
        <f aca="false">+V60*V30</f>
        <v>0</v>
      </c>
      <c r="W61" s="140" t="n">
        <f aca="false">+W60*W30</f>
        <v>0</v>
      </c>
      <c r="X61" s="140" t="n">
        <f aca="false">+X60*X30</f>
        <v>0</v>
      </c>
      <c r="Y61" s="140" t="n">
        <f aca="false">+Y60*Y30</f>
        <v>0</v>
      </c>
      <c r="Z61" s="140" t="n">
        <f aca="false">+Z60*Z30</f>
        <v>0</v>
      </c>
      <c r="AA61" s="140" t="n">
        <f aca="false">+AA60*AA30</f>
        <v>0</v>
      </c>
      <c r="AB61" s="140" t="n">
        <f aca="false">+AB60*AB30</f>
        <v>0</v>
      </c>
      <c r="AC61" s="140" t="n">
        <f aca="false">+AC60*AC30</f>
        <v>0</v>
      </c>
    </row>
    <row r="62" customFormat="false" ht="11.25" hidden="false" customHeight="false" outlineLevel="0" collapsed="false">
      <c r="C62" s="5" t="s">
        <v>426</v>
      </c>
      <c r="D62" s="134" t="n">
        <v>1</v>
      </c>
      <c r="E62" s="184"/>
      <c r="F62" s="140" t="str">
        <f aca="false">+C31</f>
        <v>Funding 2</v>
      </c>
      <c r="G62" s="140"/>
      <c r="I62" s="90" t="n">
        <v>1</v>
      </c>
      <c r="J62" s="90" t="n">
        <v>1</v>
      </c>
      <c r="K62" s="90" t="n">
        <v>1</v>
      </c>
      <c r="L62" s="90" t="n">
        <v>1</v>
      </c>
      <c r="M62" s="90" t="n">
        <v>1</v>
      </c>
      <c r="N62" s="90" t="n">
        <v>1</v>
      </c>
      <c r="O62" s="90" t="n">
        <v>1</v>
      </c>
      <c r="P62" s="90" t="n">
        <v>1</v>
      </c>
      <c r="Q62" s="90" t="n">
        <v>1</v>
      </c>
      <c r="R62" s="90" t="n">
        <v>1</v>
      </c>
      <c r="S62" s="90" t="n">
        <v>1</v>
      </c>
      <c r="T62" s="90" t="n">
        <v>1</v>
      </c>
      <c r="U62" s="90" t="n">
        <v>1</v>
      </c>
      <c r="V62" s="90" t="n">
        <v>1</v>
      </c>
      <c r="W62" s="90" t="n">
        <v>1</v>
      </c>
      <c r="X62" s="90" t="n">
        <v>1</v>
      </c>
      <c r="Y62" s="90" t="n">
        <v>1</v>
      </c>
      <c r="Z62" s="90" t="n">
        <v>1</v>
      </c>
      <c r="AA62" s="90" t="n">
        <v>1</v>
      </c>
      <c r="AB62" s="90" t="n">
        <v>1</v>
      </c>
      <c r="AC62" s="90" t="n">
        <v>1</v>
      </c>
    </row>
    <row r="63" customFormat="false" ht="11.25" hidden="false" customHeight="false" outlineLevel="0" collapsed="false">
      <c r="B63" s="174"/>
      <c r="C63" s="5" t="s">
        <v>427</v>
      </c>
      <c r="D63" s="134"/>
      <c r="E63" s="184"/>
      <c r="F63" s="67" t="s">
        <v>425</v>
      </c>
      <c r="G63" s="140"/>
      <c r="I63" s="140" t="n">
        <f aca="false">+I62*I31</f>
        <v>0</v>
      </c>
      <c r="J63" s="140" t="n">
        <f aca="false">+J62*J31</f>
        <v>0</v>
      </c>
      <c r="K63" s="140" t="n">
        <f aca="false">+K62*K31</f>
        <v>0</v>
      </c>
      <c r="L63" s="140" t="n">
        <f aca="false">+L62*L31</f>
        <v>0</v>
      </c>
      <c r="M63" s="140" t="n">
        <f aca="false">+M62*M31</f>
        <v>0</v>
      </c>
      <c r="N63" s="140" t="n">
        <f aca="false">+N62*N31</f>
        <v>0</v>
      </c>
      <c r="O63" s="140" t="n">
        <f aca="false">+O62*O31</f>
        <v>0</v>
      </c>
      <c r="P63" s="140" t="n">
        <f aca="false">+P62*P31</f>
        <v>0</v>
      </c>
      <c r="Q63" s="140" t="n">
        <f aca="false">+Q62*Q31</f>
        <v>0</v>
      </c>
      <c r="R63" s="140" t="n">
        <f aca="false">+R62*R31</f>
        <v>0</v>
      </c>
      <c r="S63" s="140" t="n">
        <f aca="false">+S62*S31</f>
        <v>0</v>
      </c>
      <c r="T63" s="140" t="n">
        <f aca="false">+T62*T31</f>
        <v>0</v>
      </c>
      <c r="U63" s="140" t="n">
        <f aca="false">+U62*U31</f>
        <v>0</v>
      </c>
      <c r="V63" s="140" t="n">
        <f aca="false">+V62*V31</f>
        <v>0</v>
      </c>
      <c r="W63" s="140" t="n">
        <f aca="false">+W62*W31</f>
        <v>0</v>
      </c>
      <c r="X63" s="140" t="n">
        <f aca="false">+X62*X31</f>
        <v>0</v>
      </c>
      <c r="Y63" s="140" t="n">
        <f aca="false">+Y62*Y31</f>
        <v>0</v>
      </c>
      <c r="Z63" s="140" t="n">
        <f aca="false">+Z62*Z31</f>
        <v>0</v>
      </c>
      <c r="AA63" s="140" t="n">
        <f aca="false">+AA62*AA31</f>
        <v>0</v>
      </c>
      <c r="AB63" s="140" t="n">
        <f aca="false">+AB62*AB31</f>
        <v>0</v>
      </c>
      <c r="AC63" s="140" t="n">
        <f aca="false">+AC62*AC31</f>
        <v>0</v>
      </c>
    </row>
    <row r="64" customFormat="false" ht="11.25" hidden="false" customHeight="false" outlineLevel="0" collapsed="false">
      <c r="B64" s="174"/>
      <c r="C64" s="5"/>
      <c r="D64" s="203"/>
      <c r="E64" s="184"/>
      <c r="F64" s="202" t="s">
        <v>430</v>
      </c>
      <c r="G64" s="140"/>
      <c r="I64" s="189" t="n">
        <f aca="false">+I63+I61</f>
        <v>0</v>
      </c>
      <c r="J64" s="189" t="n">
        <f aca="false">+J63+J61</f>
        <v>0</v>
      </c>
      <c r="K64" s="189" t="n">
        <f aca="false">+K63+K61</f>
        <v>0</v>
      </c>
      <c r="L64" s="189" t="n">
        <f aca="false">+L63+L61</f>
        <v>0</v>
      </c>
      <c r="M64" s="189" t="n">
        <f aca="false">+M63+M61</f>
        <v>0</v>
      </c>
      <c r="N64" s="189" t="n">
        <f aca="false">+N63+N61</f>
        <v>0</v>
      </c>
      <c r="O64" s="189" t="n">
        <f aca="false">+O63+O61</f>
        <v>0</v>
      </c>
      <c r="P64" s="189" t="n">
        <f aca="false">+P63+P61</f>
        <v>0</v>
      </c>
      <c r="Q64" s="189" t="n">
        <f aca="false">+Q63+Q61</f>
        <v>0</v>
      </c>
      <c r="R64" s="189" t="n">
        <f aca="false">+R63+R61</f>
        <v>0</v>
      </c>
      <c r="S64" s="189" t="n">
        <f aca="false">+S63+S61</f>
        <v>0</v>
      </c>
      <c r="T64" s="189" t="n">
        <f aca="false">+T63+T61</f>
        <v>0</v>
      </c>
      <c r="U64" s="189" t="n">
        <f aca="false">+U63+U61</f>
        <v>0</v>
      </c>
      <c r="V64" s="189" t="n">
        <f aca="false">+V63+V61</f>
        <v>0</v>
      </c>
      <c r="W64" s="189" t="n">
        <f aca="false">+W63+W61</f>
        <v>0</v>
      </c>
      <c r="X64" s="189" t="n">
        <f aca="false">+X63+X61</f>
        <v>0</v>
      </c>
      <c r="Y64" s="189" t="n">
        <f aca="false">+Y63+Y61</f>
        <v>0</v>
      </c>
      <c r="Z64" s="189" t="n">
        <f aca="false">+Z63+Z61</f>
        <v>0</v>
      </c>
      <c r="AA64" s="189" t="n">
        <f aca="false">+AA63+AA61</f>
        <v>0</v>
      </c>
      <c r="AB64" s="189" t="n">
        <f aca="false">+AB63+AB61</f>
        <v>0</v>
      </c>
      <c r="AC64" s="189" t="n">
        <f aca="false">+AC63+AC61</f>
        <v>0</v>
      </c>
    </row>
    <row r="65" customFormat="false" ht="11.25" hidden="false" customHeight="false" outlineLevel="0" collapsed="false">
      <c r="A65" s="153" t="s">
        <v>416</v>
      </c>
      <c r="B65" s="174"/>
      <c r="C65" s="5"/>
      <c r="D65" s="203"/>
      <c r="E65" s="184"/>
      <c r="F65" s="140"/>
      <c r="G65" s="140"/>
      <c r="I65" s="140"/>
      <c r="J65" s="140"/>
      <c r="K65" s="140"/>
      <c r="L65" s="140"/>
      <c r="M65" s="140"/>
      <c r="N65" s="140"/>
      <c r="O65" s="140"/>
      <c r="P65" s="140"/>
      <c r="Q65" s="140"/>
      <c r="R65" s="140"/>
      <c r="S65" s="140"/>
      <c r="T65" s="140"/>
      <c r="U65" s="140"/>
      <c r="V65" s="140"/>
      <c r="W65" s="140"/>
      <c r="X65" s="140"/>
      <c r="Y65" s="140"/>
      <c r="Z65" s="140"/>
      <c r="AA65" s="140"/>
      <c r="AB65" s="140"/>
      <c r="AC65" s="140"/>
    </row>
    <row r="66" customFormat="false" ht="11.25" hidden="false" customHeight="false" outlineLevel="0" collapsed="false">
      <c r="B66" s="174"/>
      <c r="C66" s="6" t="s">
        <v>157</v>
      </c>
      <c r="D66" s="199" t="s">
        <v>422</v>
      </c>
      <c r="E66" s="184"/>
      <c r="F66" s="140"/>
      <c r="G66" s="140"/>
      <c r="I66" s="90" t="n">
        <v>1</v>
      </c>
      <c r="J66" s="90" t="n">
        <v>1</v>
      </c>
      <c r="K66" s="90" t="n">
        <v>1</v>
      </c>
      <c r="L66" s="90" t="n">
        <v>1</v>
      </c>
      <c r="M66" s="90" t="n">
        <v>1</v>
      </c>
      <c r="N66" s="90" t="n">
        <v>1</v>
      </c>
      <c r="O66" s="90" t="n">
        <v>1</v>
      </c>
      <c r="P66" s="90" t="n">
        <v>1</v>
      </c>
      <c r="Q66" s="90" t="n">
        <v>1</v>
      </c>
      <c r="R66" s="90" t="n">
        <v>1</v>
      </c>
      <c r="S66" s="90" t="n">
        <v>1</v>
      </c>
      <c r="T66" s="90" t="n">
        <v>1</v>
      </c>
      <c r="U66" s="90" t="n">
        <v>1</v>
      </c>
      <c r="V66" s="90" t="n">
        <v>1</v>
      </c>
      <c r="W66" s="90" t="n">
        <v>1</v>
      </c>
      <c r="X66" s="90" t="n">
        <v>1</v>
      </c>
      <c r="Y66" s="90" t="n">
        <v>1</v>
      </c>
      <c r="Z66" s="90" t="n">
        <v>1</v>
      </c>
      <c r="AA66" s="90" t="n">
        <v>1</v>
      </c>
      <c r="AB66" s="90" t="n">
        <v>1</v>
      </c>
      <c r="AC66" s="90" t="n">
        <v>1</v>
      </c>
    </row>
    <row r="67" customFormat="false" ht="11.25" hidden="false" customHeight="false" outlineLevel="0" collapsed="false">
      <c r="B67" s="174"/>
      <c r="C67" s="5" t="s">
        <v>424</v>
      </c>
      <c r="D67" s="134"/>
      <c r="E67" s="184"/>
      <c r="F67" s="67" t="s">
        <v>425</v>
      </c>
      <c r="G67" s="140"/>
      <c r="I67" s="140" t="n">
        <f aca="false">+I66*I34</f>
        <v>0</v>
      </c>
      <c r="J67" s="140" t="n">
        <f aca="false">+J66*J34</f>
        <v>0</v>
      </c>
      <c r="K67" s="140" t="n">
        <f aca="false">+K66*K34</f>
        <v>0</v>
      </c>
      <c r="L67" s="140" t="n">
        <f aca="false">+L66*L34</f>
        <v>0</v>
      </c>
      <c r="M67" s="140" t="n">
        <f aca="false">+M66*M34</f>
        <v>0</v>
      </c>
      <c r="N67" s="140" t="n">
        <f aca="false">+N66*N34</f>
        <v>0</v>
      </c>
      <c r="O67" s="140" t="n">
        <f aca="false">+O66*O34</f>
        <v>0</v>
      </c>
      <c r="P67" s="140" t="n">
        <f aca="false">+P66*P34</f>
        <v>0</v>
      </c>
      <c r="Q67" s="140" t="n">
        <f aca="false">+Q66*Q34</f>
        <v>0</v>
      </c>
      <c r="R67" s="140" t="n">
        <f aca="false">+R66*R34</f>
        <v>0</v>
      </c>
      <c r="S67" s="140" t="n">
        <f aca="false">+S66*S34</f>
        <v>0</v>
      </c>
      <c r="T67" s="140" t="n">
        <f aca="false">+T66*T34</f>
        <v>0</v>
      </c>
      <c r="U67" s="140" t="n">
        <f aca="false">+U66*U34</f>
        <v>0</v>
      </c>
      <c r="V67" s="140" t="n">
        <f aca="false">+V66*V34</f>
        <v>0</v>
      </c>
      <c r="W67" s="140" t="n">
        <f aca="false">+W66*W34</f>
        <v>0</v>
      </c>
      <c r="X67" s="140" t="n">
        <f aca="false">+X66*X34</f>
        <v>0</v>
      </c>
      <c r="Y67" s="140" t="n">
        <f aca="false">+Y66*Y34</f>
        <v>0</v>
      </c>
      <c r="Z67" s="140" t="n">
        <f aca="false">+Z66*Z34</f>
        <v>0</v>
      </c>
      <c r="AA67" s="140" t="n">
        <f aca="false">+AA66*AA34</f>
        <v>0</v>
      </c>
      <c r="AB67" s="140" t="n">
        <f aca="false">+AB66*AB34</f>
        <v>0</v>
      </c>
      <c r="AC67" s="140" t="n">
        <f aca="false">+AC66*AC34</f>
        <v>0</v>
      </c>
    </row>
    <row r="68" customFormat="false" ht="11.25" hidden="false" customHeight="false" outlineLevel="0" collapsed="false">
      <c r="B68" s="174"/>
      <c r="C68" s="5" t="s">
        <v>426</v>
      </c>
      <c r="D68" s="134" t="n">
        <v>1</v>
      </c>
      <c r="E68" s="184"/>
      <c r="F68" s="140"/>
      <c r="G68" s="140"/>
      <c r="I68" s="140"/>
      <c r="J68" s="140"/>
      <c r="K68" s="140"/>
      <c r="L68" s="140"/>
      <c r="M68" s="140"/>
      <c r="N68" s="140"/>
      <c r="O68" s="140"/>
      <c r="P68" s="140"/>
      <c r="Q68" s="140"/>
      <c r="R68" s="140"/>
      <c r="S68" s="140"/>
      <c r="T68" s="140"/>
      <c r="U68" s="140"/>
      <c r="V68" s="140"/>
      <c r="W68" s="140"/>
      <c r="X68" s="140"/>
      <c r="Y68" s="140"/>
      <c r="Z68" s="140"/>
      <c r="AA68" s="140"/>
      <c r="AB68" s="140"/>
      <c r="AC68" s="140"/>
    </row>
    <row r="69" customFormat="false" ht="11.25" hidden="false" customHeight="false" outlineLevel="0" collapsed="false">
      <c r="A69" s="194"/>
      <c r="B69" s="174"/>
      <c r="C69" s="5" t="s">
        <v>427</v>
      </c>
      <c r="D69" s="134"/>
      <c r="E69" s="184"/>
      <c r="F69" s="140"/>
      <c r="G69" s="140"/>
      <c r="I69" s="140"/>
      <c r="J69" s="140"/>
      <c r="K69" s="140"/>
      <c r="L69" s="140"/>
      <c r="M69" s="140"/>
      <c r="N69" s="140"/>
      <c r="O69" s="140"/>
      <c r="P69" s="140"/>
      <c r="Q69" s="140"/>
      <c r="R69" s="140"/>
      <c r="S69" s="140"/>
      <c r="T69" s="140"/>
      <c r="U69" s="140"/>
      <c r="V69" s="140"/>
      <c r="W69" s="140"/>
      <c r="X69" s="140"/>
      <c r="Y69" s="140"/>
      <c r="Z69" s="140"/>
      <c r="AA69" s="140"/>
      <c r="AB69" s="140"/>
      <c r="AC69" s="140"/>
    </row>
    <row r="70" customFormat="false" ht="11.25" hidden="false" customHeight="false" outlineLevel="0" collapsed="false">
      <c r="A70" s="194"/>
      <c r="B70" s="174"/>
      <c r="C70" s="5"/>
      <c r="D70" s="203"/>
      <c r="E70" s="140"/>
      <c r="F70" s="140"/>
      <c r="G70" s="140"/>
      <c r="I70" s="140"/>
      <c r="J70" s="140"/>
      <c r="K70" s="140"/>
      <c r="L70" s="140"/>
      <c r="M70" s="140"/>
      <c r="N70" s="140"/>
      <c r="O70" s="140"/>
      <c r="P70" s="140"/>
      <c r="Q70" s="140"/>
      <c r="R70" s="140"/>
      <c r="S70" s="140"/>
      <c r="T70" s="140"/>
      <c r="U70" s="140"/>
      <c r="V70" s="140"/>
      <c r="W70" s="140"/>
      <c r="X70" s="140"/>
      <c r="Y70" s="140"/>
      <c r="Z70" s="140"/>
      <c r="AA70" s="140"/>
      <c r="AB70" s="140"/>
      <c r="AC70" s="140"/>
    </row>
    <row r="71" customFormat="false" ht="11.25" hidden="false" customHeight="false" outlineLevel="0" collapsed="false">
      <c r="A71" s="193" t="s">
        <v>417</v>
      </c>
      <c r="B71" s="174"/>
      <c r="C71" s="80"/>
      <c r="D71" s="140"/>
      <c r="E71" s="140"/>
      <c r="F71" s="140"/>
      <c r="G71" s="140"/>
      <c r="H71" s="140"/>
      <c r="I71" s="189" t="n">
        <f aca="false">+I46+I58+I64+I67</f>
        <v>0</v>
      </c>
      <c r="J71" s="189" t="n">
        <f aca="false">+J46+J58+J64+J67</f>
        <v>0</v>
      </c>
      <c r="K71" s="189" t="n">
        <f aca="false">+K46+K58+K64+K67</f>
        <v>0</v>
      </c>
      <c r="L71" s="189" t="n">
        <f aca="false">+L46+L58+L64+L67</f>
        <v>0</v>
      </c>
      <c r="M71" s="189" t="n">
        <f aca="false">+M46+M58+M64+M67</f>
        <v>0</v>
      </c>
      <c r="N71" s="189" t="n">
        <f aca="false">+N46+N58+N64+N67</f>
        <v>0</v>
      </c>
      <c r="O71" s="189" t="n">
        <f aca="false">+O46+O58+O64+O67</f>
        <v>25.811</v>
      </c>
      <c r="P71" s="189" t="n">
        <f aca="false">+P46+P58+P64+P67</f>
        <v>5.512</v>
      </c>
      <c r="Q71" s="189" t="n">
        <f aca="false">+Q46+Q58+Q64+Q67</f>
        <v>16.2</v>
      </c>
      <c r="R71" s="189" t="n">
        <f aca="false">+R46+R58+R64+R67</f>
        <v>0</v>
      </c>
      <c r="S71" s="189" t="n">
        <f aca="false">+S46+S58+S64+S67</f>
        <v>0</v>
      </c>
      <c r="T71" s="189" t="n">
        <f aca="false">+T46+T58+T64+T67</f>
        <v>0</v>
      </c>
      <c r="U71" s="189" t="n">
        <f aca="false">+U46+U58+U64+U67</f>
        <v>0</v>
      </c>
      <c r="V71" s="189" t="n">
        <f aca="false">+V46+V58+V64+V67</f>
        <v>0</v>
      </c>
      <c r="W71" s="189" t="n">
        <f aca="false">+W46+W58+W64+W67</f>
        <v>0</v>
      </c>
      <c r="X71" s="189" t="n">
        <f aca="false">+X46+X58+X64+X67</f>
        <v>0</v>
      </c>
      <c r="Y71" s="189" t="n">
        <f aca="false">+Y46+Y58+Y64+Y67</f>
        <v>0</v>
      </c>
      <c r="Z71" s="189" t="n">
        <f aca="false">+Z46+Z58+Z64+Z67</f>
        <v>0</v>
      </c>
      <c r="AA71" s="189" t="n">
        <f aca="false">+AA46+AA58+AA64+AA67</f>
        <v>0</v>
      </c>
      <c r="AB71" s="189" t="n">
        <f aca="false">+AB46+AB58+AB64+AB67</f>
        <v>0</v>
      </c>
      <c r="AC71" s="189" t="n">
        <f aca="false">+AC46+AC58+AC64+AC67</f>
        <v>0</v>
      </c>
    </row>
    <row r="72" customFormat="false" ht="12" hidden="false" customHeight="false" outlineLevel="0" collapsed="false"/>
    <row r="73" customFormat="false" ht="12" hidden="false" customHeight="false" outlineLevel="0" collapsed="false">
      <c r="A73" s="79"/>
      <c r="B73" s="79"/>
      <c r="C73" s="79"/>
      <c r="D73" s="79"/>
      <c r="E73" s="79"/>
      <c r="F73" s="79"/>
      <c r="G73" s="79"/>
      <c r="H73" s="79"/>
      <c r="I73" s="79"/>
      <c r="J73" s="79"/>
      <c r="K73" s="79"/>
      <c r="L73" s="79"/>
      <c r="M73" s="79"/>
      <c r="N73" s="79"/>
      <c r="O73" s="79"/>
      <c r="P73" s="79"/>
      <c r="Q73" s="79"/>
      <c r="R73" s="79"/>
      <c r="S73" s="79"/>
      <c r="T73" s="79"/>
      <c r="U73" s="79"/>
      <c r="V73" s="79"/>
      <c r="W73" s="79"/>
      <c r="X73" s="79"/>
      <c r="Y73" s="79"/>
      <c r="Z73" s="79"/>
      <c r="AA73" s="79"/>
      <c r="AB73" s="79"/>
      <c r="AC73" s="79"/>
      <c r="AE73" s="67" t="s">
        <v>384</v>
      </c>
    </row>
    <row r="74" customFormat="false" ht="11.25" hidden="false" customHeight="false" outlineLevel="0" collapsed="false">
      <c r="A74" s="167" t="s">
        <v>431</v>
      </c>
      <c r="AE74" s="67" t="s">
        <v>432</v>
      </c>
    </row>
    <row r="75" customFormat="false" ht="11.25" hidden="false" customHeight="false" outlineLevel="0" collapsed="false">
      <c r="A75" s="167"/>
      <c r="AE75" s="43" t="s">
        <v>397</v>
      </c>
      <c r="AH75" s="43"/>
    </row>
    <row r="76" customFormat="false" ht="11.25" hidden="false" customHeight="false" outlineLevel="0" collapsed="false">
      <c r="A76" s="167"/>
      <c r="C76" s="204" t="s">
        <v>433</v>
      </c>
      <c r="D76" s="204"/>
      <c r="E76" s="204"/>
      <c r="F76" s="204"/>
      <c r="G76" s="204"/>
      <c r="H76" s="204"/>
      <c r="I76" s="204"/>
      <c r="L76" s="204" t="s">
        <v>434</v>
      </c>
      <c r="M76" s="204"/>
      <c r="N76" s="204"/>
      <c r="O76" s="204"/>
      <c r="P76" s="204"/>
      <c r="Q76" s="204"/>
      <c r="R76" s="204"/>
      <c r="AE76" s="43" t="s">
        <v>435</v>
      </c>
      <c r="AH76" s="43"/>
    </row>
    <row r="77" customFormat="false" ht="11.25" hidden="false" customHeight="false" outlineLevel="0" collapsed="false">
      <c r="C77" s="205"/>
      <c r="I77" s="206"/>
      <c r="L77" s="207"/>
      <c r="R77" s="206"/>
    </row>
    <row r="78" customFormat="false" ht="11.25" hidden="false" customHeight="false" outlineLevel="0" collapsed="false">
      <c r="C78" s="205"/>
      <c r="F78" s="65" t="s">
        <v>436</v>
      </c>
      <c r="I78" s="206"/>
      <c r="L78" s="205"/>
      <c r="R78" s="206"/>
    </row>
    <row r="79" customFormat="false" ht="11.25" hidden="false" customHeight="false" outlineLevel="0" collapsed="false">
      <c r="C79" s="205"/>
      <c r="D79" s="174" t="s">
        <v>437</v>
      </c>
      <c r="E79" s="174" t="s">
        <v>438</v>
      </c>
      <c r="F79" s="138" t="s">
        <v>439</v>
      </c>
      <c r="G79" s="80"/>
      <c r="H79" s="94" t="s">
        <v>440</v>
      </c>
      <c r="I79" s="206" t="s">
        <v>441</v>
      </c>
      <c r="L79" s="205"/>
      <c r="M79" s="174" t="s">
        <v>437</v>
      </c>
      <c r="N79" s="174" t="s">
        <v>438</v>
      </c>
      <c r="O79" s="174" t="s">
        <v>436</v>
      </c>
      <c r="P79" s="80"/>
      <c r="Q79" s="94" t="s">
        <v>440</v>
      </c>
      <c r="R79" s="206" t="s">
        <v>441</v>
      </c>
    </row>
    <row r="80" customFormat="false" ht="11.25" hidden="false" customHeight="false" outlineLevel="0" collapsed="false">
      <c r="A80" s="4" t="s">
        <v>385</v>
      </c>
      <c r="C80" s="208" t="s">
        <v>442</v>
      </c>
      <c r="D80" s="209" t="s">
        <v>443</v>
      </c>
      <c r="E80" s="209" t="s">
        <v>444</v>
      </c>
      <c r="F80" s="210" t="s">
        <v>445</v>
      </c>
      <c r="G80" s="209" t="s">
        <v>446</v>
      </c>
      <c r="H80" s="211" t="s">
        <v>447</v>
      </c>
      <c r="I80" s="212" t="s">
        <v>448</v>
      </c>
      <c r="L80" s="208" t="s">
        <v>442</v>
      </c>
      <c r="M80" s="209" t="s">
        <v>443</v>
      </c>
      <c r="N80" s="209" t="s">
        <v>444</v>
      </c>
      <c r="O80" s="209" t="s">
        <v>445</v>
      </c>
      <c r="P80" s="209" t="s">
        <v>449</v>
      </c>
      <c r="Q80" s="211" t="s">
        <v>447</v>
      </c>
      <c r="R80" s="212" t="s">
        <v>448</v>
      </c>
    </row>
    <row r="81" customFormat="false" ht="11.25" hidden="false" customHeight="false" outlineLevel="0" collapsed="false">
      <c r="B81" s="4"/>
      <c r="C81" s="213" t="str">
        <f aca="false">+C22</f>
        <v>Asset 1</v>
      </c>
      <c r="D81" s="184" t="n">
        <f aca="false">SUM(I49:Y49)</f>
        <v>0</v>
      </c>
      <c r="E81" s="180" t="n">
        <v>0</v>
      </c>
      <c r="F81" s="20" t="n">
        <v>36560</v>
      </c>
      <c r="G81" s="50" t="n">
        <v>4</v>
      </c>
      <c r="H81" s="214" t="s">
        <v>450</v>
      </c>
      <c r="I81" s="215" t="n">
        <v>2</v>
      </c>
      <c r="L81" s="216" t="s">
        <v>451</v>
      </c>
      <c r="M81" s="180" t="n">
        <f aca="false">+D81</f>
        <v>0</v>
      </c>
      <c r="N81" s="180" t="n">
        <f aca="false">+E81</f>
        <v>0</v>
      </c>
      <c r="O81" s="20" t="n">
        <v>35596</v>
      </c>
      <c r="P81" s="50" t="n">
        <v>5</v>
      </c>
      <c r="Q81" s="214" t="s">
        <v>450</v>
      </c>
      <c r="R81" s="215" t="n">
        <v>2</v>
      </c>
    </row>
    <row r="82" customFormat="false" ht="11.25" hidden="false" customHeight="false" outlineLevel="0" collapsed="false">
      <c r="C82" s="213" t="str">
        <f aca="false">+C23</f>
        <v>Asset 2</v>
      </c>
      <c r="D82" s="184" t="n">
        <f aca="false">SUM(I51:Y51)</f>
        <v>0</v>
      </c>
      <c r="E82" s="180" t="n">
        <v>0</v>
      </c>
      <c r="F82" s="20" t="n">
        <v>36560</v>
      </c>
      <c r="G82" s="50" t="n">
        <v>3</v>
      </c>
      <c r="H82" s="214" t="s">
        <v>450</v>
      </c>
      <c r="I82" s="215" t="n">
        <v>2</v>
      </c>
      <c r="L82" s="216" t="s">
        <v>452</v>
      </c>
      <c r="M82" s="180" t="n">
        <f aca="false">+D82</f>
        <v>0</v>
      </c>
      <c r="N82" s="180" t="n">
        <f aca="false">+E82</f>
        <v>0</v>
      </c>
      <c r="O82" s="20" t="n">
        <v>35596</v>
      </c>
      <c r="P82" s="50" t="n">
        <v>5</v>
      </c>
      <c r="Q82" s="214" t="s">
        <v>450</v>
      </c>
      <c r="R82" s="215" t="n">
        <v>2</v>
      </c>
    </row>
    <row r="83" customFormat="false" ht="11.25" hidden="false" customHeight="false" outlineLevel="0" collapsed="false">
      <c r="C83" s="213" t="str">
        <f aca="false">+C24</f>
        <v>Asset 3</v>
      </c>
      <c r="D83" s="184" t="n">
        <f aca="false">SUM(I53:Y53)</f>
        <v>0</v>
      </c>
      <c r="E83" s="180" t="n">
        <v>0</v>
      </c>
      <c r="F83" s="20" t="n">
        <v>36965</v>
      </c>
      <c r="G83" s="50" t="n">
        <v>4</v>
      </c>
      <c r="H83" s="214" t="s">
        <v>450</v>
      </c>
      <c r="I83" s="215" t="n">
        <v>2</v>
      </c>
      <c r="L83" s="216" t="s">
        <v>453</v>
      </c>
      <c r="M83" s="180" t="n">
        <f aca="false">+D83</f>
        <v>0</v>
      </c>
      <c r="N83" s="180" t="n">
        <f aca="false">+E83</f>
        <v>0</v>
      </c>
      <c r="O83" s="20" t="n">
        <v>35596</v>
      </c>
      <c r="P83" s="50" t="n">
        <v>5</v>
      </c>
      <c r="Q83" s="214" t="s">
        <v>450</v>
      </c>
      <c r="R83" s="215" t="n">
        <v>2</v>
      </c>
    </row>
    <row r="84" customFormat="false" ht="11.25" hidden="false" customHeight="false" outlineLevel="0" collapsed="false">
      <c r="C84" s="213" t="str">
        <f aca="false">+C25</f>
        <v>Asset 4</v>
      </c>
      <c r="D84" s="184" t="n">
        <f aca="false">SUM(I55:Y55)</f>
        <v>0</v>
      </c>
      <c r="E84" s="180" t="n">
        <v>0</v>
      </c>
      <c r="F84" s="20" t="n">
        <v>37636</v>
      </c>
      <c r="G84" s="50" t="n">
        <v>5</v>
      </c>
      <c r="H84" s="214" t="s">
        <v>450</v>
      </c>
      <c r="I84" s="215" t="n">
        <v>2</v>
      </c>
      <c r="L84" s="216" t="s">
        <v>454</v>
      </c>
      <c r="M84" s="180" t="n">
        <f aca="false">+D84</f>
        <v>0</v>
      </c>
      <c r="N84" s="180" t="n">
        <f aca="false">+E84</f>
        <v>0</v>
      </c>
      <c r="O84" s="20" t="n">
        <v>35596</v>
      </c>
      <c r="P84" s="50" t="n">
        <v>5</v>
      </c>
      <c r="Q84" s="214" t="s">
        <v>450</v>
      </c>
      <c r="R84" s="215" t="n">
        <v>2</v>
      </c>
    </row>
    <row r="85" customFormat="false" ht="11.25" hidden="false" customHeight="false" outlineLevel="0" collapsed="false">
      <c r="C85" s="213" t="str">
        <f aca="false">+C26</f>
        <v>Asset 5</v>
      </c>
      <c r="D85" s="184" t="n">
        <f aca="false">SUM(I57:Y57)</f>
        <v>0</v>
      </c>
      <c r="E85" s="180" t="n">
        <v>0</v>
      </c>
      <c r="F85" s="20" t="n">
        <v>35596</v>
      </c>
      <c r="G85" s="50" t="n">
        <v>6</v>
      </c>
      <c r="H85" s="214" t="s">
        <v>450</v>
      </c>
      <c r="I85" s="215" t="n">
        <v>2</v>
      </c>
      <c r="L85" s="216" t="s">
        <v>455</v>
      </c>
      <c r="M85" s="180" t="n">
        <f aca="false">+D85</f>
        <v>0</v>
      </c>
      <c r="N85" s="180" t="n">
        <f aca="false">+E85</f>
        <v>0</v>
      </c>
      <c r="O85" s="20" t="n">
        <v>35596</v>
      </c>
      <c r="P85" s="50" t="n">
        <v>5</v>
      </c>
      <c r="Q85" s="214" t="s">
        <v>450</v>
      </c>
      <c r="R85" s="215" t="n">
        <v>2</v>
      </c>
    </row>
    <row r="86" customFormat="false" ht="11.25" hidden="false" customHeight="false" outlineLevel="0" collapsed="false">
      <c r="C86" s="217" t="s">
        <v>456</v>
      </c>
      <c r="D86" s="69" t="n">
        <f aca="false">SUM(D81:D85)</f>
        <v>0</v>
      </c>
      <c r="E86" s="69" t="n">
        <f aca="false">SUM(E81:E85)</f>
        <v>0</v>
      </c>
      <c r="F86" s="80"/>
      <c r="G86" s="80"/>
      <c r="H86" s="80"/>
      <c r="I86" s="206"/>
      <c r="J86" s="37"/>
      <c r="L86" s="217" t="s">
        <v>456</v>
      </c>
      <c r="M86" s="69" t="n">
        <f aca="false">SUM(M81:M85)</f>
        <v>0</v>
      </c>
      <c r="N86" s="69" t="n">
        <f aca="false">SUM(N81:N85)</f>
        <v>0</v>
      </c>
      <c r="O86" s="80"/>
      <c r="P86" s="80"/>
      <c r="Q86" s="80"/>
      <c r="R86" s="206"/>
    </row>
    <row r="87" customFormat="false" ht="11.25" hidden="false" customHeight="false" outlineLevel="0" collapsed="false">
      <c r="C87" s="217"/>
      <c r="D87" s="140"/>
      <c r="E87" s="140"/>
      <c r="F87" s="80"/>
      <c r="G87" s="80"/>
      <c r="H87" s="80"/>
      <c r="I87" s="206"/>
      <c r="J87" s="137"/>
      <c r="L87" s="217"/>
      <c r="M87" s="140"/>
      <c r="N87" s="140"/>
      <c r="O87" s="80"/>
      <c r="P87" s="140"/>
      <c r="Q87" s="140"/>
      <c r="R87" s="218"/>
      <c r="W87" s="137"/>
      <c r="X87" s="137"/>
      <c r="Y87" s="137"/>
      <c r="Z87" s="137"/>
      <c r="AA87" s="137"/>
      <c r="AB87" s="137"/>
      <c r="AC87" s="137"/>
    </row>
    <row r="88" customFormat="false" ht="11.25" hidden="false" customHeight="false" outlineLevel="0" collapsed="false">
      <c r="A88" s="153" t="s">
        <v>411</v>
      </c>
      <c r="C88" s="217"/>
      <c r="D88" s="140"/>
      <c r="E88" s="140"/>
      <c r="F88" s="80"/>
      <c r="G88" s="80"/>
      <c r="H88" s="80"/>
      <c r="I88" s="206"/>
      <c r="J88" s="137"/>
      <c r="L88" s="217"/>
      <c r="M88" s="140"/>
      <c r="N88" s="140"/>
      <c r="O88" s="80"/>
      <c r="P88" s="140"/>
      <c r="Q88" s="140"/>
      <c r="R88" s="218"/>
      <c r="W88" s="137"/>
      <c r="X88" s="137"/>
      <c r="Y88" s="137"/>
      <c r="Z88" s="137"/>
      <c r="AA88" s="137"/>
      <c r="AB88" s="137"/>
      <c r="AC88" s="137"/>
    </row>
    <row r="89" customFormat="false" ht="11.25" hidden="false" customHeight="false" outlineLevel="0" collapsed="false">
      <c r="C89" s="205" t="str">
        <f aca="false">+C30</f>
        <v>Funding 1</v>
      </c>
      <c r="D89" s="184" t="n">
        <f aca="false">SUM(I61:Y61)</f>
        <v>0</v>
      </c>
      <c r="E89" s="180" t="n">
        <v>0</v>
      </c>
      <c r="F89" s="20" t="n">
        <v>35064</v>
      </c>
      <c r="G89" s="50" t="n">
        <v>7</v>
      </c>
      <c r="H89" s="214" t="s">
        <v>450</v>
      </c>
      <c r="I89" s="215" t="n">
        <v>1.5</v>
      </c>
      <c r="L89" s="205" t="str">
        <f aca="false">+C89</f>
        <v>Funding 1</v>
      </c>
      <c r="M89" s="180" t="n">
        <f aca="false">+D89</f>
        <v>0</v>
      </c>
      <c r="N89" s="180" t="n">
        <f aca="false">+E89</f>
        <v>0</v>
      </c>
      <c r="O89" s="20" t="n">
        <v>35064</v>
      </c>
      <c r="P89" s="50" t="n">
        <v>5</v>
      </c>
      <c r="Q89" s="214" t="s">
        <v>450</v>
      </c>
      <c r="R89" s="215" t="n">
        <v>2</v>
      </c>
    </row>
    <row r="90" customFormat="false" ht="11.25" hidden="false" customHeight="false" outlineLevel="0" collapsed="false">
      <c r="C90" s="205" t="str">
        <f aca="false">+C31</f>
        <v>Funding 2</v>
      </c>
      <c r="D90" s="184" t="n">
        <f aca="false">SUM(I63:Y63)</f>
        <v>0</v>
      </c>
      <c r="E90" s="180" t="n">
        <v>0</v>
      </c>
      <c r="F90" s="20" t="n">
        <v>35565</v>
      </c>
      <c r="G90" s="50" t="n">
        <v>2</v>
      </c>
      <c r="H90" s="214" t="s">
        <v>457</v>
      </c>
      <c r="I90" s="215"/>
      <c r="L90" s="205" t="str">
        <f aca="false">+C90</f>
        <v>Funding 2</v>
      </c>
      <c r="M90" s="180" t="n">
        <f aca="false">+D90</f>
        <v>0</v>
      </c>
      <c r="N90" s="180" t="n">
        <f aca="false">+E90</f>
        <v>0</v>
      </c>
      <c r="O90" s="20" t="n">
        <v>35746</v>
      </c>
      <c r="P90" s="50" t="n">
        <v>2</v>
      </c>
      <c r="Q90" s="214" t="s">
        <v>450</v>
      </c>
      <c r="R90" s="215" t="n">
        <v>1.5</v>
      </c>
    </row>
    <row r="91" customFormat="false" ht="11.25" hidden="false" customHeight="false" outlineLevel="0" collapsed="false">
      <c r="C91" s="217" t="s">
        <v>456</v>
      </c>
      <c r="D91" s="69" t="n">
        <f aca="false">+D90+D89</f>
        <v>0</v>
      </c>
      <c r="E91" s="69" t="n">
        <f aca="false">+E90+E89</f>
        <v>0</v>
      </c>
      <c r="F91" s="219"/>
      <c r="G91" s="103"/>
      <c r="H91" s="220"/>
      <c r="I91" s="221"/>
      <c r="L91" s="217" t="s">
        <v>456</v>
      </c>
      <c r="M91" s="69" t="n">
        <f aca="false">+M90+M89</f>
        <v>0</v>
      </c>
      <c r="N91" s="69" t="n">
        <f aca="false">+N90+N89</f>
        <v>0</v>
      </c>
      <c r="O91" s="219"/>
      <c r="P91" s="103"/>
      <c r="Q91" s="220"/>
      <c r="R91" s="221"/>
    </row>
    <row r="92" customFormat="false" ht="11.25" hidden="false" customHeight="false" outlineLevel="0" collapsed="false">
      <c r="C92" s="222"/>
      <c r="D92" s="166"/>
      <c r="E92" s="166"/>
      <c r="F92" s="166"/>
      <c r="G92" s="166"/>
      <c r="H92" s="166"/>
      <c r="I92" s="223"/>
      <c r="J92" s="80"/>
      <c r="K92" s="80"/>
      <c r="L92" s="224" t="s">
        <v>458</v>
      </c>
      <c r="M92" s="225" t="n">
        <f aca="false">+M91+M86-D86-D91</f>
        <v>0</v>
      </c>
      <c r="N92" s="166"/>
      <c r="O92" s="166"/>
      <c r="P92" s="166"/>
      <c r="Q92" s="166"/>
      <c r="R92" s="223"/>
    </row>
    <row r="93" customFormat="false" ht="11.25" hidden="false" customHeight="false" outlineLevel="0" collapsed="false">
      <c r="A93" s="80"/>
      <c r="B93" s="80"/>
      <c r="C93" s="80"/>
      <c r="D93" s="80"/>
      <c r="E93" s="80"/>
      <c r="F93" s="80"/>
      <c r="G93" s="80"/>
      <c r="H93" s="80"/>
      <c r="I93" s="80"/>
      <c r="J93" s="80"/>
      <c r="K93" s="80"/>
      <c r="L93" s="80"/>
      <c r="M93" s="80"/>
      <c r="N93" s="80"/>
      <c r="O93" s="80"/>
      <c r="P93" s="80"/>
      <c r="Q93" s="226"/>
      <c r="R93" s="80"/>
      <c r="S93" s="80"/>
      <c r="T93" s="80"/>
      <c r="W93" s="80"/>
      <c r="X93" s="80"/>
      <c r="Y93" s="80"/>
      <c r="Z93" s="80"/>
      <c r="AA93" s="80"/>
      <c r="AB93" s="80"/>
      <c r="AC93" s="80"/>
    </row>
    <row r="94" customFormat="false" ht="12" hidden="false" customHeight="false" outlineLevel="0" collapsed="false">
      <c r="A94" s="80"/>
      <c r="B94" s="80"/>
      <c r="C94" s="80"/>
      <c r="D94" s="80"/>
      <c r="E94" s="80"/>
      <c r="F94" s="80"/>
      <c r="G94" s="80"/>
      <c r="H94" s="80"/>
      <c r="I94" s="80"/>
      <c r="J94" s="80"/>
      <c r="K94" s="80"/>
      <c r="L94" s="80"/>
      <c r="M94" s="80"/>
      <c r="N94" s="80"/>
      <c r="O94" s="80"/>
      <c r="P94" s="80"/>
      <c r="Q94" s="80"/>
      <c r="R94" s="80"/>
      <c r="S94" s="80"/>
      <c r="T94" s="80"/>
      <c r="U94" s="80"/>
      <c r="V94" s="80"/>
      <c r="W94" s="80"/>
      <c r="X94" s="80"/>
      <c r="Y94" s="80"/>
      <c r="Z94" s="80"/>
      <c r="AA94" s="80"/>
      <c r="AB94" s="80"/>
      <c r="AC94" s="80"/>
    </row>
    <row r="95" customFormat="false" ht="12.75" hidden="false" customHeight="false" outlineLevel="0" collapsed="false">
      <c r="A95" s="79"/>
      <c r="B95" s="79"/>
      <c r="C95" s="79"/>
      <c r="D95" s="79"/>
      <c r="E95" s="79"/>
      <c r="F95" s="79"/>
      <c r="G95" s="79"/>
      <c r="H95" s="79"/>
      <c r="I95" s="79"/>
      <c r="J95" s="79"/>
      <c r="K95" s="79"/>
      <c r="L95" s="79"/>
      <c r="M95" s="79"/>
      <c r="N95" s="79"/>
      <c r="O95" s="79"/>
      <c r="P95" s="79"/>
      <c r="Q95" s="79"/>
      <c r="R95" s="79"/>
      <c r="S95" s="79"/>
      <c r="T95" s="79"/>
      <c r="U95" s="79"/>
      <c r="V95" s="79"/>
      <c r="W95" s="79"/>
      <c r="X95" s="79"/>
      <c r="Y95" s="79"/>
      <c r="Z95" s="79"/>
      <c r="AA95" s="79"/>
      <c r="AB95" s="79"/>
      <c r="AC95" s="79"/>
    </row>
    <row r="96" customFormat="false" ht="12.75" hidden="false" customHeight="false" outlineLevel="0" collapsed="false">
      <c r="A96" s="167" t="s">
        <v>459</v>
      </c>
      <c r="I96" s="81" t="str">
        <f aca="false">+I$3</f>
        <v>6 M/1999 </v>
      </c>
      <c r="J96" s="81" t="n">
        <f aca="false">+J$3</f>
        <v>2000</v>
      </c>
      <c r="K96" s="81" t="n">
        <f aca="false">+K$3</f>
        <v>2001</v>
      </c>
      <c r="L96" s="81" t="n">
        <f aca="false">+L$3</f>
        <v>2002</v>
      </c>
      <c r="M96" s="81" t="n">
        <f aca="false">+M$3</f>
        <v>2003</v>
      </c>
      <c r="N96" s="81" t="n">
        <f aca="false">+N$3</f>
        <v>2004</v>
      </c>
      <c r="O96" s="81" t="n">
        <f aca="false">+O$3</f>
        <v>2005</v>
      </c>
      <c r="P96" s="81" t="n">
        <f aca="false">+P$3</f>
        <v>2006</v>
      </c>
      <c r="Q96" s="81" t="n">
        <f aca="false">+Q$3</f>
        <v>2007</v>
      </c>
      <c r="R96" s="81" t="n">
        <f aca="false">+R$3</f>
        <v>2008</v>
      </c>
      <c r="S96" s="81" t="n">
        <f aca="false">+S$3</f>
        <v>2009</v>
      </c>
      <c r="T96" s="81" t="n">
        <f aca="false">+T$3</f>
        <v>2010</v>
      </c>
      <c r="U96" s="81" t="n">
        <f aca="false">+U$3</f>
        <v>2011</v>
      </c>
      <c r="V96" s="81" t="n">
        <f aca="false">+V$3</f>
        <v>2012</v>
      </c>
      <c r="W96" s="81" t="n">
        <f aca="false">+W$3</f>
        <v>2013</v>
      </c>
      <c r="X96" s="81" t="n">
        <f aca="false">+X$3</f>
        <v>2014</v>
      </c>
      <c r="Y96" s="81" t="n">
        <f aca="false">+Y$3</f>
        <v>2015</v>
      </c>
      <c r="Z96" s="81" t="n">
        <f aca="false">+Z$3</f>
        <v>2016</v>
      </c>
      <c r="AA96" s="81" t="n">
        <f aca="false">+AA$3</f>
        <v>2017</v>
      </c>
      <c r="AB96" s="81" t="n">
        <f aca="false">+AB$3</f>
        <v>2018</v>
      </c>
      <c r="AC96" s="81" t="n">
        <f aca="false">+AC$3</f>
        <v>2019</v>
      </c>
    </row>
    <row r="97" customFormat="false" ht="12" hidden="false" customHeight="false" outlineLevel="0" collapsed="false">
      <c r="A97" s="153" t="s">
        <v>460</v>
      </c>
    </row>
    <row r="98" customFormat="false" ht="11.25" hidden="false" customHeight="false" outlineLevel="0" collapsed="false">
      <c r="B98" s="4" t="s">
        <v>461</v>
      </c>
      <c r="C98" s="67" t="str">
        <f aca="false">+C81</f>
        <v>Asset 1</v>
      </c>
      <c r="I98" s="227" t="n">
        <f aca="false">IF(D81=0,0,IF($H81="SL",SLN($D81,$E81,$G81)*IF(YEAR($F81)&lt;(J$3-1),IF(YEAR($F81)+$G81=J$3-1,(MONTH($F81)-1)/12,IF(YEAR($F81)+$G81&lt;J$3-1,0,1)),IF(YEAR($F81)&gt;J$3-1,0,(12-MONTH($F81)+1)/12)),IF(YEAR($F81)&gt;J$3-1,0,VDB($D81,$E81,$G81,IF(YEAR($F81)=J$3-1,0,MIN($G81,(DATE(J$3-1,1,1)-$F81)/365)),MIN($G81,(DATE(J$3-1,12,31)-$F81)/365),$I81))))</f>
        <v>0</v>
      </c>
      <c r="J98" s="227" t="n">
        <f aca="false">IF($D81=0,0,IF($H81="SL",SLN($D81,$E81,$G81)*IF(YEAR($F81)&lt;J$3,IF(YEAR($F81)+$G81=J$3,(MONTH($F81)-1)/12,IF(YEAR($F81)+$G81&lt;J$3,0,1)),IF(YEAR($F81)&gt;J$3,0,(12-MONTH($F81)+1)/12)),IF(YEAR($F81)&gt;J$3,0,VDB($D81,$E81,$G81,IF(YEAR($F81)=J$3,0,MIN($G81,(DATE(J$3,1,1)-$F81)/365)),MIN($G81,(DATE(J$3,12,31)-$F81)/365),$I81))))</f>
        <v>0</v>
      </c>
      <c r="K98" s="227" t="n">
        <f aca="false">IF($D81=0,0,IF($H81="SL",SLN($D81,$E81,$G81)*IF(YEAR($F81)&lt;K$3,IF(YEAR($F81)+$G81=K$3,(MONTH($F81)-1)/12,IF(YEAR($F81)+$G81&lt;K$3,0,1)),IF(YEAR($F81)&gt;K$3,0,(12-MONTH($F81)+1)/12)),IF(YEAR($F81)&gt;K$3,0,VDB($D81,$E81,$G81,IF(YEAR($F81)=K$3,0,MIN($G81,(DATE(K$3,1,1)-$F81)/365)),MIN($G81,(DATE(K$3,12,31)-$F81)/365),$I81))))</f>
        <v>0</v>
      </c>
      <c r="L98" s="227" t="n">
        <f aca="false">IF($D81=0,0,IF($H81="SL",SLN($D81,$E81,$G81)*IF(YEAR($F81)&lt;L$3,IF(YEAR($F81)+$G81=L$3,(MONTH($F81)-1)/12,IF(YEAR($F81)+$G81&lt;L$3,0,1)),IF(YEAR($F81)&gt;L$3,0,(12-MONTH($F81)+1)/12)),IF(YEAR($F81)&gt;L$3,0,VDB($D81,$E81,$G81,IF(YEAR($F81)=L$3,0,MIN($G81,(DATE(L$3,1,1)-$F81)/365)),MIN($G81,(DATE(L$3,12,31)-$F81)/365),$I81))))</f>
        <v>0</v>
      </c>
      <c r="M98" s="227" t="n">
        <f aca="false">IF($D81=0,0,IF($H81="SL",SLN($D81,$E81,$G81)*IF(YEAR($F81)&lt;M$3,IF(YEAR($F81)+$G81=M$3,(MONTH($F81)-1)/12,IF(YEAR($F81)+$G81&lt;M$3,0,1)),IF(YEAR($F81)&gt;M$3,0,(12-MONTH($F81)+1)/12)),IF(YEAR($F81)&gt;M$3,0,VDB($D81,$E81,$G81,IF(YEAR($F81)=M$3,0,MIN($G81,(DATE(M$3,1,1)-$F81)/365)),MIN($G81,(DATE(M$3,12,31)-$F81)/365),$I81))))</f>
        <v>0</v>
      </c>
      <c r="N98" s="227" t="n">
        <f aca="false">IF($D81=0,0,IF($H81="SL",SLN($D81,$E81,$G81)*IF(YEAR($F81)&lt;N$3,IF(YEAR($F81)+$G81=N$3,(MONTH($F81)-1)/12,IF(YEAR($F81)+$G81&lt;N$3,0,1)),IF(YEAR($F81)&gt;N$3,0,(12-MONTH($F81)+1)/12)),IF(YEAR($F81)&gt;N$3,0,VDB($D81,$E81,$G81,IF(YEAR($F81)=N$3,0,MIN($G81,(DATE(N$3,1,1)-$F81)/365)),MIN($G81,(DATE(N$3,12,31)-$F81)/365),$I81))))</f>
        <v>0</v>
      </c>
      <c r="O98" s="227" t="n">
        <f aca="false">IF($D81=0,0,IF($H81="SL",SLN($D81,$E81,$G81)*IF(YEAR($F81)&lt;O$3,IF(YEAR($F81)+$G81=O$3,(MONTH($F81)-1)/12,IF(YEAR($F81)+$G81&lt;O$3,0,1)),IF(YEAR($F81)&gt;O$3,0,(12-MONTH($F81)+1)/12)),IF(YEAR($F81)&gt;O$3,0,VDB($D81,$E81,$G81,IF(YEAR($F81)=O$3,0,MIN($G81,(DATE(O$3,1,1)-$F81)/365)),MIN($G81,(DATE(O$3,12,31)-$F81)/365),$I81))))</f>
        <v>0</v>
      </c>
      <c r="P98" s="227" t="n">
        <f aca="false">IF($D81=0,0,IF($H81="SL",SLN($D81,$E81,$G81)*IF(YEAR($F81)&lt;P$3,IF(YEAR($F81)+$G81=P$3,(MONTH($F81)-1)/12,IF(YEAR($F81)+$G81&lt;P$3,0,1)),IF(YEAR($F81)&gt;P$3,0,(12-MONTH($F81)+1)/12)),IF(YEAR($F81)&gt;P$3,0,VDB($D81,$E81,$G81,IF(YEAR($F81)=P$3,0,MIN($G81,(DATE(P$3,1,1)-$F81)/365)),MIN($G81,(DATE(P$3,12,31)-$F81)/365),$I81))))</f>
        <v>0</v>
      </c>
      <c r="Q98" s="227" t="n">
        <f aca="false">IF($D81=0,0,IF($H81="SL",SLN($D81,$E81,$G81)*IF(YEAR($F81)&lt;Q$3,IF(YEAR($F81)+$G81=Q$3,(MONTH($F81)-1)/12,IF(YEAR($F81)+$G81&lt;Q$3,0,1)),IF(YEAR($F81)&gt;Q$3,0,(12-MONTH($F81)+1)/12)),IF(YEAR($F81)&gt;Q$3,0,VDB($D81,$E81,$G81,IF(YEAR($F81)=Q$3,0,MIN($G81,(DATE(Q$3,1,1)-$F81)/365)),MIN($G81,(DATE(Q$3,12,31)-$F81)/365),$I81))))</f>
        <v>0</v>
      </c>
      <c r="R98" s="227" t="n">
        <f aca="false">IF($D81=0,0,IF($H81="SL",SLN($D81,$E81,$G81)*IF(YEAR($F81)&lt;R$3,IF(YEAR($F81)+$G81=R$3,(MONTH($F81)-1)/12,IF(YEAR($F81)+$G81&lt;R$3,0,1)),IF(YEAR($F81)&gt;R$3,0,(12-MONTH($F81)+1)/12)),IF(YEAR($F81)&gt;R$3,0,VDB($D81,$E81,$G81,IF(YEAR($F81)=R$3,0,MIN($G81,(DATE(R$3,1,1)-$F81)/365)),MIN($G81,(DATE(R$3,12,31)-$F81)/365),$I81))))</f>
        <v>0</v>
      </c>
      <c r="S98" s="227" t="n">
        <f aca="false">IF($D81=0,0,IF($H81="SL",SLN($D81,$E81,$G81)*IF(YEAR($F81)&lt;S$3,IF(YEAR($F81)+$G81=S$3,(MONTH($F81)-1)/12,IF(YEAR($F81)+$G81&lt;S$3,0,1)),IF(YEAR($F81)&gt;S$3,0,(12-MONTH($F81)+1)/12)),IF(YEAR($F81)&gt;S$3,0,VDB($D81,$E81,$G81,IF(YEAR($F81)=S$3,0,MIN($G81,(DATE(S$3,1,1)-$F81)/365)),MIN($G81,(DATE(S$3,12,31)-$F81)/365),$I81))))</f>
        <v>0</v>
      </c>
      <c r="T98" s="227" t="n">
        <f aca="false">IF($D81=0,0,IF($H81="SL",SLN($D81,$E81,$G81)*IF(YEAR($F81)&lt;T$3,IF(YEAR($F81)+$G81=T$3,(MONTH($F81)-1)/12,IF(YEAR($F81)+$G81&lt;T$3,0,1)),IF(YEAR($F81)&gt;T$3,0,(12-MONTH($F81)+1)/12)),IF(YEAR($F81)&gt;T$3,0,VDB($D81,$E81,$G81,IF(YEAR($F81)=T$3,0,MIN($G81,(DATE(T$3,1,1)-$F81)/365)),MIN($G81,(DATE(T$3,12,31)-$F81)/365),$I81))))</f>
        <v>0</v>
      </c>
      <c r="U98" s="227" t="n">
        <f aca="false">IF($D81=0,0,IF($H81="SL",SLN($D81,$E81,$G81)*IF(YEAR($F81)&lt;U$3,IF(YEAR($F81)+$G81=U$3,(MONTH($F81)-1)/12,IF(YEAR($F81)+$G81&lt;U$3,0,1)),IF(YEAR($F81)&gt;U$3,0,(12-MONTH($F81)+1)/12)),IF(YEAR($F81)&gt;U$3,0,VDB($D81,$E81,$G81,IF(YEAR($F81)=U$3,0,MIN($G81,(DATE(U$3,1,1)-$F81)/365)),MIN($G81,(DATE(U$3,12,31)-$F81)/365),$I81))))</f>
        <v>0</v>
      </c>
      <c r="V98" s="227" t="n">
        <f aca="false">IF($D81=0,0,IF($H81="SL",SLN($D81,$E81,$G81)*IF(YEAR($F81)&lt;V$3,IF(YEAR($F81)+$G81=V$3,(MONTH($F81)-1)/12,IF(YEAR($F81)+$G81&lt;V$3,0,1)),IF(YEAR($F81)&gt;V$3,0,(12-MONTH($F81)+1)/12)),IF(YEAR($F81)&gt;V$3,0,VDB($D81,$E81,$G81,IF(YEAR($F81)=V$3,0,MIN($G81,(DATE(V$3,1,1)-$F81)/365)),MIN($G81,(DATE(V$3,12,31)-$F81)/365),$I81))))</f>
        <v>0</v>
      </c>
      <c r="W98" s="227" t="n">
        <f aca="false">IF($D81=0,0,IF($H81="SL",SLN($D81,$E81,$G81)*IF(YEAR($F81)&lt;W$3,IF(YEAR($F81)+$G81=W$3,(MONTH($F81)-1)/12,IF(YEAR($F81)+$G81&lt;W$3,0,1)),IF(YEAR($F81)&gt;W$3,0,(12-MONTH($F81)+1)/12)),IF(YEAR($F81)&gt;W$3,0,VDB($D81,$E81,$G81,IF(YEAR($F81)=W$3,0,MIN($G81,(DATE(W$3,1,1)-$F81)/365)),MIN($G81,(DATE(W$3,12,31)-$F81)/365),$I81))))</f>
        <v>0</v>
      </c>
      <c r="X98" s="227" t="n">
        <f aca="false">IF($D81=0,0,IF($H81="SL",SLN($D81,$E81,$G81)*IF(YEAR($F81)&lt;X$3,IF(YEAR($F81)+$G81=X$3,(MONTH($F81)-1)/12,IF(YEAR($F81)+$G81&lt;X$3,0,1)),IF(YEAR($F81)&gt;X$3,0,(12-MONTH($F81)+1)/12)),IF(YEAR($F81)&gt;X$3,0,VDB($D81,$E81,$G81,IF(YEAR($F81)=X$3,0,MIN($G81,(DATE(X$3,1,1)-$F81)/365)),MIN($G81,(DATE(X$3,12,31)-$F81)/365),$I81))))</f>
        <v>0</v>
      </c>
      <c r="Y98" s="227" t="n">
        <f aca="false">IF($D81=0,0,IF($H81="SL",SLN($D81,$E81,$G81)*IF(YEAR($F81)&lt;Y$3,IF(YEAR($F81)+$G81=Y$3,(MONTH($F81)-1)/12,IF(YEAR($F81)+$G81&lt;Y$3,0,1)),IF(YEAR($F81)&gt;Y$3,0,(12-MONTH($F81)+1)/12)),IF(YEAR($F81)&gt;Y$3,0,VDB($D81,$E81,$G81,IF(YEAR($F81)=Y$3,0,MIN($G81,(DATE(Y$3,1,1)-$F81)/365)),MIN($G81,(DATE(Y$3,12,31)-$F81)/365),$I81))))</f>
        <v>0</v>
      </c>
      <c r="Z98" s="227" t="n">
        <f aca="false">IF($D81=0,0,IF($H81="SL",SLN($D81,$E81,$G81)*IF(YEAR($F81)&lt;Z$3,IF(YEAR($F81)+$G81=Z$3,(MONTH($F81)-1)/12,IF(YEAR($F81)+$G81&lt;Z$3,0,1)),IF(YEAR($F81)&gt;Z$3,0,(12-MONTH($F81)+1)/12)),IF(YEAR($F81)&gt;Z$3,0,VDB($D81,$E81,$G81,IF(YEAR($F81)=Z$3,0,MIN($G81,(DATE(Z$3,1,1)-$F81)/365)),MIN($G81,(DATE(Z$3,12,31)-$F81)/365),$I81))))</f>
        <v>0</v>
      </c>
      <c r="AA98" s="227" t="n">
        <f aca="false">IF($D81=0,0,IF($H81="SL",SLN($D81,$E81,$G81)*IF(YEAR($F81)&lt;AA$3,IF(YEAR($F81)+$G81=AA$3,(MONTH($F81)-1)/12,IF(YEAR($F81)+$G81&lt;AA$3,0,1)),IF(YEAR($F81)&gt;AA$3,0,(12-MONTH($F81)+1)/12)),IF(YEAR($F81)&gt;AA$3,0,VDB($D81,$E81,$G81,IF(YEAR($F81)=AA$3,0,MIN($G81,(DATE(AA$3,1,1)-$F81)/365)),MIN($G81,(DATE(AA$3,12,31)-$F81)/365),$I81))))</f>
        <v>0</v>
      </c>
      <c r="AB98" s="227" t="n">
        <f aca="false">IF($D81=0,0,IF($H81="SL",SLN($D81,$E81,$G81)*IF(YEAR($F81)&lt;AB$3,IF(YEAR($F81)+$G81=AB$3,(MONTH($F81)-1)/12,IF(YEAR($F81)+$G81&lt;AB$3,0,1)),IF(YEAR($F81)&gt;AB$3,0,(12-MONTH($F81)+1)/12)),IF(YEAR($F81)&gt;AB$3,0,VDB($D81,$E81,$G81,IF(YEAR($F81)=AB$3,0,MIN($G81,(DATE(AB$3,1,1)-$F81)/365)),MIN($G81,(DATE(AB$3,12,31)-$F81)/365),$I81))))</f>
        <v>0</v>
      </c>
      <c r="AC98" s="227" t="n">
        <f aca="false">IF($D81=0,0,IF($H81="SL",SLN($D81,$E81,$G81)*IF(YEAR($F81)&lt;AC$3,IF(YEAR($F81)+$G81=AC$3,(MONTH($F81)-1)/12,IF(YEAR($F81)+$G81&lt;AC$3,0,1)),IF(YEAR($F81)&gt;AC$3,0,(12-MONTH($F81)+1)/12)),IF(YEAR($F81)&gt;AC$3,0,VDB($D81,$E81,$G81,IF(YEAR($F81)=AC$3,0,MIN($G81,(DATE(AC$3,1,1)-$F81)/365)),MIN($G81,(DATE(AC$3,12,31)-$F81)/365),$I81))))</f>
        <v>0</v>
      </c>
    </row>
    <row r="99" customFormat="false" ht="11.25" hidden="false" customHeight="false" outlineLevel="0" collapsed="false">
      <c r="C99" s="67" t="str">
        <f aca="false">+C82</f>
        <v>Asset 2</v>
      </c>
      <c r="I99" s="227" t="n">
        <f aca="false">IF(D82=0,0,IF($H82="SL",SLN($D82,$E82,$G82)*IF(YEAR($F82)&lt;(J$3-1),IF(YEAR($F82)+$G82=J$3-1,(MONTH($F82)-1)/12,IF(YEAR($F82)+$G82&lt;J$3-1,0,1)),IF(YEAR($F82)&gt;J$3-1,0,(12-MONTH($F82)+1)/12)),IF(YEAR($F82)&gt;J$3-1,0,VDB($D82,$E82,$G82,IF(YEAR($F82)=J$3-1,0,MIN($G82,(DATE(J$3-1,1,1)-$F82)/365)),MIN($G82,(DATE(J$3-1,12,31)-$F82)/365),$I82))))</f>
        <v>0</v>
      </c>
      <c r="J99" s="227" t="n">
        <f aca="false">IF($D82=0,0,IF($H82="SL",SLN($D82,$E82,$G82)*IF(YEAR($F82)&lt;J$3,IF(YEAR($F82)+$G82=J$3,(MONTH($F82)-1)/12,IF(YEAR($F82)+$G82&lt;J$3,0,1)),IF(YEAR($F82)&gt;J$3,0,(12-MONTH($F82)+1)/12)),IF(YEAR($F82)&gt;J$3,0,VDB($D82,$E82,$G82,IF(YEAR($F82)=J$3,0,MIN($G82,(DATE(J$3,1,1)-$F82)/365)),MIN($G82,(DATE(J$3,12,31)-$F82)/365),$I82))))</f>
        <v>0</v>
      </c>
      <c r="K99" s="227" t="n">
        <f aca="false">IF($D82=0,0,IF($H82="SL",SLN($D82,$E82,$G82)*IF(YEAR($F82)&lt;K$3,IF(YEAR($F82)+$G82=K$3,(MONTH($F82)-1)/12,IF(YEAR($F82)+$G82&lt;K$3,0,1)),IF(YEAR($F82)&gt;K$3,0,(12-MONTH($F82)+1)/12)),IF(YEAR($F82)&gt;K$3,0,VDB($D82,$E82,$G82,IF(YEAR($F82)=K$3,0,MIN($G82,(DATE(K$3,1,1)-$F82)/365)),MIN($G82,(DATE(K$3,12,31)-$F82)/365),$I82))))</f>
        <v>0</v>
      </c>
      <c r="L99" s="227" t="n">
        <f aca="false">IF($D82=0,0,IF($H82="SL",SLN($D82,$E82,$G82)*IF(YEAR($F82)&lt;L$3,IF(YEAR($F82)+$G82=L$3,(MONTH($F82)-1)/12,IF(YEAR($F82)+$G82&lt;L$3,0,1)),IF(YEAR($F82)&gt;L$3,0,(12-MONTH($F82)+1)/12)),IF(YEAR($F82)&gt;L$3,0,VDB($D82,$E82,$G82,IF(YEAR($F82)=L$3,0,MIN($G82,(DATE(L$3,1,1)-$F82)/365)),MIN($G82,(DATE(L$3,12,31)-$F82)/365),$I82))))</f>
        <v>0</v>
      </c>
      <c r="M99" s="227" t="n">
        <f aca="false">IF($D82=0,0,IF($H82="SL",SLN($D82,$E82,$G82)*IF(YEAR($F82)&lt;M$3,IF(YEAR($F82)+$G82=M$3,(MONTH($F82)-1)/12,IF(YEAR($F82)+$G82&lt;M$3,0,1)),IF(YEAR($F82)&gt;M$3,0,(12-MONTH($F82)+1)/12)),IF(YEAR($F82)&gt;M$3,0,VDB($D82,$E82,$G82,IF(YEAR($F82)=M$3,0,MIN($G82,(DATE(M$3,1,1)-$F82)/365)),MIN($G82,(DATE(M$3,12,31)-$F82)/365),$I82))))</f>
        <v>0</v>
      </c>
      <c r="N99" s="227" t="n">
        <f aca="false">IF($D82=0,0,IF($H82="SL",SLN($D82,$E82,$G82)*IF(YEAR($F82)&lt;N$3,IF(YEAR($F82)+$G82=N$3,(MONTH($F82)-1)/12,IF(YEAR($F82)+$G82&lt;N$3,0,1)),IF(YEAR($F82)&gt;N$3,0,(12-MONTH($F82)+1)/12)),IF(YEAR($F82)&gt;N$3,0,VDB($D82,$E82,$G82,IF(YEAR($F82)=N$3,0,MIN($G82,(DATE(N$3,1,1)-$F82)/365)),MIN($G82,(DATE(N$3,12,31)-$F82)/365),$I82))))</f>
        <v>0</v>
      </c>
      <c r="O99" s="227" t="n">
        <f aca="false">IF($D82=0,0,IF($H82="SL",SLN($D82,$E82,$G82)*IF(YEAR($F82)&lt;O$3,IF(YEAR($F82)+$G82=O$3,(MONTH($F82)-1)/12,IF(YEAR($F82)+$G82&lt;O$3,0,1)),IF(YEAR($F82)&gt;O$3,0,(12-MONTH($F82)+1)/12)),IF(YEAR($F82)&gt;O$3,0,VDB($D82,$E82,$G82,IF(YEAR($F82)=O$3,0,MIN($G82,(DATE(O$3,1,1)-$F82)/365)),MIN($G82,(DATE(O$3,12,31)-$F82)/365),$I82))))</f>
        <v>0</v>
      </c>
      <c r="P99" s="227" t="n">
        <f aca="false">IF($D82=0,0,IF($H82="SL",SLN($D82,$E82,$G82)*IF(YEAR($F82)&lt;P$3,IF(YEAR($F82)+$G82=P$3,(MONTH($F82)-1)/12,IF(YEAR($F82)+$G82&lt;P$3,0,1)),IF(YEAR($F82)&gt;P$3,0,(12-MONTH($F82)+1)/12)),IF(YEAR($F82)&gt;P$3,0,VDB($D82,$E82,$G82,IF(YEAR($F82)=P$3,0,MIN($G82,(DATE(P$3,1,1)-$F82)/365)),MIN($G82,(DATE(P$3,12,31)-$F82)/365),$I82))))</f>
        <v>0</v>
      </c>
      <c r="Q99" s="227" t="n">
        <f aca="false">IF($D82=0,0,IF($H82="SL",SLN($D82,$E82,$G82)*IF(YEAR($F82)&lt;Q$3,IF(YEAR($F82)+$G82=Q$3,(MONTH($F82)-1)/12,IF(YEAR($F82)+$G82&lt;Q$3,0,1)),IF(YEAR($F82)&gt;Q$3,0,(12-MONTH($F82)+1)/12)),IF(YEAR($F82)&gt;Q$3,0,VDB($D82,$E82,$G82,IF(YEAR($F82)=Q$3,0,MIN($G82,(DATE(Q$3,1,1)-$F82)/365)),MIN($G82,(DATE(Q$3,12,31)-$F82)/365),$I82))))</f>
        <v>0</v>
      </c>
      <c r="R99" s="227" t="n">
        <f aca="false">IF($D82=0,0,IF($H82="SL",SLN($D82,$E82,$G82)*IF(YEAR($F82)&lt;R$3,IF(YEAR($F82)+$G82=R$3,(MONTH($F82)-1)/12,IF(YEAR($F82)+$G82&lt;R$3,0,1)),IF(YEAR($F82)&gt;R$3,0,(12-MONTH($F82)+1)/12)),IF(YEAR($F82)&gt;R$3,0,VDB($D82,$E82,$G82,IF(YEAR($F82)=R$3,0,MIN($G82,(DATE(R$3,1,1)-$F82)/365)),MIN($G82,(DATE(R$3,12,31)-$F82)/365),$I82))))</f>
        <v>0</v>
      </c>
      <c r="S99" s="227" t="n">
        <f aca="false">IF($D82=0,0,IF($H82="SL",SLN($D82,$E82,$G82)*IF(YEAR($F82)&lt;S$3,IF(YEAR($F82)+$G82=S$3,(MONTH($F82)-1)/12,IF(YEAR($F82)+$G82&lt;S$3,0,1)),IF(YEAR($F82)&gt;S$3,0,(12-MONTH($F82)+1)/12)),IF(YEAR($F82)&gt;S$3,0,VDB($D82,$E82,$G82,IF(YEAR($F82)=S$3,0,MIN($G82,(DATE(S$3,1,1)-$F82)/365)),MIN($G82,(DATE(S$3,12,31)-$F82)/365),$I82))))</f>
        <v>0</v>
      </c>
      <c r="T99" s="227" t="n">
        <f aca="false">IF($D82=0,0,IF($H82="SL",SLN($D82,$E82,$G82)*IF(YEAR($F82)&lt;T$3,IF(YEAR($F82)+$G82=T$3,(MONTH($F82)-1)/12,IF(YEAR($F82)+$G82&lt;T$3,0,1)),IF(YEAR($F82)&gt;T$3,0,(12-MONTH($F82)+1)/12)),IF(YEAR($F82)&gt;T$3,0,VDB($D82,$E82,$G82,IF(YEAR($F82)=T$3,0,MIN($G82,(DATE(T$3,1,1)-$F82)/365)),MIN($G82,(DATE(T$3,12,31)-$F82)/365),$I82))))</f>
        <v>0</v>
      </c>
      <c r="U99" s="227" t="n">
        <f aca="false">IF($D82=0,0,IF($H82="SL",SLN($D82,$E82,$G82)*IF(YEAR($F82)&lt;U$3,IF(YEAR($F82)+$G82=U$3,(MONTH($F82)-1)/12,IF(YEAR($F82)+$G82&lt;U$3,0,1)),IF(YEAR($F82)&gt;U$3,0,(12-MONTH($F82)+1)/12)),IF(YEAR($F82)&gt;U$3,0,VDB($D82,$E82,$G82,IF(YEAR($F82)=U$3,0,MIN($G82,(DATE(U$3,1,1)-$F82)/365)),MIN($G82,(DATE(U$3,12,31)-$F82)/365),$I82))))</f>
        <v>0</v>
      </c>
      <c r="V99" s="227" t="n">
        <f aca="false">IF($D82=0,0,IF($H82="SL",SLN($D82,$E82,$G82)*IF(YEAR($F82)&lt;V$3,IF(YEAR($F82)+$G82=V$3,(MONTH($F82)-1)/12,IF(YEAR($F82)+$G82&lt;V$3,0,1)),IF(YEAR($F82)&gt;V$3,0,(12-MONTH($F82)+1)/12)),IF(YEAR($F82)&gt;V$3,0,VDB($D82,$E82,$G82,IF(YEAR($F82)=V$3,0,MIN($G82,(DATE(V$3,1,1)-$F82)/365)),MIN($G82,(DATE(V$3,12,31)-$F82)/365),$I82))))</f>
        <v>0</v>
      </c>
      <c r="W99" s="227" t="n">
        <f aca="false">IF($D82=0,0,IF($H82="SL",SLN($D82,$E82,$G82)*IF(YEAR($F82)&lt;W$3,IF(YEAR($F82)+$G82=W$3,(MONTH($F82)-1)/12,IF(YEAR($F82)+$G82&lt;W$3,0,1)),IF(YEAR($F82)&gt;W$3,0,(12-MONTH($F82)+1)/12)),IF(YEAR($F82)&gt;W$3,0,VDB($D82,$E82,$G82,IF(YEAR($F82)=W$3,0,MIN($G82,(DATE(W$3,1,1)-$F82)/365)),MIN($G82,(DATE(W$3,12,31)-$F82)/365),$I82))))</f>
        <v>0</v>
      </c>
      <c r="X99" s="227" t="n">
        <f aca="false">IF($D82=0,0,IF($H82="SL",SLN($D82,$E82,$G82)*IF(YEAR($F82)&lt;X$3,IF(YEAR($F82)+$G82=X$3,(MONTH($F82)-1)/12,IF(YEAR($F82)+$G82&lt;X$3,0,1)),IF(YEAR($F82)&gt;X$3,0,(12-MONTH($F82)+1)/12)),IF(YEAR($F82)&gt;X$3,0,VDB($D82,$E82,$G82,IF(YEAR($F82)=X$3,0,MIN($G82,(DATE(X$3,1,1)-$F82)/365)),MIN($G82,(DATE(X$3,12,31)-$F82)/365),$I82))))</f>
        <v>0</v>
      </c>
      <c r="Y99" s="227" t="n">
        <f aca="false">IF($D82=0,0,IF($H82="SL",SLN($D82,$E82,$G82)*IF(YEAR($F82)&lt;Y$3,IF(YEAR($F82)+$G82=Y$3,(MONTH($F82)-1)/12,IF(YEAR($F82)+$G82&lt;Y$3,0,1)),IF(YEAR($F82)&gt;Y$3,0,(12-MONTH($F82)+1)/12)),IF(YEAR($F82)&gt;Y$3,0,VDB($D82,$E82,$G82,IF(YEAR($F82)=Y$3,0,MIN($G82,(DATE(Y$3,1,1)-$F82)/365)),MIN($G82,(DATE(Y$3,12,31)-$F82)/365),$I82))))</f>
        <v>0</v>
      </c>
      <c r="Z99" s="227" t="n">
        <f aca="false">IF($D82=0,0,IF($H82="SL",SLN($D82,$E82,$G82)*IF(YEAR($F82)&lt;Z$3,IF(YEAR($F82)+$G82=Z$3,(MONTH($F82)-1)/12,IF(YEAR($F82)+$G82&lt;Z$3,0,1)),IF(YEAR($F82)&gt;Z$3,0,(12-MONTH($F82)+1)/12)),IF(YEAR($F82)&gt;Z$3,0,VDB($D82,$E82,$G82,IF(YEAR($F82)=Z$3,0,MIN($G82,(DATE(Z$3,1,1)-$F82)/365)),MIN($G82,(DATE(Z$3,12,31)-$F82)/365),$I82))))</f>
        <v>0</v>
      </c>
      <c r="AA99" s="227" t="n">
        <f aca="false">IF($D82=0,0,IF($H82="SL",SLN($D82,$E82,$G82)*IF(YEAR($F82)&lt;AA$3,IF(YEAR($F82)+$G82=AA$3,(MONTH($F82)-1)/12,IF(YEAR($F82)+$G82&lt;AA$3,0,1)),IF(YEAR($F82)&gt;AA$3,0,(12-MONTH($F82)+1)/12)),IF(YEAR($F82)&gt;AA$3,0,VDB($D82,$E82,$G82,IF(YEAR($F82)=AA$3,0,MIN($G82,(DATE(AA$3,1,1)-$F82)/365)),MIN($G82,(DATE(AA$3,12,31)-$F82)/365),$I82))))</f>
        <v>0</v>
      </c>
      <c r="AB99" s="227" t="n">
        <f aca="false">IF($D82=0,0,IF($H82="SL",SLN($D82,$E82,$G82)*IF(YEAR($F82)&lt;AB$3,IF(YEAR($F82)+$G82=AB$3,(MONTH($F82)-1)/12,IF(YEAR($F82)+$G82&lt;AB$3,0,1)),IF(YEAR($F82)&gt;AB$3,0,(12-MONTH($F82)+1)/12)),IF(YEAR($F82)&gt;AB$3,0,VDB($D82,$E82,$G82,IF(YEAR($F82)=AB$3,0,MIN($G82,(DATE(AB$3,1,1)-$F82)/365)),MIN($G82,(DATE(AB$3,12,31)-$F82)/365),$I82))))</f>
        <v>0</v>
      </c>
      <c r="AC99" s="227" t="n">
        <f aca="false">IF($D82=0,0,IF($H82="SL",SLN($D82,$E82,$G82)*IF(YEAR($F82)&lt;AC$3,IF(YEAR($F82)+$G82=AC$3,(MONTH($F82)-1)/12,IF(YEAR($F82)+$G82&lt;AC$3,0,1)),IF(YEAR($F82)&gt;AC$3,0,(12-MONTH($F82)+1)/12)),IF(YEAR($F82)&gt;AC$3,0,VDB($D82,$E82,$G82,IF(YEAR($F82)=AC$3,0,MIN($G82,(DATE(AC$3,1,1)-$F82)/365)),MIN($G82,(DATE(AC$3,12,31)-$F82)/365),$I82))))</f>
        <v>0</v>
      </c>
    </row>
    <row r="100" customFormat="false" ht="11.25" hidden="false" customHeight="false" outlineLevel="0" collapsed="false">
      <c r="C100" s="67" t="str">
        <f aca="false">+C83</f>
        <v>Asset 3</v>
      </c>
      <c r="I100" s="227" t="n">
        <f aca="false">IF(D83=0,0,IF($H83="SL",SLN($D83,$E83,$G83)*IF(YEAR($F83)&lt;(J$3-1),IF(YEAR($F83)+$G83=J$3-1,(MONTH($F83)-1)/12,IF(YEAR($F83)+$G83&lt;J$3-1,0,1)),IF(YEAR($F83)&gt;J$3-1,0,(12-MONTH($F83)+1)/12)),IF(YEAR($F83)&gt;J$3-1,0,VDB($D83,$E83,$G83,IF(YEAR($F83)=J$3-1,0,MIN($G83,(DATE(J$3-1,1,1)-$F83)/365)),MIN($G83,(DATE(J$3-1,12,31)-$F83)/365),$I83))))</f>
        <v>0</v>
      </c>
      <c r="J100" s="227" t="n">
        <f aca="false">IF($D83=0,0,IF($H83="SL",SLN($D83,$E83,$G83)*IF(YEAR($F83)&lt;J$3,IF(YEAR($F83)+$G83=J$3,(MONTH($F83)-1)/12,IF(YEAR($F83)+$G83&lt;J$3,0,1)),IF(YEAR($F83)&gt;J$3,0,(12-MONTH($F83)+1)/12)),IF(YEAR($F83)&gt;J$3,0,VDB($D83,$E83,$G83,IF(YEAR($F83)=J$3,0,MIN($G83,(DATE(J$3,1,1)-$F83)/365)),MIN($G83,(DATE(J$3,12,31)-$F83)/365),$I83))))</f>
        <v>0</v>
      </c>
      <c r="K100" s="227" t="n">
        <f aca="false">IF($D83=0,0,IF($H83="SL",SLN($D83,$E83,$G83)*IF(YEAR($F83)&lt;K$3,IF(YEAR($F83)+$G83=K$3,(MONTH($F83)-1)/12,IF(YEAR($F83)+$G83&lt;K$3,0,1)),IF(YEAR($F83)&gt;K$3,0,(12-MONTH($F83)+1)/12)),IF(YEAR($F83)&gt;K$3,0,VDB($D83,$E83,$G83,IF(YEAR($F83)=K$3,0,MIN($G83,(DATE(K$3,1,1)-$F83)/365)),MIN($G83,(DATE(K$3,12,31)-$F83)/365),$I83))))</f>
        <v>0</v>
      </c>
      <c r="L100" s="227" t="n">
        <f aca="false">IF($D83=0,0,IF($H83="SL",SLN($D83,$E83,$G83)*IF(YEAR($F83)&lt;L$3,IF(YEAR($F83)+$G83=L$3,(MONTH($F83)-1)/12,IF(YEAR($F83)+$G83&lt;L$3,0,1)),IF(YEAR($F83)&gt;L$3,0,(12-MONTH($F83)+1)/12)),IF(YEAR($F83)&gt;L$3,0,VDB($D83,$E83,$G83,IF(YEAR($F83)=L$3,0,MIN($G83,(DATE(L$3,1,1)-$F83)/365)),MIN($G83,(DATE(L$3,12,31)-$F83)/365),$I83))))</f>
        <v>0</v>
      </c>
      <c r="M100" s="227" t="n">
        <f aca="false">IF($D83=0,0,IF($H83="SL",SLN($D83,$E83,$G83)*IF(YEAR($F83)&lt;M$3,IF(YEAR($F83)+$G83=M$3,(MONTH($F83)-1)/12,IF(YEAR($F83)+$G83&lt;M$3,0,1)),IF(YEAR($F83)&gt;M$3,0,(12-MONTH($F83)+1)/12)),IF(YEAR($F83)&gt;M$3,0,VDB($D83,$E83,$G83,IF(YEAR($F83)=M$3,0,MIN($G83,(DATE(M$3,1,1)-$F83)/365)),MIN($G83,(DATE(M$3,12,31)-$F83)/365),$I83))))</f>
        <v>0</v>
      </c>
      <c r="N100" s="227" t="n">
        <f aca="false">IF($D83=0,0,IF($H83="SL",SLN($D83,$E83,$G83)*IF(YEAR($F83)&lt;N$3,IF(YEAR($F83)+$G83=N$3,(MONTH($F83)-1)/12,IF(YEAR($F83)+$G83&lt;N$3,0,1)),IF(YEAR($F83)&gt;N$3,0,(12-MONTH($F83)+1)/12)),IF(YEAR($F83)&gt;N$3,0,VDB($D83,$E83,$G83,IF(YEAR($F83)=N$3,0,MIN($G83,(DATE(N$3,1,1)-$F83)/365)),MIN($G83,(DATE(N$3,12,31)-$F83)/365),$I83))))</f>
        <v>0</v>
      </c>
      <c r="O100" s="227" t="n">
        <f aca="false">IF($D83=0,0,IF($H83="SL",SLN($D83,$E83,$G83)*IF(YEAR($F83)&lt;O$3,IF(YEAR($F83)+$G83=O$3,(MONTH($F83)-1)/12,IF(YEAR($F83)+$G83&lt;O$3,0,1)),IF(YEAR($F83)&gt;O$3,0,(12-MONTH($F83)+1)/12)),IF(YEAR($F83)&gt;O$3,0,VDB($D83,$E83,$G83,IF(YEAR($F83)=O$3,0,MIN($G83,(DATE(O$3,1,1)-$F83)/365)),MIN($G83,(DATE(O$3,12,31)-$F83)/365),$I83))))</f>
        <v>0</v>
      </c>
      <c r="P100" s="227" t="n">
        <f aca="false">IF($D83=0,0,IF($H83="SL",SLN($D83,$E83,$G83)*IF(YEAR($F83)&lt;P$3,IF(YEAR($F83)+$G83=P$3,(MONTH($F83)-1)/12,IF(YEAR($F83)+$G83&lt;P$3,0,1)),IF(YEAR($F83)&gt;P$3,0,(12-MONTH($F83)+1)/12)),IF(YEAR($F83)&gt;P$3,0,VDB($D83,$E83,$G83,IF(YEAR($F83)=P$3,0,MIN($G83,(DATE(P$3,1,1)-$F83)/365)),MIN($G83,(DATE(P$3,12,31)-$F83)/365),$I83))))</f>
        <v>0</v>
      </c>
      <c r="Q100" s="227" t="n">
        <f aca="false">IF($D83=0,0,IF($H83="SL",SLN($D83,$E83,$G83)*IF(YEAR($F83)&lt;Q$3,IF(YEAR($F83)+$G83=Q$3,(MONTH($F83)-1)/12,IF(YEAR($F83)+$G83&lt;Q$3,0,1)),IF(YEAR($F83)&gt;Q$3,0,(12-MONTH($F83)+1)/12)),IF(YEAR($F83)&gt;Q$3,0,VDB($D83,$E83,$G83,IF(YEAR($F83)=Q$3,0,MIN($G83,(DATE(Q$3,1,1)-$F83)/365)),MIN($G83,(DATE(Q$3,12,31)-$F83)/365),$I83))))</f>
        <v>0</v>
      </c>
      <c r="R100" s="227" t="n">
        <f aca="false">IF($D83=0,0,IF($H83="SL",SLN($D83,$E83,$G83)*IF(YEAR($F83)&lt;R$3,IF(YEAR($F83)+$G83=R$3,(MONTH($F83)-1)/12,IF(YEAR($F83)+$G83&lt;R$3,0,1)),IF(YEAR($F83)&gt;R$3,0,(12-MONTH($F83)+1)/12)),IF(YEAR($F83)&gt;R$3,0,VDB($D83,$E83,$G83,IF(YEAR($F83)=R$3,0,MIN($G83,(DATE(R$3,1,1)-$F83)/365)),MIN($G83,(DATE(R$3,12,31)-$F83)/365),$I83))))</f>
        <v>0</v>
      </c>
      <c r="S100" s="227" t="n">
        <f aca="false">IF($D83=0,0,IF($H83="SL",SLN($D83,$E83,$G83)*IF(YEAR($F83)&lt;S$3,IF(YEAR($F83)+$G83=S$3,(MONTH($F83)-1)/12,IF(YEAR($F83)+$G83&lt;S$3,0,1)),IF(YEAR($F83)&gt;S$3,0,(12-MONTH($F83)+1)/12)),IF(YEAR($F83)&gt;S$3,0,VDB($D83,$E83,$G83,IF(YEAR($F83)=S$3,0,MIN($G83,(DATE(S$3,1,1)-$F83)/365)),MIN($G83,(DATE(S$3,12,31)-$F83)/365),$I83))))</f>
        <v>0</v>
      </c>
      <c r="T100" s="227" t="n">
        <f aca="false">IF($D83=0,0,IF($H83="SL",SLN($D83,$E83,$G83)*IF(YEAR($F83)&lt;T$3,IF(YEAR($F83)+$G83=T$3,(MONTH($F83)-1)/12,IF(YEAR($F83)+$G83&lt;T$3,0,1)),IF(YEAR($F83)&gt;T$3,0,(12-MONTH($F83)+1)/12)),IF(YEAR($F83)&gt;T$3,0,VDB($D83,$E83,$G83,IF(YEAR($F83)=T$3,0,MIN($G83,(DATE(T$3,1,1)-$F83)/365)),MIN($G83,(DATE(T$3,12,31)-$F83)/365),$I83))))</f>
        <v>0</v>
      </c>
      <c r="U100" s="227" t="n">
        <f aca="false">IF($D83=0,0,IF($H83="SL",SLN($D83,$E83,$G83)*IF(YEAR($F83)&lt;U$3,IF(YEAR($F83)+$G83=U$3,(MONTH($F83)-1)/12,IF(YEAR($F83)+$G83&lt;U$3,0,1)),IF(YEAR($F83)&gt;U$3,0,(12-MONTH($F83)+1)/12)),IF(YEAR($F83)&gt;U$3,0,VDB($D83,$E83,$G83,IF(YEAR($F83)=U$3,0,MIN($G83,(DATE(U$3,1,1)-$F83)/365)),MIN($G83,(DATE(U$3,12,31)-$F83)/365),$I83))))</f>
        <v>0</v>
      </c>
      <c r="V100" s="227" t="n">
        <f aca="false">IF($D83=0,0,IF($H83="SL",SLN($D83,$E83,$G83)*IF(YEAR($F83)&lt;V$3,IF(YEAR($F83)+$G83=V$3,(MONTH($F83)-1)/12,IF(YEAR($F83)+$G83&lt;V$3,0,1)),IF(YEAR($F83)&gt;V$3,0,(12-MONTH($F83)+1)/12)),IF(YEAR($F83)&gt;V$3,0,VDB($D83,$E83,$G83,IF(YEAR($F83)=V$3,0,MIN($G83,(DATE(V$3,1,1)-$F83)/365)),MIN($G83,(DATE(V$3,12,31)-$F83)/365),$I83))))</f>
        <v>0</v>
      </c>
      <c r="W100" s="227" t="n">
        <f aca="false">IF($D83=0,0,IF($H83="SL",SLN($D83,$E83,$G83)*IF(YEAR($F83)&lt;W$3,IF(YEAR($F83)+$G83=W$3,(MONTH($F83)-1)/12,IF(YEAR($F83)+$G83&lt;W$3,0,1)),IF(YEAR($F83)&gt;W$3,0,(12-MONTH($F83)+1)/12)),IF(YEAR($F83)&gt;W$3,0,VDB($D83,$E83,$G83,IF(YEAR($F83)=W$3,0,MIN($G83,(DATE(W$3,1,1)-$F83)/365)),MIN($G83,(DATE(W$3,12,31)-$F83)/365),$I83))))</f>
        <v>0</v>
      </c>
      <c r="X100" s="227" t="n">
        <f aca="false">IF($D83=0,0,IF($H83="SL",SLN($D83,$E83,$G83)*IF(YEAR($F83)&lt;X$3,IF(YEAR($F83)+$G83=X$3,(MONTH($F83)-1)/12,IF(YEAR($F83)+$G83&lt;X$3,0,1)),IF(YEAR($F83)&gt;X$3,0,(12-MONTH($F83)+1)/12)),IF(YEAR($F83)&gt;X$3,0,VDB($D83,$E83,$G83,IF(YEAR($F83)=X$3,0,MIN($G83,(DATE(X$3,1,1)-$F83)/365)),MIN($G83,(DATE(X$3,12,31)-$F83)/365),$I83))))</f>
        <v>0</v>
      </c>
      <c r="Y100" s="227" t="n">
        <f aca="false">IF($D83=0,0,IF($H83="SL",SLN($D83,$E83,$G83)*IF(YEAR($F83)&lt;Y$3,IF(YEAR($F83)+$G83=Y$3,(MONTH($F83)-1)/12,IF(YEAR($F83)+$G83&lt;Y$3,0,1)),IF(YEAR($F83)&gt;Y$3,0,(12-MONTH($F83)+1)/12)),IF(YEAR($F83)&gt;Y$3,0,VDB($D83,$E83,$G83,IF(YEAR($F83)=Y$3,0,MIN($G83,(DATE(Y$3,1,1)-$F83)/365)),MIN($G83,(DATE(Y$3,12,31)-$F83)/365),$I83))))</f>
        <v>0</v>
      </c>
      <c r="Z100" s="227" t="n">
        <f aca="false">IF($D83=0,0,IF($H83="SL",SLN($D83,$E83,$G83)*IF(YEAR($F83)&lt;Z$3,IF(YEAR($F83)+$G83=Z$3,(MONTH($F83)-1)/12,IF(YEAR($F83)+$G83&lt;Z$3,0,1)),IF(YEAR($F83)&gt;Z$3,0,(12-MONTH($F83)+1)/12)),IF(YEAR($F83)&gt;Z$3,0,VDB($D83,$E83,$G83,IF(YEAR($F83)=Z$3,0,MIN($G83,(DATE(Z$3,1,1)-$F83)/365)),MIN($G83,(DATE(Z$3,12,31)-$F83)/365),$I83))))</f>
        <v>0</v>
      </c>
      <c r="AA100" s="227" t="n">
        <f aca="false">IF($D83=0,0,IF($H83="SL",SLN($D83,$E83,$G83)*IF(YEAR($F83)&lt;AA$3,IF(YEAR($F83)+$G83=AA$3,(MONTH($F83)-1)/12,IF(YEAR($F83)+$G83&lt;AA$3,0,1)),IF(YEAR($F83)&gt;AA$3,0,(12-MONTH($F83)+1)/12)),IF(YEAR($F83)&gt;AA$3,0,VDB($D83,$E83,$G83,IF(YEAR($F83)=AA$3,0,MIN($G83,(DATE(AA$3,1,1)-$F83)/365)),MIN($G83,(DATE(AA$3,12,31)-$F83)/365),$I83))))</f>
        <v>0</v>
      </c>
      <c r="AB100" s="227" t="n">
        <f aca="false">IF($D83=0,0,IF($H83="SL",SLN($D83,$E83,$G83)*IF(YEAR($F83)&lt;AB$3,IF(YEAR($F83)+$G83=AB$3,(MONTH($F83)-1)/12,IF(YEAR($F83)+$G83&lt;AB$3,0,1)),IF(YEAR($F83)&gt;AB$3,0,(12-MONTH($F83)+1)/12)),IF(YEAR($F83)&gt;AB$3,0,VDB($D83,$E83,$G83,IF(YEAR($F83)=AB$3,0,MIN($G83,(DATE(AB$3,1,1)-$F83)/365)),MIN($G83,(DATE(AB$3,12,31)-$F83)/365),$I83))))</f>
        <v>0</v>
      </c>
      <c r="AC100" s="227" t="n">
        <f aca="false">IF($D83=0,0,IF($H83="SL",SLN($D83,$E83,$G83)*IF(YEAR($F83)&lt;AC$3,IF(YEAR($F83)+$G83=AC$3,(MONTH($F83)-1)/12,IF(YEAR($F83)+$G83&lt;AC$3,0,1)),IF(YEAR($F83)&gt;AC$3,0,(12-MONTH($F83)+1)/12)),IF(YEAR($F83)&gt;AC$3,0,VDB($D83,$E83,$G83,IF(YEAR($F83)=AC$3,0,MIN($G83,(DATE(AC$3,1,1)-$F83)/365)),MIN($G83,(DATE(AC$3,12,31)-$F83)/365),$I83))))</f>
        <v>0</v>
      </c>
    </row>
    <row r="101" customFormat="false" ht="11.25" hidden="false" customHeight="false" outlineLevel="0" collapsed="false">
      <c r="C101" s="67" t="str">
        <f aca="false">+C84</f>
        <v>Asset 4</v>
      </c>
      <c r="I101" s="227" t="n">
        <f aca="false">IF(D84=0,0,IF($H84="SL",SLN($D84,$E84,$G84)*IF(YEAR($F84)&lt;(J$3-1),IF(YEAR($F84)+$G84=J$3-1,(MONTH($F84)-1)/12,IF(YEAR($F84)+$G84&lt;J$3-1,0,1)),IF(YEAR($F84)&gt;J$3-1,0,(12-MONTH($F84)+1)/12)),IF(YEAR($F84)&gt;J$3-1,0,VDB($D84,$E84,$G84,IF(YEAR($F84)=J$3-1,0,MIN($G84,(DATE(J$3-1,1,1)-$F84)/365)),MIN($G84,(DATE(J$3-1,12,31)-$F84)/365),$I84))))</f>
        <v>0</v>
      </c>
      <c r="J101" s="227" t="n">
        <f aca="false">IF($D84=0,0,IF($H84="SL",SLN($D84,$E84,$G84)*IF(YEAR($F84)&lt;J$3,IF(YEAR($F84)+$G84=J$3,(MONTH($F84)-1)/12,IF(YEAR($F84)+$G84&lt;J$3,0,1)),IF(YEAR($F84)&gt;J$3,0,(12-MONTH($F84)+1)/12)),IF(YEAR($F84)&gt;J$3,0,VDB($D84,$E84,$G84,IF(YEAR($F84)=J$3,0,MIN($G84,(DATE(J$3,1,1)-$F84)/365)),MIN($G84,(DATE(J$3,12,31)-$F84)/365),$I84))))</f>
        <v>0</v>
      </c>
      <c r="K101" s="227" t="n">
        <f aca="false">IF($D84=0,0,IF($H84="SL",SLN($D84,$E84,$G84)*IF(YEAR($F84)&lt;K$3,IF(YEAR($F84)+$G84=K$3,(MONTH($F84)-1)/12,IF(YEAR($F84)+$G84&lt;K$3,0,1)),IF(YEAR($F84)&gt;K$3,0,(12-MONTH($F84)+1)/12)),IF(YEAR($F84)&gt;K$3,0,VDB($D84,$E84,$G84,IF(YEAR($F84)=K$3,0,MIN($G84,(DATE(K$3,1,1)-$F84)/365)),MIN($G84,(DATE(K$3,12,31)-$F84)/365),$I84))))</f>
        <v>0</v>
      </c>
      <c r="L101" s="227" t="n">
        <f aca="false">IF($D84=0,0,IF($H84="SL",SLN($D84,$E84,$G84)*IF(YEAR($F84)&lt;L$3,IF(YEAR($F84)+$G84=L$3,(MONTH($F84)-1)/12,IF(YEAR($F84)+$G84&lt;L$3,0,1)),IF(YEAR($F84)&gt;L$3,0,(12-MONTH($F84)+1)/12)),IF(YEAR($F84)&gt;L$3,0,VDB($D84,$E84,$G84,IF(YEAR($F84)=L$3,0,MIN($G84,(DATE(L$3,1,1)-$F84)/365)),MIN($G84,(DATE(L$3,12,31)-$F84)/365),$I84))))</f>
        <v>0</v>
      </c>
      <c r="M101" s="227" t="n">
        <f aca="false">IF($D84=0,0,IF($H84="SL",SLN($D84,$E84,$G84)*IF(YEAR($F84)&lt;M$3,IF(YEAR($F84)+$G84=M$3,(MONTH($F84)-1)/12,IF(YEAR($F84)+$G84&lt;M$3,0,1)),IF(YEAR($F84)&gt;M$3,0,(12-MONTH($F84)+1)/12)),IF(YEAR($F84)&gt;M$3,0,VDB($D84,$E84,$G84,IF(YEAR($F84)=M$3,0,MIN($G84,(DATE(M$3,1,1)-$F84)/365)),MIN($G84,(DATE(M$3,12,31)-$F84)/365),$I84))))</f>
        <v>0</v>
      </c>
      <c r="N101" s="227" t="n">
        <f aca="false">IF($D84=0,0,IF($H84="SL",SLN($D84,$E84,$G84)*IF(YEAR($F84)&lt;N$3,IF(YEAR($F84)+$G84=N$3,(MONTH($F84)-1)/12,IF(YEAR($F84)+$G84&lt;N$3,0,1)),IF(YEAR($F84)&gt;N$3,0,(12-MONTH($F84)+1)/12)),IF(YEAR($F84)&gt;N$3,0,VDB($D84,$E84,$G84,IF(YEAR($F84)=N$3,0,MIN($G84,(DATE(N$3,1,1)-$F84)/365)),MIN($G84,(DATE(N$3,12,31)-$F84)/365),$I84))))</f>
        <v>0</v>
      </c>
      <c r="O101" s="227" t="n">
        <f aca="false">IF($D84=0,0,IF($H84="SL",SLN($D84,$E84,$G84)*IF(YEAR($F84)&lt;O$3,IF(YEAR($F84)+$G84=O$3,(MONTH($F84)-1)/12,IF(YEAR($F84)+$G84&lt;O$3,0,1)),IF(YEAR($F84)&gt;O$3,0,(12-MONTH($F84)+1)/12)),IF(YEAR($F84)&gt;O$3,0,VDB($D84,$E84,$G84,IF(YEAR($F84)=O$3,0,MIN($G84,(DATE(O$3,1,1)-$F84)/365)),MIN($G84,(DATE(O$3,12,31)-$F84)/365),$I84))))</f>
        <v>0</v>
      </c>
      <c r="P101" s="227" t="n">
        <f aca="false">IF($D84=0,0,IF($H84="SL",SLN($D84,$E84,$G84)*IF(YEAR($F84)&lt;P$3,IF(YEAR($F84)+$G84=P$3,(MONTH($F84)-1)/12,IF(YEAR($F84)+$G84&lt;P$3,0,1)),IF(YEAR($F84)&gt;P$3,0,(12-MONTH($F84)+1)/12)),IF(YEAR($F84)&gt;P$3,0,VDB($D84,$E84,$G84,IF(YEAR($F84)=P$3,0,MIN($G84,(DATE(P$3,1,1)-$F84)/365)),MIN($G84,(DATE(P$3,12,31)-$F84)/365),$I84))))</f>
        <v>0</v>
      </c>
      <c r="Q101" s="227" t="n">
        <f aca="false">IF($D84=0,0,IF($H84="SL",SLN($D84,$E84,$G84)*IF(YEAR($F84)&lt;Q$3,IF(YEAR($F84)+$G84=Q$3,(MONTH($F84)-1)/12,IF(YEAR($F84)+$G84&lt;Q$3,0,1)),IF(YEAR($F84)&gt;Q$3,0,(12-MONTH($F84)+1)/12)),IF(YEAR($F84)&gt;Q$3,0,VDB($D84,$E84,$G84,IF(YEAR($F84)=Q$3,0,MIN($G84,(DATE(Q$3,1,1)-$F84)/365)),MIN($G84,(DATE(Q$3,12,31)-$F84)/365),$I84))))</f>
        <v>0</v>
      </c>
      <c r="R101" s="227" t="n">
        <f aca="false">IF($D84=0,0,IF($H84="SL",SLN($D84,$E84,$G84)*IF(YEAR($F84)&lt;R$3,IF(YEAR($F84)+$G84=R$3,(MONTH($F84)-1)/12,IF(YEAR($F84)+$G84&lt;R$3,0,1)),IF(YEAR($F84)&gt;R$3,0,(12-MONTH($F84)+1)/12)),IF(YEAR($F84)&gt;R$3,0,VDB($D84,$E84,$G84,IF(YEAR($F84)=R$3,0,MIN($G84,(DATE(R$3,1,1)-$F84)/365)),MIN($G84,(DATE(R$3,12,31)-$F84)/365),$I84))))</f>
        <v>0</v>
      </c>
      <c r="S101" s="227" t="n">
        <f aca="false">IF($D84=0,0,IF($H84="SL",SLN($D84,$E84,$G84)*IF(YEAR($F84)&lt;S$3,IF(YEAR($F84)+$G84=S$3,(MONTH($F84)-1)/12,IF(YEAR($F84)+$G84&lt;S$3,0,1)),IF(YEAR($F84)&gt;S$3,0,(12-MONTH($F84)+1)/12)),IF(YEAR($F84)&gt;S$3,0,VDB($D84,$E84,$G84,IF(YEAR($F84)=S$3,0,MIN($G84,(DATE(S$3,1,1)-$F84)/365)),MIN($G84,(DATE(S$3,12,31)-$F84)/365),$I84))))</f>
        <v>0</v>
      </c>
      <c r="T101" s="227" t="n">
        <f aca="false">IF($D84=0,0,IF($H84="SL",SLN($D84,$E84,$G84)*IF(YEAR($F84)&lt;T$3,IF(YEAR($F84)+$G84=T$3,(MONTH($F84)-1)/12,IF(YEAR($F84)+$G84&lt;T$3,0,1)),IF(YEAR($F84)&gt;T$3,0,(12-MONTH($F84)+1)/12)),IF(YEAR($F84)&gt;T$3,0,VDB($D84,$E84,$G84,IF(YEAR($F84)=T$3,0,MIN($G84,(DATE(T$3,1,1)-$F84)/365)),MIN($G84,(DATE(T$3,12,31)-$F84)/365),$I84))))</f>
        <v>0</v>
      </c>
      <c r="U101" s="227" t="n">
        <f aca="false">IF($D84=0,0,IF($H84="SL",SLN($D84,$E84,$G84)*IF(YEAR($F84)&lt;U$3,IF(YEAR($F84)+$G84=U$3,(MONTH($F84)-1)/12,IF(YEAR($F84)+$G84&lt;U$3,0,1)),IF(YEAR($F84)&gt;U$3,0,(12-MONTH($F84)+1)/12)),IF(YEAR($F84)&gt;U$3,0,VDB($D84,$E84,$G84,IF(YEAR($F84)=U$3,0,MIN($G84,(DATE(U$3,1,1)-$F84)/365)),MIN($G84,(DATE(U$3,12,31)-$F84)/365),$I84))))</f>
        <v>0</v>
      </c>
      <c r="V101" s="227" t="n">
        <f aca="false">IF($D84=0,0,IF($H84="SL",SLN($D84,$E84,$G84)*IF(YEAR($F84)&lt;V$3,IF(YEAR($F84)+$G84=V$3,(MONTH($F84)-1)/12,IF(YEAR($F84)+$G84&lt;V$3,0,1)),IF(YEAR($F84)&gt;V$3,0,(12-MONTH($F84)+1)/12)),IF(YEAR($F84)&gt;V$3,0,VDB($D84,$E84,$G84,IF(YEAR($F84)=V$3,0,MIN($G84,(DATE(V$3,1,1)-$F84)/365)),MIN($G84,(DATE(V$3,12,31)-$F84)/365),$I84))))</f>
        <v>0</v>
      </c>
      <c r="W101" s="227" t="n">
        <f aca="false">IF($D84=0,0,IF($H84="SL",SLN($D84,$E84,$G84)*IF(YEAR($F84)&lt;W$3,IF(YEAR($F84)+$G84=W$3,(MONTH($F84)-1)/12,IF(YEAR($F84)+$G84&lt;W$3,0,1)),IF(YEAR($F84)&gt;W$3,0,(12-MONTH($F84)+1)/12)),IF(YEAR($F84)&gt;W$3,0,VDB($D84,$E84,$G84,IF(YEAR($F84)=W$3,0,MIN($G84,(DATE(W$3,1,1)-$F84)/365)),MIN($G84,(DATE(W$3,12,31)-$F84)/365),$I84))))</f>
        <v>0</v>
      </c>
      <c r="X101" s="227" t="n">
        <f aca="false">IF($D84=0,0,IF($H84="SL",SLN($D84,$E84,$G84)*IF(YEAR($F84)&lt;X$3,IF(YEAR($F84)+$G84=X$3,(MONTH($F84)-1)/12,IF(YEAR($F84)+$G84&lt;X$3,0,1)),IF(YEAR($F84)&gt;X$3,0,(12-MONTH($F84)+1)/12)),IF(YEAR($F84)&gt;X$3,0,VDB($D84,$E84,$G84,IF(YEAR($F84)=X$3,0,MIN($G84,(DATE(X$3,1,1)-$F84)/365)),MIN($G84,(DATE(X$3,12,31)-$F84)/365),$I84))))</f>
        <v>0</v>
      </c>
      <c r="Y101" s="227" t="n">
        <f aca="false">IF($D84=0,0,IF($H84="SL",SLN($D84,$E84,$G84)*IF(YEAR($F84)&lt;Y$3,IF(YEAR($F84)+$G84=Y$3,(MONTH($F84)-1)/12,IF(YEAR($F84)+$G84&lt;Y$3,0,1)),IF(YEAR($F84)&gt;Y$3,0,(12-MONTH($F84)+1)/12)),IF(YEAR($F84)&gt;Y$3,0,VDB($D84,$E84,$G84,IF(YEAR($F84)=Y$3,0,MIN($G84,(DATE(Y$3,1,1)-$F84)/365)),MIN($G84,(DATE(Y$3,12,31)-$F84)/365),$I84))))</f>
        <v>0</v>
      </c>
      <c r="Z101" s="227" t="n">
        <f aca="false">IF($D84=0,0,IF($H84="SL",SLN($D84,$E84,$G84)*IF(YEAR($F84)&lt;Z$3,IF(YEAR($F84)+$G84=Z$3,(MONTH($F84)-1)/12,IF(YEAR($F84)+$G84&lt;Z$3,0,1)),IF(YEAR($F84)&gt;Z$3,0,(12-MONTH($F84)+1)/12)),IF(YEAR($F84)&gt;Z$3,0,VDB($D84,$E84,$G84,IF(YEAR($F84)=Z$3,0,MIN($G84,(DATE(Z$3,1,1)-$F84)/365)),MIN($G84,(DATE(Z$3,12,31)-$F84)/365),$I84))))</f>
        <v>0</v>
      </c>
      <c r="AA101" s="227" t="n">
        <f aca="false">IF($D84=0,0,IF($H84="SL",SLN($D84,$E84,$G84)*IF(YEAR($F84)&lt;AA$3,IF(YEAR($F84)+$G84=AA$3,(MONTH($F84)-1)/12,IF(YEAR($F84)+$G84&lt;AA$3,0,1)),IF(YEAR($F84)&gt;AA$3,0,(12-MONTH($F84)+1)/12)),IF(YEAR($F84)&gt;AA$3,0,VDB($D84,$E84,$G84,IF(YEAR($F84)=AA$3,0,MIN($G84,(DATE(AA$3,1,1)-$F84)/365)),MIN($G84,(DATE(AA$3,12,31)-$F84)/365),$I84))))</f>
        <v>0</v>
      </c>
      <c r="AB101" s="227" t="n">
        <f aca="false">IF($D84=0,0,IF($H84="SL",SLN($D84,$E84,$G84)*IF(YEAR($F84)&lt;AB$3,IF(YEAR($F84)+$G84=AB$3,(MONTH($F84)-1)/12,IF(YEAR($F84)+$G84&lt;AB$3,0,1)),IF(YEAR($F84)&gt;AB$3,0,(12-MONTH($F84)+1)/12)),IF(YEAR($F84)&gt;AB$3,0,VDB($D84,$E84,$G84,IF(YEAR($F84)=AB$3,0,MIN($G84,(DATE(AB$3,1,1)-$F84)/365)),MIN($G84,(DATE(AB$3,12,31)-$F84)/365),$I84))))</f>
        <v>0</v>
      </c>
      <c r="AC101" s="227" t="n">
        <f aca="false">IF($D84=0,0,IF($H84="SL",SLN($D84,$E84,$G84)*IF(YEAR($F84)&lt;AC$3,IF(YEAR($F84)+$G84=AC$3,(MONTH($F84)-1)/12,IF(YEAR($F84)+$G84&lt;AC$3,0,1)),IF(YEAR($F84)&gt;AC$3,0,(12-MONTH($F84)+1)/12)),IF(YEAR($F84)&gt;AC$3,0,VDB($D84,$E84,$G84,IF(YEAR($F84)=AC$3,0,MIN($G84,(DATE(AC$3,1,1)-$F84)/365)),MIN($G84,(DATE(AC$3,12,31)-$F84)/365),$I84))))</f>
        <v>0</v>
      </c>
    </row>
    <row r="102" customFormat="false" ht="11.25" hidden="false" customHeight="false" outlineLevel="0" collapsed="false">
      <c r="C102" s="67" t="str">
        <f aca="false">+C85</f>
        <v>Asset 5</v>
      </c>
      <c r="I102" s="227" t="n">
        <f aca="false">IF(D85=0,0,IF($H85="SL",SLN($D85,$E85,$G85)*IF(YEAR($F85)&lt;(J$3-1),IF(YEAR($F85)+$G85=J$3-1,(MONTH($F85)-1)/12,IF(YEAR($F85)+$G85&lt;J$3-1,0,1)),IF(YEAR($F85)&gt;J$3-1,0,(12-MONTH($F85)+1)/12)),IF(YEAR($F85)&gt;J$3-1,0,VDB($D85,$E85,$G85,IF(YEAR($F85)=J$3-1,0,MIN($G85,(DATE(J$3-1,1,1)-$F85)/365)),MIN($G85,(DATE(J$3-1,12,31)-$F85)/365),$I85))))</f>
        <v>0</v>
      </c>
      <c r="J102" s="227" t="n">
        <f aca="false">IF($D85=0,0,IF($H85="SL",SLN($D85,$E85,$G85)*IF(YEAR($F85)&lt;J$3,IF(YEAR($F85)+$G85=J$3,(MONTH($F85)-1)/12,IF(YEAR($F85)+$G85&lt;J$3,0,1)),IF(YEAR($F85)&gt;J$3,0,(12-MONTH($F85)+1)/12)),IF(YEAR($F85)&gt;J$3,0,VDB($D85,$E85,$G85,IF(YEAR($F85)=J$3,0,MIN($G85,(DATE(J$3,1,1)-$F85)/365)),MIN($G85,(DATE(J$3,12,31)-$F85)/365),$I85))))</f>
        <v>0</v>
      </c>
      <c r="K102" s="227" t="n">
        <f aca="false">IF($D85=0,0,IF($H85="SL",SLN($D85,$E85,$G85)*IF(YEAR($F85)&lt;K$3,IF(YEAR($F85)+$G85=K$3,(MONTH($F85)-1)/12,IF(YEAR($F85)+$G85&lt;K$3,0,1)),IF(YEAR($F85)&gt;K$3,0,(12-MONTH($F85)+1)/12)),IF(YEAR($F85)&gt;K$3,0,VDB($D85,$E85,$G85,IF(YEAR($F85)=K$3,0,MIN($G85,(DATE(K$3,1,1)-$F85)/365)),MIN($G85,(DATE(K$3,12,31)-$F85)/365),$I85))))</f>
        <v>0</v>
      </c>
      <c r="L102" s="227" t="n">
        <f aca="false">IF($D85=0,0,IF($H85="SL",SLN($D85,$E85,$G85)*IF(YEAR($F85)&lt;L$3,IF(YEAR($F85)+$G85=L$3,(MONTH($F85)-1)/12,IF(YEAR($F85)+$G85&lt;L$3,0,1)),IF(YEAR($F85)&gt;L$3,0,(12-MONTH($F85)+1)/12)),IF(YEAR($F85)&gt;L$3,0,VDB($D85,$E85,$G85,IF(YEAR($F85)=L$3,0,MIN($G85,(DATE(L$3,1,1)-$F85)/365)),MIN($G85,(DATE(L$3,12,31)-$F85)/365),$I85))))</f>
        <v>0</v>
      </c>
      <c r="M102" s="227" t="n">
        <f aca="false">IF($D85=0,0,IF($H85="SL",SLN($D85,$E85,$G85)*IF(YEAR($F85)&lt;M$3,IF(YEAR($F85)+$G85=M$3,(MONTH($F85)-1)/12,IF(YEAR($F85)+$G85&lt;M$3,0,1)),IF(YEAR($F85)&gt;M$3,0,(12-MONTH($F85)+1)/12)),IF(YEAR($F85)&gt;M$3,0,VDB($D85,$E85,$G85,IF(YEAR($F85)=M$3,0,MIN($G85,(DATE(M$3,1,1)-$F85)/365)),MIN($G85,(DATE(M$3,12,31)-$F85)/365),$I85))))</f>
        <v>0</v>
      </c>
      <c r="N102" s="227" t="n">
        <f aca="false">IF($D85=0,0,IF($H85="SL",SLN($D85,$E85,$G85)*IF(YEAR($F85)&lt;N$3,IF(YEAR($F85)+$G85=N$3,(MONTH($F85)-1)/12,IF(YEAR($F85)+$G85&lt;N$3,0,1)),IF(YEAR($F85)&gt;N$3,0,(12-MONTH($F85)+1)/12)),IF(YEAR($F85)&gt;N$3,0,VDB($D85,$E85,$G85,IF(YEAR($F85)=N$3,0,MIN($G85,(DATE(N$3,1,1)-$F85)/365)),MIN($G85,(DATE(N$3,12,31)-$F85)/365),$I85))))</f>
        <v>0</v>
      </c>
      <c r="O102" s="227" t="n">
        <f aca="false">IF($D85=0,0,IF($H85="SL",SLN($D85,$E85,$G85)*IF(YEAR($F85)&lt;O$3,IF(YEAR($F85)+$G85=O$3,(MONTH($F85)-1)/12,IF(YEAR($F85)+$G85&lt;O$3,0,1)),IF(YEAR($F85)&gt;O$3,0,(12-MONTH($F85)+1)/12)),IF(YEAR($F85)&gt;O$3,0,VDB($D85,$E85,$G85,IF(YEAR($F85)=O$3,0,MIN($G85,(DATE(O$3,1,1)-$F85)/365)),MIN($G85,(DATE(O$3,12,31)-$F85)/365),$I85))))</f>
        <v>0</v>
      </c>
      <c r="P102" s="227" t="n">
        <f aca="false">IF($D85=0,0,IF($H85="SL",SLN($D85,$E85,$G85)*IF(YEAR($F85)&lt;P$3,IF(YEAR($F85)+$G85=P$3,(MONTH($F85)-1)/12,IF(YEAR($F85)+$G85&lt;P$3,0,1)),IF(YEAR($F85)&gt;P$3,0,(12-MONTH($F85)+1)/12)),IF(YEAR($F85)&gt;P$3,0,VDB($D85,$E85,$G85,IF(YEAR($F85)=P$3,0,MIN($G85,(DATE(P$3,1,1)-$F85)/365)),MIN($G85,(DATE(P$3,12,31)-$F85)/365),$I85))))</f>
        <v>0</v>
      </c>
      <c r="Q102" s="227" t="n">
        <f aca="false">IF($D85=0,0,IF($H85="SL",SLN($D85,$E85,$G85)*IF(YEAR($F85)&lt;Q$3,IF(YEAR($F85)+$G85=Q$3,(MONTH($F85)-1)/12,IF(YEAR($F85)+$G85&lt;Q$3,0,1)),IF(YEAR($F85)&gt;Q$3,0,(12-MONTH($F85)+1)/12)),IF(YEAR($F85)&gt;Q$3,0,VDB($D85,$E85,$G85,IF(YEAR($F85)=Q$3,0,MIN($G85,(DATE(Q$3,1,1)-$F85)/365)),MIN($G85,(DATE(Q$3,12,31)-$F85)/365),$I85))))</f>
        <v>0</v>
      </c>
      <c r="R102" s="227" t="n">
        <f aca="false">IF($D85=0,0,IF($H85="SL",SLN($D85,$E85,$G85)*IF(YEAR($F85)&lt;R$3,IF(YEAR($F85)+$G85=R$3,(MONTH($F85)-1)/12,IF(YEAR($F85)+$G85&lt;R$3,0,1)),IF(YEAR($F85)&gt;R$3,0,(12-MONTH($F85)+1)/12)),IF(YEAR($F85)&gt;R$3,0,VDB($D85,$E85,$G85,IF(YEAR($F85)=R$3,0,MIN($G85,(DATE(R$3,1,1)-$F85)/365)),MIN($G85,(DATE(R$3,12,31)-$F85)/365),$I85))))</f>
        <v>0</v>
      </c>
      <c r="S102" s="227" t="n">
        <f aca="false">IF($D85=0,0,IF($H85="SL",SLN($D85,$E85,$G85)*IF(YEAR($F85)&lt;S$3,IF(YEAR($F85)+$G85=S$3,(MONTH($F85)-1)/12,IF(YEAR($F85)+$G85&lt;S$3,0,1)),IF(YEAR($F85)&gt;S$3,0,(12-MONTH($F85)+1)/12)),IF(YEAR($F85)&gt;S$3,0,VDB($D85,$E85,$G85,IF(YEAR($F85)=S$3,0,MIN($G85,(DATE(S$3,1,1)-$F85)/365)),MIN($G85,(DATE(S$3,12,31)-$F85)/365),$I85))))</f>
        <v>0</v>
      </c>
      <c r="T102" s="227" t="n">
        <f aca="false">IF($D85=0,0,IF($H85="SL",SLN($D85,$E85,$G85)*IF(YEAR($F85)&lt;T$3,IF(YEAR($F85)+$G85=T$3,(MONTH($F85)-1)/12,IF(YEAR($F85)+$G85&lt;T$3,0,1)),IF(YEAR($F85)&gt;T$3,0,(12-MONTH($F85)+1)/12)),IF(YEAR($F85)&gt;T$3,0,VDB($D85,$E85,$G85,IF(YEAR($F85)=T$3,0,MIN($G85,(DATE(T$3,1,1)-$F85)/365)),MIN($G85,(DATE(T$3,12,31)-$F85)/365),$I85))))</f>
        <v>0</v>
      </c>
      <c r="U102" s="227" t="n">
        <f aca="false">IF($D85=0,0,IF($H85="SL",SLN($D85,$E85,$G85)*IF(YEAR($F85)&lt;U$3,IF(YEAR($F85)+$G85=U$3,(MONTH($F85)-1)/12,IF(YEAR($F85)+$G85&lt;U$3,0,1)),IF(YEAR($F85)&gt;U$3,0,(12-MONTH($F85)+1)/12)),IF(YEAR($F85)&gt;U$3,0,VDB($D85,$E85,$G85,IF(YEAR($F85)=U$3,0,MIN($G85,(DATE(U$3,1,1)-$F85)/365)),MIN($G85,(DATE(U$3,12,31)-$F85)/365),$I85))))</f>
        <v>0</v>
      </c>
      <c r="V102" s="227" t="n">
        <f aca="false">IF($D85=0,0,IF($H85="SL",SLN($D85,$E85,$G85)*IF(YEAR($F85)&lt;V$3,IF(YEAR($F85)+$G85=V$3,(MONTH($F85)-1)/12,IF(YEAR($F85)+$G85&lt;V$3,0,1)),IF(YEAR($F85)&gt;V$3,0,(12-MONTH($F85)+1)/12)),IF(YEAR($F85)&gt;V$3,0,VDB($D85,$E85,$G85,IF(YEAR($F85)=V$3,0,MIN($G85,(DATE(V$3,1,1)-$F85)/365)),MIN($G85,(DATE(V$3,12,31)-$F85)/365),$I85))))</f>
        <v>0</v>
      </c>
      <c r="W102" s="227" t="n">
        <f aca="false">IF($D85=0,0,IF($H85="SL",SLN($D85,$E85,$G85)*IF(YEAR($F85)&lt;W$3,IF(YEAR($F85)+$G85=W$3,(MONTH($F85)-1)/12,IF(YEAR($F85)+$G85&lt;W$3,0,1)),IF(YEAR($F85)&gt;W$3,0,(12-MONTH($F85)+1)/12)),IF(YEAR($F85)&gt;W$3,0,VDB($D85,$E85,$G85,IF(YEAR($F85)=W$3,0,MIN($G85,(DATE(W$3,1,1)-$F85)/365)),MIN($G85,(DATE(W$3,12,31)-$F85)/365),$I85))))</f>
        <v>0</v>
      </c>
      <c r="X102" s="227" t="n">
        <f aca="false">IF($D85=0,0,IF($H85="SL",SLN($D85,$E85,$G85)*IF(YEAR($F85)&lt;X$3,IF(YEAR($F85)+$G85=X$3,(MONTH($F85)-1)/12,IF(YEAR($F85)+$G85&lt;X$3,0,1)),IF(YEAR($F85)&gt;X$3,0,(12-MONTH($F85)+1)/12)),IF(YEAR($F85)&gt;X$3,0,VDB($D85,$E85,$G85,IF(YEAR($F85)=X$3,0,MIN($G85,(DATE(X$3,1,1)-$F85)/365)),MIN($G85,(DATE(X$3,12,31)-$F85)/365),$I85))))</f>
        <v>0</v>
      </c>
      <c r="Y102" s="227" t="n">
        <f aca="false">IF($D85=0,0,IF($H85="SL",SLN($D85,$E85,$G85)*IF(YEAR($F85)&lt;Y$3,IF(YEAR($F85)+$G85=Y$3,(MONTH($F85)-1)/12,IF(YEAR($F85)+$G85&lt;Y$3,0,1)),IF(YEAR($F85)&gt;Y$3,0,(12-MONTH($F85)+1)/12)),IF(YEAR($F85)&gt;Y$3,0,VDB($D85,$E85,$G85,IF(YEAR($F85)=Y$3,0,MIN($G85,(DATE(Y$3,1,1)-$F85)/365)),MIN($G85,(DATE(Y$3,12,31)-$F85)/365),$I85))))</f>
        <v>0</v>
      </c>
      <c r="Z102" s="227" t="n">
        <f aca="false">IF($D85=0,0,IF($H85="SL",SLN($D85,$E85,$G85)*IF(YEAR($F85)&lt;Z$3,IF(YEAR($F85)+$G85=Z$3,(MONTH($F85)-1)/12,IF(YEAR($F85)+$G85&lt;Z$3,0,1)),IF(YEAR($F85)&gt;Z$3,0,(12-MONTH($F85)+1)/12)),IF(YEAR($F85)&gt;Z$3,0,VDB($D85,$E85,$G85,IF(YEAR($F85)=Z$3,0,MIN($G85,(DATE(Z$3,1,1)-$F85)/365)),MIN($G85,(DATE(Z$3,12,31)-$F85)/365),$I85))))</f>
        <v>0</v>
      </c>
      <c r="AA102" s="227" t="n">
        <f aca="false">IF($D85=0,0,IF($H85="SL",SLN($D85,$E85,$G85)*IF(YEAR($F85)&lt;AA$3,IF(YEAR($F85)+$G85=AA$3,(MONTH($F85)-1)/12,IF(YEAR($F85)+$G85&lt;AA$3,0,1)),IF(YEAR($F85)&gt;AA$3,0,(12-MONTH($F85)+1)/12)),IF(YEAR($F85)&gt;AA$3,0,VDB($D85,$E85,$G85,IF(YEAR($F85)=AA$3,0,MIN($G85,(DATE(AA$3,1,1)-$F85)/365)),MIN($G85,(DATE(AA$3,12,31)-$F85)/365),$I85))))</f>
        <v>0</v>
      </c>
      <c r="AB102" s="227" t="n">
        <f aca="false">IF($D85=0,0,IF($H85="SL",SLN($D85,$E85,$G85)*IF(YEAR($F85)&lt;AB$3,IF(YEAR($F85)+$G85=AB$3,(MONTH($F85)-1)/12,IF(YEAR($F85)+$G85&lt;AB$3,0,1)),IF(YEAR($F85)&gt;AB$3,0,(12-MONTH($F85)+1)/12)),IF(YEAR($F85)&gt;AB$3,0,VDB($D85,$E85,$G85,IF(YEAR($F85)=AB$3,0,MIN($G85,(DATE(AB$3,1,1)-$F85)/365)),MIN($G85,(DATE(AB$3,12,31)-$F85)/365),$I85))))</f>
        <v>0</v>
      </c>
      <c r="AC102" s="227" t="n">
        <f aca="false">IF($D85=0,0,IF($H85="SL",SLN($D85,$E85,$G85)*IF(YEAR($F85)&lt;AC$3,IF(YEAR($F85)+$G85=AC$3,(MONTH($F85)-1)/12,IF(YEAR($F85)+$G85&lt;AC$3,0,1)),IF(YEAR($F85)&gt;AC$3,0,(12-MONTH($F85)+1)/12)),IF(YEAR($F85)&gt;AC$3,0,VDB($D85,$E85,$G85,IF(YEAR($F85)=AC$3,0,MIN($G85,(DATE(AC$3,1,1)-$F85)/365)),MIN($G85,(DATE(AC$3,12,31)-$F85)/365),$I85))))</f>
        <v>0</v>
      </c>
    </row>
    <row r="103" customFormat="false" ht="11.25" hidden="false" customHeight="false" outlineLevel="0" collapsed="false">
      <c r="B103" s="153" t="s">
        <v>462</v>
      </c>
      <c r="I103" s="189" t="n">
        <f aca="false">SUM(I98:I102)</f>
        <v>0</v>
      </c>
      <c r="J103" s="189" t="n">
        <f aca="false">SUM(J98:J102)</f>
        <v>0</v>
      </c>
      <c r="K103" s="189" t="n">
        <f aca="false">SUM(K98:K102)</f>
        <v>0</v>
      </c>
      <c r="L103" s="189" t="n">
        <f aca="false">SUM(L98:L102)</f>
        <v>0</v>
      </c>
      <c r="M103" s="189" t="n">
        <f aca="false">SUM(M98:M102)</f>
        <v>0</v>
      </c>
      <c r="N103" s="189" t="n">
        <f aca="false">SUM(N98:N102)</f>
        <v>0</v>
      </c>
      <c r="O103" s="189" t="n">
        <f aca="false">SUM(O98:O102)</f>
        <v>0</v>
      </c>
      <c r="P103" s="189" t="n">
        <f aca="false">SUM(P98:P102)</f>
        <v>0</v>
      </c>
      <c r="Q103" s="189" t="n">
        <f aca="false">SUM(Q98:Q102)</f>
        <v>0</v>
      </c>
      <c r="R103" s="189" t="n">
        <f aca="false">SUM(R98:R102)</f>
        <v>0</v>
      </c>
      <c r="S103" s="189" t="n">
        <f aca="false">SUM(S98:S102)</f>
        <v>0</v>
      </c>
      <c r="T103" s="189" t="n">
        <f aca="false">SUM(T98:T102)</f>
        <v>0</v>
      </c>
      <c r="U103" s="189" t="n">
        <f aca="false">SUM(U98:U102)</f>
        <v>0</v>
      </c>
      <c r="V103" s="189" t="n">
        <f aca="false">SUM(V98:V102)</f>
        <v>0</v>
      </c>
      <c r="W103" s="189" t="n">
        <f aca="false">SUM(W98:W102)</f>
        <v>0</v>
      </c>
      <c r="X103" s="189" t="n">
        <f aca="false">SUM(X98:X102)</f>
        <v>0</v>
      </c>
      <c r="Y103" s="189" t="n">
        <f aca="false">SUM(Y98:Y102)</f>
        <v>0</v>
      </c>
      <c r="Z103" s="189" t="n">
        <f aca="false">SUM(Z98:Z102)</f>
        <v>0</v>
      </c>
      <c r="AA103" s="189" t="n">
        <f aca="false">SUM(AA98:AA102)</f>
        <v>0</v>
      </c>
      <c r="AB103" s="189" t="n">
        <f aca="false">SUM(AB98:AB102)</f>
        <v>0</v>
      </c>
      <c r="AC103" s="189" t="n">
        <f aca="false">SUM(AC98:AC102)</f>
        <v>0</v>
      </c>
    </row>
    <row r="104" customFormat="false" ht="11.25" hidden="false" customHeight="false" outlineLevel="0" collapsed="false">
      <c r="I104" s="137"/>
      <c r="J104" s="137"/>
      <c r="K104" s="137"/>
      <c r="L104" s="137"/>
      <c r="M104" s="137"/>
      <c r="N104" s="137"/>
      <c r="O104" s="137"/>
      <c r="P104" s="137"/>
      <c r="Q104" s="137"/>
      <c r="R104" s="137"/>
      <c r="S104" s="137"/>
      <c r="T104" s="137"/>
      <c r="U104" s="137"/>
      <c r="V104" s="137"/>
      <c r="W104" s="137"/>
      <c r="X104" s="137"/>
      <c r="Y104" s="137"/>
      <c r="Z104" s="137"/>
      <c r="AA104" s="137"/>
      <c r="AB104" s="137"/>
      <c r="AC104" s="137"/>
    </row>
    <row r="105" customFormat="false" ht="11.25" hidden="false" customHeight="false" outlineLevel="0" collapsed="false">
      <c r="A105" s="153" t="s">
        <v>411</v>
      </c>
      <c r="I105" s="137"/>
      <c r="J105" s="137"/>
      <c r="K105" s="137"/>
      <c r="L105" s="137"/>
      <c r="M105" s="137"/>
      <c r="N105" s="137"/>
      <c r="O105" s="137"/>
      <c r="P105" s="137"/>
      <c r="Q105" s="137"/>
      <c r="R105" s="137"/>
      <c r="S105" s="137"/>
      <c r="T105" s="137"/>
      <c r="U105" s="137"/>
      <c r="V105" s="137"/>
      <c r="W105" s="137"/>
      <c r="X105" s="137"/>
      <c r="Y105" s="137"/>
      <c r="Z105" s="137"/>
      <c r="AA105" s="137"/>
      <c r="AB105" s="137"/>
      <c r="AC105" s="137"/>
    </row>
    <row r="106" customFormat="false" ht="11.25" hidden="false" customHeight="false" outlineLevel="0" collapsed="false">
      <c r="C106" s="67" t="str">
        <f aca="false">+C89</f>
        <v>Funding 1</v>
      </c>
      <c r="I106" s="227" t="n">
        <f aca="false">IF(D89=0,0,IF($H89="SL",SLN($D89,$E89,$G89)*IF(YEAR($F89)&lt;(J$3-1),IF(YEAR($F89)+$G89=J$3-1,(MONTH($F89)-1)/12,IF(YEAR($F89)+$G89&lt;J$3-1,0,1)),IF(YEAR($F89)&gt;J$3-1,0,(12-MONTH($F89)+1)/12)),IF(YEAR($F89)&gt;J$3-1,0,VDB($D89,$E89,$G89,IF(YEAR($F89)=J$3-1,0,MIN($G89,(DATE(J$3-1,1,1)-$F89)/365)),MIN($G89,(DATE(J$3-1,12,31)-$F89)/365),$I89))))</f>
        <v>0</v>
      </c>
      <c r="J106" s="227" t="n">
        <f aca="false">IF(D89=0,0,IF($H89="SL",SLN($D89,$E89,$G89)*IF(YEAR($F89)&lt;J$3,IF(YEAR($F89)+$G89=J$3,(MONTH($F89)-1)/12,IF(YEAR($F89)+$G89&lt;J$3,0,1)),IF(YEAR($F89)&gt;J$3,0,(12-MONTH($F89)+1)/12)),IF(YEAR($F89)&gt;J$3,0,VDB($D89,$E89,$G89,IF(YEAR($F89)=J$3,0,MIN($G89,(DATE(J$3,1,1)-$F89)/365)),MIN($G89,(DATE(J$3,12,31)-$F89)/365),$I89))))</f>
        <v>0</v>
      </c>
      <c r="K106" s="227" t="n">
        <f aca="false">IF(D89=0,0,IF($H89="SL",SLN($D89,$E89,$G89)*IF(YEAR($F89)&lt;K$3,IF(YEAR($F89)+$G89=K$3,(MONTH($F89)-1)/12,IF(YEAR($F89)+$G89&lt;K$3,0,1)),IF(YEAR($F89)&gt;K$3,0,(12-MONTH($F89)+1)/12)),IF(YEAR($F89)&gt;K$3,0,VDB($D89,$E89,$G89,IF(YEAR($F89)=K$3,0,MIN($G89,(DATE(K$3,1,1)-$F89)/365)),MIN($G89,(DATE(K$3,12,31)-$F89)/365),$I89))))</f>
        <v>0</v>
      </c>
      <c r="L106" s="227" t="n">
        <f aca="false">IF(D89=0,0,IF($H89="SL",SLN($D89,$E89,$G89)*IF(YEAR($F89)&lt;L$3,IF(YEAR($F89)+$G89=L$3,(MONTH($F89)-1)/12,IF(YEAR($F89)+$G89&lt;L$3,0,1)),IF(YEAR($F89)&gt;L$3,0,(12-MONTH($F89)+1)/12)),IF(YEAR($F89)&gt;L$3,0,VDB($D89,$E89,$G89,IF(YEAR($F89)=L$3,0,MIN($G89,(DATE(L$3,1,1)-$F89)/365)),MIN($G89,(DATE(L$3,12,31)-$F89)/365),$I89))))</f>
        <v>0</v>
      </c>
      <c r="M106" s="227" t="n">
        <f aca="false">IF(D89=0,0,IF($H89="SL",SLN($D89,$E89,$G89)*IF(YEAR($F89)&lt;M$3,IF(YEAR($F89)+$G89=M$3,(MONTH($F89)-1)/12,IF(YEAR($F89)+$G89&lt;M$3,0,1)),IF(YEAR($F89)&gt;M$3,0,(12-MONTH($F89)+1)/12)),IF(YEAR($F89)&gt;M$3,0,VDB($D89,$E89,$G89,IF(YEAR($F89)=M$3,0,MIN($G89,(DATE(M$3,1,1)-$F89)/365)),MIN($G89,(DATE(M$3,12,31)-$F89)/365),$I89))))</f>
        <v>0</v>
      </c>
      <c r="N106" s="227" t="n">
        <f aca="false">IF(D89=0,0,IF($H89="SL",SLN($D89,$E89,$G89)*IF(YEAR($F89)&lt;N$3,IF(YEAR($F89)+$G89=N$3,(MONTH($F89)-1)/12,IF(YEAR($F89)+$G89&lt;N$3,0,1)),IF(YEAR($F89)&gt;N$3,0,(12-MONTH($F89)+1)/12)),IF(YEAR($F89)&gt;N$3,0,VDB($D89,$E89,$G89,IF(YEAR($F89)=N$3,0,MIN($G89,(DATE(N$3,1,1)-$F89)/365)),MIN($G89,(DATE(N$3,12,31)-$F89)/365),$I89))))</f>
        <v>0</v>
      </c>
      <c r="O106" s="227" t="n">
        <f aca="false">IF(D89=0,0,IF($H89="SL",SLN($D89,$E89,$G89)*IF(YEAR($F89)&lt;O$3,IF(YEAR($F89)+$G89=O$3,(MONTH($F89)-1)/12,IF(YEAR($F89)+$G89&lt;O$3,0,1)),IF(YEAR($F89)&gt;O$3,0,(12-MONTH($F89)+1)/12)),IF(YEAR($F89)&gt;O$3,0,VDB($D89,$E89,$G89,IF(YEAR($F89)=O$3,0,MIN($G89,(DATE(O$3,1,1)-$F89)/365)),MIN($G89,(DATE(O$3,12,31)-$F89)/365),$I89))))</f>
        <v>0</v>
      </c>
      <c r="P106" s="227" t="n">
        <f aca="false">IF(D89=0,0,IF($H89="SL",SLN($D89,$E89,$G89)*IF(YEAR($F89)&lt;P$3,IF(YEAR($F89)+$G89=P$3,(MONTH($F89)-1)/12,IF(YEAR($F89)+$G89&lt;P$3,0,1)),IF(YEAR($F89)&gt;P$3,0,(12-MONTH($F89)+1)/12)),IF(YEAR($F89)&gt;P$3,0,VDB($D89,$E89,$G89,IF(YEAR($F89)=P$3,0,MIN($G89,(DATE(P$3,1,1)-$F89)/365)),MIN($G89,(DATE(P$3,12,31)-$F89)/365),$I89))))</f>
        <v>0</v>
      </c>
      <c r="Q106" s="227" t="n">
        <f aca="false">IF(D89=0,0,IF($H89="SL",SLN($D89,$E89,$G89)*IF(YEAR($F89)&lt;Q$3,IF(YEAR($F89)+$G89=Q$3,(MONTH($F89)-1)/12,IF(YEAR($F89)+$G89&lt;Q$3,0,1)),IF(YEAR($F89)&gt;Q$3,0,(12-MONTH($F89)+1)/12)),IF(YEAR($F89)&gt;Q$3,0,VDB($D89,$E89,$G89,IF(YEAR($F89)=Q$3,0,MIN($G89,(DATE(Q$3,1,1)-$F89)/365)),MIN($G89,(DATE(Q$3,12,31)-$F89)/365),$I89))))</f>
        <v>0</v>
      </c>
      <c r="R106" s="227" t="n">
        <f aca="false">IF(D89=0,0,IF($H89="SL",SLN($D89,$E89,$G89)*IF(YEAR($F89)&lt;R$3,IF(YEAR($F89)+$G89=R$3,(MONTH($F89)-1)/12,IF(YEAR($F89)+$G89&lt;R$3,0,1)),IF(YEAR($F89)&gt;R$3,0,(12-MONTH($F89)+1)/12)),IF(YEAR($F89)&gt;R$3,0,VDB($D89,$E89,$G89,IF(YEAR($F89)=R$3,0,MIN($G89,(DATE(R$3,1,1)-$F89)/365)),MIN($G89,(DATE(R$3,12,31)-$F89)/365),$I89))))</f>
        <v>0</v>
      </c>
      <c r="S106" s="227" t="n">
        <f aca="false">IF(D89=0,0,IF($H89="SL",SLN($D89,$E89,$G89)*IF(YEAR($F89)&lt;S$3,IF(YEAR($F89)+$G89=S$3,(MONTH($F89)-1)/12,IF(YEAR($F89)+$G89&lt;S$3,0,1)),IF(YEAR($F89)&gt;S$3,0,(12-MONTH($F89)+1)/12)),IF(YEAR($F89)&gt;S$3,0,VDB($D89,$E89,$G89,IF(YEAR($F89)=S$3,0,MIN($G89,(DATE(S$3,1,1)-$F89)/365)),MIN($G89,(DATE(S$3,12,31)-$F89)/365),$I89))))</f>
        <v>0</v>
      </c>
      <c r="T106" s="227" t="n">
        <f aca="false">IF(D89=0,0,IF($H89="SL",SLN($D89,$E89,$G89)*IF(YEAR($F89)&lt;T$3,IF(YEAR($F89)+$G89=T$3,(MONTH($F89)-1)/12,IF(YEAR($F89)+$G89&lt;T$3,0,1)),IF(YEAR($F89)&gt;T$3,0,(12-MONTH($F89)+1)/12)),IF(YEAR($F89)&gt;T$3,0,VDB($D89,$E89,$G89,IF(YEAR($F89)=T$3,0,MIN($G89,(DATE(T$3,1,1)-$F89)/365)),MIN($G89,(DATE(T$3,12,31)-$F89)/365),$I89))))</f>
        <v>0</v>
      </c>
      <c r="U106" s="227" t="n">
        <f aca="false">IF(D89=0,0,IF($H89="SL",SLN($D89,$E89,$G89)*IF(YEAR($F89)&lt;U$3,IF(YEAR($F89)+$G89=U$3,(MONTH($F89)-1)/12,IF(YEAR($F89)+$G89&lt;U$3,0,1)),IF(YEAR($F89)&gt;U$3,0,(12-MONTH($F89)+1)/12)),IF(YEAR($F89)&gt;U$3,0,VDB($D89,$E89,$G89,IF(YEAR($F89)=U$3,0,MIN($G89,(DATE(U$3,1,1)-$F89)/365)),MIN($G89,(DATE(U$3,12,31)-$F89)/365),$I89))))</f>
        <v>0</v>
      </c>
      <c r="V106" s="227" t="n">
        <f aca="false">IF(D89=0,0,IF($H89="SL",SLN($D89,$E89,$G89)*IF(YEAR($F89)&lt;V$3,IF(YEAR($F89)+$G89=V$3,(MONTH($F89)-1)/12,IF(YEAR($F89)+$G89&lt;V$3,0,1)),IF(YEAR($F89)&gt;V$3,0,(12-MONTH($F89)+1)/12)),IF(YEAR($F89)&gt;V$3,0,VDB($D89,$E89,$G89,IF(YEAR($F89)=V$3,0,MIN($G89,(DATE(V$3,1,1)-$F89)/365)),MIN($G89,(DATE(V$3,12,31)-$F89)/365),$I89))))</f>
        <v>0</v>
      </c>
      <c r="W106" s="227" t="n">
        <f aca="false">IF(D89=0,0,IF($H89="SL",SLN($D89,$E89,$G89)*IF(YEAR($F89)&lt;W$3,IF(YEAR($F89)+$G89=W$3,(MONTH($F89)-1)/12,IF(YEAR($F89)+$G89&lt;W$3,0,1)),IF(YEAR($F89)&gt;W$3,0,(12-MONTH($F89)+1)/12)),IF(YEAR($F89)&gt;W$3,0,VDB($D89,$E89,$G89,IF(YEAR($F89)=W$3,0,MIN($G89,(DATE(W$3,1,1)-$F89)/365)),MIN($G89,(DATE(W$3,12,31)-$F89)/365),$I89))))</f>
        <v>0</v>
      </c>
      <c r="X106" s="227" t="n">
        <f aca="false">IF(D89=0,0,IF($H89="SL",SLN($D89,$E89,$G89)*IF(YEAR($F89)&lt;X$3,IF(YEAR($F89)+$G89=X$3,(MONTH($F89)-1)/12,IF(YEAR($F89)+$G89&lt;X$3,0,1)),IF(YEAR($F89)&gt;X$3,0,(12-MONTH($F89)+1)/12)),IF(YEAR($F89)&gt;X$3,0,VDB($D89,$E89,$G89,IF(YEAR($F89)=X$3,0,MIN($G89,(DATE(X$3,1,1)-$F89)/365)),MIN($G89,(DATE(X$3,12,31)-$F89)/365),$I89))))</f>
        <v>0</v>
      </c>
      <c r="Y106" s="227" t="n">
        <f aca="false">IF($D89=0,0,IF($H89="SL",SLN($D89,$E89,$G89)*IF(YEAR($F89)&lt;Y$3,IF(YEAR($F89)+$G89=Y$3,(MONTH($F89)-1)/12,IF(YEAR($F89)+$G89&lt;Y$3,0,1)),IF(YEAR($F89)&gt;Y$3,0,(12-MONTH($F89)+1)/12)),IF(YEAR($F89)&gt;Y$3,0,VDB($D89,$E89,$G89,IF(YEAR($F89)=Y$3,0,MIN($G89,(DATE(Y$3,1,1)-$F89)/365)),MIN($G89,(DATE(Y$3,12,31)-$F89)/365),$I89))))</f>
        <v>0</v>
      </c>
      <c r="Z106" s="227" t="n">
        <f aca="false">IF($D89=0,0,IF($H89="SL",SLN($D89,$E89,$G89)*IF(YEAR($F89)&lt;Z$3,IF(YEAR($F89)+$G89=Z$3,(MONTH($F89)-1)/12,IF(YEAR($F89)+$G89&lt;Z$3,0,1)),IF(YEAR($F89)&gt;Z$3,0,(12-MONTH($F89)+1)/12)),IF(YEAR($F89)&gt;Z$3,0,VDB($D89,$E89,$G89,IF(YEAR($F89)=Z$3,0,MIN($G89,(DATE(Z$3,1,1)-$F89)/365)),MIN($G89,(DATE(Z$3,12,31)-$F89)/365),$I89))))</f>
        <v>0</v>
      </c>
      <c r="AA106" s="227" t="n">
        <f aca="false">IF($D89=0,0,IF($H89="SL",SLN($D89,$E89,$G89)*IF(YEAR($F89)&lt;AA$3,IF(YEAR($F89)+$G89=AA$3,(MONTH($F89)-1)/12,IF(YEAR($F89)+$G89&lt;AA$3,0,1)),IF(YEAR($F89)&gt;AA$3,0,(12-MONTH($F89)+1)/12)),IF(YEAR($F89)&gt;AA$3,0,VDB($D89,$E89,$G89,IF(YEAR($F89)=AA$3,0,MIN($G89,(DATE(AA$3,1,1)-$F89)/365)),MIN($G89,(DATE(AA$3,12,31)-$F89)/365),$I89))))</f>
        <v>0</v>
      </c>
      <c r="AB106" s="227" t="n">
        <f aca="false">IF($D89=0,0,IF($H89="SL",SLN($D89,$E89,$G89)*IF(YEAR($F89)&lt;AB$3,IF(YEAR($F89)+$G89=AB$3,(MONTH($F89)-1)/12,IF(YEAR($F89)+$G89&lt;AB$3,0,1)),IF(YEAR($F89)&gt;AB$3,0,(12-MONTH($F89)+1)/12)),IF(YEAR($F89)&gt;AB$3,0,VDB($D89,$E89,$G89,IF(YEAR($F89)=AB$3,0,MIN($G89,(DATE(AB$3,1,1)-$F89)/365)),MIN($G89,(DATE(AB$3,12,31)-$F89)/365),$I89))))</f>
        <v>0</v>
      </c>
      <c r="AC106" s="227" t="n">
        <f aca="false">IF($D89=0,0,IF($H89="SL",SLN($D89,$E89,$G89)*IF(YEAR($F89)&lt;AC$3,IF(YEAR($F89)+$G89=AC$3,(MONTH($F89)-1)/12,IF(YEAR($F89)+$G89&lt;AC$3,0,1)),IF(YEAR($F89)&gt;AC$3,0,(12-MONTH($F89)+1)/12)),IF(YEAR($F89)&gt;AC$3,0,VDB($D89,$E89,$G89,IF(YEAR($F89)=AC$3,0,MIN($G89,(DATE(AC$3,1,1)-$F89)/365)),MIN($G89,(DATE(AC$3,12,31)-$F89)/365),$I89))))</f>
        <v>0</v>
      </c>
    </row>
    <row r="107" customFormat="false" ht="11.25" hidden="false" customHeight="false" outlineLevel="0" collapsed="false">
      <c r="A107" s="43"/>
      <c r="C107" s="67" t="str">
        <f aca="false">+C90</f>
        <v>Funding 2</v>
      </c>
      <c r="I107" s="227" t="n">
        <f aca="false">IF(D90=0,0,IF($H90="SL",SLN($D90,$E90,$G90)*IF(YEAR($F90)&lt;(J$3-1),IF(YEAR($F90)+$G90=J$3-1,(MONTH($F90)-1)/12,IF(YEAR($F90)+$G90&lt;J$3-1,0,1)),IF(YEAR($F90)&gt;J$3-1,0,(12-MONTH($F90)+1)/12)),IF(YEAR($F90)&gt;J$3-1,0,VDB($D90,$E90,$G90,IF(YEAR($F90)=J$3-1,0,MIN($G90,(DATE(J$3-1,1,1)-$F90)/365)),MIN($G90,(DATE(J$3-1,12,31)-$F90)/365),$I90))))</f>
        <v>0</v>
      </c>
      <c r="J107" s="227" t="n">
        <f aca="false">IF(D90=0,0,IF($H90="SL",SLN($D90,$E90,$G90)*IF(YEAR($F90)&lt;J$3,IF(YEAR($F90)+$G90=J$3,(MONTH($F90)-1)/12,IF(YEAR($F90)+$G90&lt;J$3,0,1)),IF(YEAR($F90)&gt;J$3,0,(12-MONTH($F90)+1)/12)),IF(YEAR($F90)&gt;J$3,0,VDB($D90,$E90,$G90,IF(YEAR($F90)=J$3,0,MIN($G90,(DATE(J$3,1,1)-$F90)/365)),MIN($G90,(DATE(J$3,12,31)-$F90)/365),$I90))))</f>
        <v>0</v>
      </c>
      <c r="K107" s="227" t="n">
        <f aca="false">IF(D90=0,0,IF($H90="SL",SLN($D90,$E90,$G90)*IF(YEAR($F90)&lt;K$3,IF(YEAR($F90)+$G90=K$3,(MONTH($F90)-1)/12,IF(YEAR($F90)+$G90&lt;K$3,0,1)),IF(YEAR($F90)&gt;K$3,0,(12-MONTH($F90)+1)/12)),IF(YEAR($F90)&gt;K$3,0,VDB($D90,$E90,$G90,IF(YEAR($F90)=K$3,0,MIN($G90,(DATE(K$3,1,1)-$F90)/365)),MIN($G90,(DATE(K$3,12,31)-$F90)/365),$I90))))</f>
        <v>0</v>
      </c>
      <c r="L107" s="227" t="n">
        <f aca="false">IF(D90=0,0,IF($H90="SL",SLN($D90,$E90,$G90)*IF(YEAR($F90)&lt;L$3,IF(YEAR($F90)+$G90=L$3,(MONTH($F90)-1)/12,IF(YEAR($F90)+$G90&lt;L$3,0,1)),IF(YEAR($F90)&gt;L$3,0,(12-MONTH($F90)+1)/12)),IF(YEAR($F90)&gt;L$3,0,VDB($D90,$E90,$G90,IF(YEAR($F90)=L$3,0,MIN($G90,(DATE(L$3,1,1)-$F90)/365)),MIN($G90,(DATE(L$3,12,31)-$F90)/365),$I90))))</f>
        <v>0</v>
      </c>
      <c r="M107" s="227" t="n">
        <f aca="false">IF(D90=0,0,IF($H90="SL",SLN($D90,$E90,$G90)*IF(YEAR($F90)&lt;M$3,IF(YEAR($F90)+$G90=M$3,(MONTH($F90)-1)/12,IF(YEAR($F90)+$G90&lt;M$3,0,1)),IF(YEAR($F90)&gt;M$3,0,(12-MONTH($F90)+1)/12)),IF(YEAR($F90)&gt;M$3,0,VDB($D90,$E90,$G90,IF(YEAR($F90)=M$3,0,MIN($G90,(DATE(M$3,1,1)-$F90)/365)),MIN($G90,(DATE(M$3,12,31)-$F90)/365),$I90))))</f>
        <v>0</v>
      </c>
      <c r="N107" s="227" t="n">
        <f aca="false">IF(D90=0,0,IF($H90="SL",SLN($D90,$E90,$G90)*IF(YEAR($F90)&lt;N$3,IF(YEAR($F90)+$G90=N$3,(MONTH($F90)-1)/12,IF(YEAR($F90)+$G90&lt;N$3,0,1)),IF(YEAR($F90)&gt;N$3,0,(12-MONTH($F90)+1)/12)),IF(YEAR($F90)&gt;N$3,0,VDB($D90,$E90,$G90,IF(YEAR($F90)=N$3,0,MIN($G90,(DATE(N$3,1,1)-$F90)/365)),MIN($G90,(DATE(N$3,12,31)-$F90)/365),$I90))))</f>
        <v>0</v>
      </c>
      <c r="O107" s="227" t="n">
        <f aca="false">IF(D90=0,0,IF($H90="SL",SLN($D90,$E90,$G90)*IF(YEAR($F90)&lt;O$3,IF(YEAR($F90)+$G90=O$3,(MONTH($F90)-1)/12,IF(YEAR($F90)+$G90&lt;O$3,0,1)),IF(YEAR($F90)&gt;O$3,0,(12-MONTH($F90)+1)/12)),IF(YEAR($F90)&gt;O$3,0,VDB($D90,$E90,$G90,IF(YEAR($F90)=O$3,0,MIN($G90,(DATE(O$3,1,1)-$F90)/365)),MIN($G90,(DATE(O$3,12,31)-$F90)/365),$I90))))</f>
        <v>0</v>
      </c>
      <c r="P107" s="227" t="n">
        <f aca="false">IF(D90=0,0,IF($H90="SL",SLN($D90,$E90,$G90)*IF(YEAR($F90)&lt;P$3,IF(YEAR($F90)+$G90=P$3,(MONTH($F90)-1)/12,IF(YEAR($F90)+$G90&lt;P$3,0,1)),IF(YEAR($F90)&gt;P$3,0,(12-MONTH($F90)+1)/12)),IF(YEAR($F90)&gt;P$3,0,VDB($D90,$E90,$G90,IF(YEAR($F90)=P$3,0,MIN($G90,(DATE(P$3,1,1)-$F90)/365)),MIN($G90,(DATE(P$3,12,31)-$F90)/365),$I90))))</f>
        <v>0</v>
      </c>
      <c r="Q107" s="227" t="n">
        <f aca="false">IF(D90=0,0,IF($H90="SL",SLN($D90,$E90,$G90)*IF(YEAR($F90)&lt;Q$3,IF(YEAR($F90)+$G90=Q$3,(MONTH($F90)-1)/12,IF(YEAR($F90)+$G90&lt;Q$3,0,1)),IF(YEAR($F90)&gt;Q$3,0,(12-MONTH($F90)+1)/12)),IF(YEAR($F90)&gt;Q$3,0,VDB($D90,$E90,$G90,IF(YEAR($F90)=Q$3,0,MIN($G90,(DATE(Q$3,1,1)-$F90)/365)),MIN($G90,(DATE(Q$3,12,31)-$F90)/365),$I90))))</f>
        <v>0</v>
      </c>
      <c r="R107" s="227" t="n">
        <f aca="false">IF(D90=0,0,IF($H90="SL",SLN($D90,$E90,$G90)*IF(YEAR($F90)&lt;R$3,IF(YEAR($F90)+$G90=R$3,(MONTH($F90)-1)/12,IF(YEAR($F90)+$G90&lt;R$3,0,1)),IF(YEAR($F90)&gt;R$3,0,(12-MONTH($F90)+1)/12)),IF(YEAR($F90)&gt;R$3,0,VDB($D90,$E90,$G90,IF(YEAR($F90)=R$3,0,MIN($G90,(DATE(R$3,1,1)-$F90)/365)),MIN($G90,(DATE(R$3,12,31)-$F90)/365),$I90))))</f>
        <v>0</v>
      </c>
      <c r="S107" s="227" t="n">
        <f aca="false">IF(D90=0,0,IF($H90="SL",SLN($D90,$E90,$G90)*IF(YEAR($F90)&lt;S$3,IF(YEAR($F90)+$G90=S$3,(MONTH($F90)-1)/12,IF(YEAR($F90)+$G90&lt;S$3,0,1)),IF(YEAR($F90)&gt;S$3,0,(12-MONTH($F90)+1)/12)),IF(YEAR($F90)&gt;S$3,0,VDB($D90,$E90,$G90,IF(YEAR($F90)=S$3,0,MIN($G90,(DATE(S$3,1,1)-$F90)/365)),MIN($G90,(DATE(S$3,12,31)-$F90)/365),$I90))))</f>
        <v>0</v>
      </c>
      <c r="T107" s="227" t="n">
        <f aca="false">IF(D90=0,0,IF($H90="SL",SLN($D90,$E90,$G90)*IF(YEAR($F90)&lt;T$3,IF(YEAR($F90)+$G90=T$3,(MONTH($F90)-1)/12,IF(YEAR($F90)+$G90&lt;T$3,0,1)),IF(YEAR($F90)&gt;T$3,0,(12-MONTH($F90)+1)/12)),IF(YEAR($F90)&gt;T$3,0,VDB($D90,$E90,$G90,IF(YEAR($F90)=T$3,0,MIN($G90,(DATE(T$3,1,1)-$F90)/365)),MIN($G90,(DATE(T$3,12,31)-$F90)/365),$I90))))</f>
        <v>0</v>
      </c>
      <c r="U107" s="227" t="n">
        <f aca="false">IF(D90=0,0,IF($H90="SL",SLN($D90,$E90,$G90)*IF(YEAR($F90)&lt;U$3,IF(YEAR($F90)+$G90=U$3,(MONTH($F90)-1)/12,IF(YEAR($F90)+$G90&lt;U$3,0,1)),IF(YEAR($F90)&gt;U$3,0,(12-MONTH($F90)+1)/12)),IF(YEAR($F90)&gt;U$3,0,VDB($D90,$E90,$G90,IF(YEAR($F90)=U$3,0,MIN($G90,(DATE(U$3,1,1)-$F90)/365)),MIN($G90,(DATE(U$3,12,31)-$F90)/365),$I90))))</f>
        <v>0</v>
      </c>
      <c r="V107" s="227" t="n">
        <f aca="false">IF(D90=0,0,IF($H90="SL",SLN($D90,$E90,$G90)*IF(YEAR($F90)&lt;V$3,IF(YEAR($F90)+$G90=V$3,(MONTH($F90)-1)/12,IF(YEAR($F90)+$G90&lt;V$3,0,1)),IF(YEAR($F90)&gt;V$3,0,(12-MONTH($F90)+1)/12)),IF(YEAR($F90)&gt;V$3,0,VDB($D90,$E90,$G90,IF(YEAR($F90)=V$3,0,MIN($G90,(DATE(V$3,1,1)-$F90)/365)),MIN($G90,(DATE(V$3,12,31)-$F90)/365),$I90))))</f>
        <v>0</v>
      </c>
      <c r="W107" s="227" t="n">
        <f aca="false">IF(D90=0,0,IF($H90="SL",SLN($D90,$E90,$G90)*IF(YEAR($F90)&lt;W$3,IF(YEAR($F90)+$G90=W$3,(MONTH($F90)-1)/12,IF(YEAR($F90)+$G90&lt;W$3,0,1)),IF(YEAR($F90)&gt;W$3,0,(12-MONTH($F90)+1)/12)),IF(YEAR($F90)&gt;W$3,0,VDB($D90,$E90,$G90,IF(YEAR($F90)=W$3,0,MIN($G90,(DATE(W$3,1,1)-$F90)/365)),MIN($G90,(DATE(W$3,12,31)-$F90)/365),$I90))))</f>
        <v>0</v>
      </c>
      <c r="X107" s="227" t="n">
        <f aca="false">IF(D90=0,0,IF($H90="SL",SLN($D90,$E90,$G90)*IF(YEAR($F90)&lt;X$3,IF(YEAR($F90)+$G90=X$3,(MONTH($F90)-1)/12,IF(YEAR($F90)+$G90&lt;X$3,0,1)),IF(YEAR($F90)&gt;X$3,0,(12-MONTH($F90)+1)/12)),IF(YEAR($F90)&gt;X$3,0,VDB($D90,$E90,$G90,IF(YEAR($F90)=X$3,0,MIN($G90,(DATE(X$3,1,1)-$F90)/365)),MIN($G90,(DATE(X$3,12,31)-$F90)/365),$I90))))</f>
        <v>0</v>
      </c>
      <c r="Y107" s="227" t="n">
        <f aca="false">IF($D90=0,0,IF($H90="SL",SLN($D90,$E90,$G90)*IF(YEAR($F90)&lt;Y$3,IF(YEAR($F90)+$G90=Y$3,(MONTH($F90)-1)/12,IF(YEAR($F90)+$G90&lt;Y$3,0,1)),IF(YEAR($F90)&gt;Y$3,0,(12-MONTH($F90)+1)/12)),IF(YEAR($F90)&gt;Y$3,0,VDB($D90,$E90,$G90,IF(YEAR($F90)=Y$3,0,MIN($G90,(DATE(Y$3,1,1)-$F90)/365)),MIN($G90,(DATE(Y$3,12,31)-$F90)/365),$I90))))</f>
        <v>0</v>
      </c>
      <c r="Z107" s="227" t="n">
        <f aca="false">IF($D90=0,0,IF($H90="SL",SLN($D90,$E90,$G90)*IF(YEAR($F90)&lt;Z$3,IF(YEAR($F90)+$G90=Z$3,(MONTH($F90)-1)/12,IF(YEAR($F90)+$G90&lt;Z$3,0,1)),IF(YEAR($F90)&gt;Z$3,0,(12-MONTH($F90)+1)/12)),IF(YEAR($F90)&gt;Z$3,0,VDB($D90,$E90,$G90,IF(YEAR($F90)=Z$3,0,MIN($G90,(DATE(Z$3,1,1)-$F90)/365)),MIN($G90,(DATE(Z$3,12,31)-$F90)/365),$I90))))</f>
        <v>0</v>
      </c>
      <c r="AA107" s="227" t="n">
        <f aca="false">IF($D90=0,0,IF($H90="SL",SLN($D90,$E90,$G90)*IF(YEAR($F90)&lt;AA$3,IF(YEAR($F90)+$G90=AA$3,(MONTH($F90)-1)/12,IF(YEAR($F90)+$G90&lt;AA$3,0,1)),IF(YEAR($F90)&gt;AA$3,0,(12-MONTH($F90)+1)/12)),IF(YEAR($F90)&gt;AA$3,0,VDB($D90,$E90,$G90,IF(YEAR($F90)=AA$3,0,MIN($G90,(DATE(AA$3,1,1)-$F90)/365)),MIN($G90,(DATE(AA$3,12,31)-$F90)/365),$I90))))</f>
        <v>0</v>
      </c>
      <c r="AB107" s="227" t="n">
        <f aca="false">IF($D90=0,0,IF($H90="SL",SLN($D90,$E90,$G90)*IF(YEAR($F90)&lt;AB$3,IF(YEAR($F90)+$G90=AB$3,(MONTH($F90)-1)/12,IF(YEAR($F90)+$G90&lt;AB$3,0,1)),IF(YEAR($F90)&gt;AB$3,0,(12-MONTH($F90)+1)/12)),IF(YEAR($F90)&gt;AB$3,0,VDB($D90,$E90,$G90,IF(YEAR($F90)=AB$3,0,MIN($G90,(DATE(AB$3,1,1)-$F90)/365)),MIN($G90,(DATE(AB$3,12,31)-$F90)/365),$I90))))</f>
        <v>0</v>
      </c>
      <c r="AC107" s="227" t="n">
        <f aca="false">IF($D90=0,0,IF($H90="SL",SLN($D90,$E90,$G90)*IF(YEAR($F90)&lt;AC$3,IF(YEAR($F90)+$G90=AC$3,(MONTH($F90)-1)/12,IF(YEAR($F90)+$G90&lt;AC$3,0,1)),IF(YEAR($F90)&gt;AC$3,0,(12-MONTH($F90)+1)/12)),IF(YEAR($F90)&gt;AC$3,0,VDB($D90,$E90,$G90,IF(YEAR($F90)=AC$3,0,MIN($G90,(DATE(AC$3,1,1)-$F90)/365)),MIN($G90,(DATE(AC$3,12,31)-$F90)/365),$I90))))</f>
        <v>0</v>
      </c>
    </row>
    <row r="108" customFormat="false" ht="11.25" hidden="false" customHeight="false" outlineLevel="0" collapsed="false">
      <c r="A108" s="43"/>
      <c r="B108" s="153" t="s">
        <v>463</v>
      </c>
      <c r="I108" s="228" t="n">
        <f aca="false">+I107+I106</f>
        <v>0</v>
      </c>
      <c r="J108" s="228" t="n">
        <f aca="false">+J107+J106</f>
        <v>0</v>
      </c>
      <c r="K108" s="228" t="n">
        <f aca="false">+K107+K106</f>
        <v>0</v>
      </c>
      <c r="L108" s="228" t="n">
        <f aca="false">+L107+L106</f>
        <v>0</v>
      </c>
      <c r="M108" s="228" t="n">
        <f aca="false">+M107+M106</f>
        <v>0</v>
      </c>
      <c r="N108" s="228" t="n">
        <f aca="false">+N107+N106</f>
        <v>0</v>
      </c>
      <c r="O108" s="228" t="n">
        <f aca="false">+O107+O106</f>
        <v>0</v>
      </c>
      <c r="P108" s="228" t="n">
        <f aca="false">+P107+P106</f>
        <v>0</v>
      </c>
      <c r="Q108" s="228" t="n">
        <f aca="false">+Q107+Q106</f>
        <v>0</v>
      </c>
      <c r="R108" s="228" t="n">
        <f aca="false">+R107+R106</f>
        <v>0</v>
      </c>
      <c r="S108" s="228" t="n">
        <f aca="false">+S107+S106</f>
        <v>0</v>
      </c>
      <c r="T108" s="228" t="n">
        <f aca="false">+T107+T106</f>
        <v>0</v>
      </c>
      <c r="U108" s="228" t="n">
        <f aca="false">+U107+U106</f>
        <v>0</v>
      </c>
      <c r="V108" s="228" t="n">
        <f aca="false">+V107+V106</f>
        <v>0</v>
      </c>
      <c r="W108" s="228" t="n">
        <f aca="false">+W107+W106</f>
        <v>0</v>
      </c>
      <c r="X108" s="228" t="n">
        <f aca="false">+X107+X106</f>
        <v>0</v>
      </c>
      <c r="Y108" s="228" t="n">
        <f aca="false">+Y107+Y106</f>
        <v>0</v>
      </c>
      <c r="Z108" s="228" t="n">
        <f aca="false">+Z107+Z106</f>
        <v>0</v>
      </c>
      <c r="AA108" s="228" t="n">
        <f aca="false">+AA107+AA106</f>
        <v>0</v>
      </c>
      <c r="AB108" s="228" t="n">
        <f aca="false">+AB107+AB106</f>
        <v>0</v>
      </c>
      <c r="AC108" s="228" t="n">
        <f aca="false">+AC107+AC106</f>
        <v>0</v>
      </c>
    </row>
    <row r="109" customFormat="false" ht="11.25" hidden="false" customHeight="false" outlineLevel="0" collapsed="false">
      <c r="A109" s="43"/>
      <c r="I109" s="227"/>
      <c r="J109" s="227"/>
      <c r="K109" s="227"/>
      <c r="L109" s="227"/>
      <c r="M109" s="227"/>
      <c r="N109" s="227"/>
      <c r="O109" s="227"/>
      <c r="P109" s="227"/>
      <c r="Q109" s="227"/>
      <c r="R109" s="227"/>
      <c r="S109" s="227"/>
      <c r="T109" s="227"/>
      <c r="U109" s="227"/>
      <c r="V109" s="227"/>
      <c r="W109" s="227"/>
      <c r="X109" s="227"/>
      <c r="Y109" s="227"/>
      <c r="Z109" s="227"/>
      <c r="AA109" s="227"/>
      <c r="AB109" s="227"/>
      <c r="AC109" s="227"/>
    </row>
    <row r="110" customFormat="false" ht="11.25" hidden="false" customHeight="false" outlineLevel="0" collapsed="false">
      <c r="A110" s="153" t="s">
        <v>464</v>
      </c>
      <c r="I110" s="137" t="n">
        <f aca="false">+I108+I103</f>
        <v>0</v>
      </c>
      <c r="J110" s="137" t="n">
        <f aca="false">SUM(J103:J107)</f>
        <v>0</v>
      </c>
      <c r="K110" s="137" t="n">
        <f aca="false">SUM(K103:K107)</f>
        <v>0</v>
      </c>
      <c r="L110" s="137" t="n">
        <f aca="false">SUM(L103:L107)</f>
        <v>0</v>
      </c>
      <c r="M110" s="137" t="n">
        <f aca="false">SUM(M103:M107)</f>
        <v>0</v>
      </c>
      <c r="N110" s="137" t="n">
        <f aca="false">SUM(N103:N107)</f>
        <v>0</v>
      </c>
      <c r="O110" s="137" t="n">
        <f aca="false">SUM(O103:O107)</f>
        <v>0</v>
      </c>
      <c r="P110" s="137" t="n">
        <f aca="false">SUM(P103:P107)</f>
        <v>0</v>
      </c>
      <c r="Q110" s="137" t="n">
        <f aca="false">SUM(Q103:Q107)</f>
        <v>0</v>
      </c>
      <c r="R110" s="137" t="n">
        <f aca="false">SUM(R103:R107)</f>
        <v>0</v>
      </c>
      <c r="S110" s="137" t="n">
        <f aca="false">SUM(S103:S107)</f>
        <v>0</v>
      </c>
      <c r="T110" s="137" t="n">
        <f aca="false">SUM(T103:T107)</f>
        <v>0</v>
      </c>
      <c r="U110" s="137" t="n">
        <f aca="false">SUM(U103:U107)</f>
        <v>0</v>
      </c>
      <c r="V110" s="137" t="n">
        <f aca="false">SUM(V103:V107)</f>
        <v>0</v>
      </c>
      <c r="W110" s="137" t="n">
        <f aca="false">SUM(W103:W107)</f>
        <v>0</v>
      </c>
      <c r="X110" s="137" t="n">
        <f aca="false">SUM(X103:X107)</f>
        <v>0</v>
      </c>
      <c r="Y110" s="137" t="n">
        <f aca="false">SUM(Y103:Y107)</f>
        <v>0</v>
      </c>
      <c r="Z110" s="137" t="n">
        <f aca="false">SUM(Z103:Z107)</f>
        <v>0</v>
      </c>
      <c r="AA110" s="137" t="n">
        <f aca="false">SUM(AA103:AA107)</f>
        <v>0</v>
      </c>
      <c r="AB110" s="137" t="n">
        <f aca="false">SUM(AB103:AB107)</f>
        <v>0</v>
      </c>
      <c r="AC110" s="137" t="n">
        <f aca="false">SUM(AC103:AC107)</f>
        <v>0</v>
      </c>
    </row>
    <row r="111" customFormat="false" ht="12" hidden="false" customHeight="false" outlineLevel="0" collapsed="false">
      <c r="I111" s="137"/>
      <c r="J111" s="137"/>
      <c r="K111" s="137"/>
      <c r="L111" s="137"/>
      <c r="M111" s="137"/>
      <c r="N111" s="137"/>
      <c r="O111" s="137"/>
      <c r="P111" s="137"/>
      <c r="Q111" s="137"/>
      <c r="R111" s="137"/>
      <c r="S111" s="137"/>
      <c r="T111" s="137"/>
      <c r="U111" s="137"/>
      <c r="V111" s="137"/>
      <c r="W111" s="137"/>
      <c r="X111" s="137"/>
      <c r="Y111" s="137"/>
      <c r="Z111" s="137"/>
      <c r="AA111" s="137"/>
      <c r="AB111" s="137"/>
      <c r="AC111" s="137"/>
    </row>
    <row r="112" customFormat="false" ht="12" hidden="false" customHeight="false" outlineLevel="0" collapsed="false">
      <c r="A112" s="130"/>
      <c r="B112" s="130"/>
      <c r="C112" s="130"/>
      <c r="D112" s="130"/>
      <c r="E112" s="130"/>
      <c r="F112" s="130"/>
      <c r="G112" s="130"/>
      <c r="H112" s="130"/>
      <c r="I112" s="130"/>
      <c r="J112" s="130"/>
      <c r="K112" s="130"/>
      <c r="L112" s="130"/>
      <c r="M112" s="130"/>
      <c r="N112" s="130"/>
      <c r="O112" s="130"/>
      <c r="P112" s="130"/>
      <c r="Q112" s="130"/>
      <c r="R112" s="130"/>
      <c r="S112" s="130"/>
      <c r="T112" s="130"/>
      <c r="U112" s="130"/>
      <c r="V112" s="130"/>
      <c r="W112" s="130"/>
      <c r="X112" s="130"/>
      <c r="Y112" s="130"/>
      <c r="Z112" s="130"/>
      <c r="AA112" s="130"/>
      <c r="AB112" s="130"/>
      <c r="AC112" s="130"/>
    </row>
    <row r="113" customFormat="false" ht="11.25" hidden="false" customHeight="false" outlineLevel="0" collapsed="false">
      <c r="A113" s="167" t="s">
        <v>465</v>
      </c>
    </row>
    <row r="114" customFormat="false" ht="11.25" hidden="false" customHeight="false" outlineLevel="0" collapsed="false">
      <c r="A114" s="153" t="s">
        <v>460</v>
      </c>
      <c r="I114" s="227"/>
    </row>
    <row r="115" customFormat="false" ht="11.25" hidden="false" customHeight="false" outlineLevel="0" collapsed="false">
      <c r="B115" s="4" t="s">
        <v>461</v>
      </c>
      <c r="C115" s="67" t="str">
        <f aca="false">+L81</f>
        <v>Asset A</v>
      </c>
      <c r="I115" s="227" t="n">
        <f aca="false">IF($M81=0,0,IF($Q81="SL",SLN($M81,$N81,$P81)*IF(YEAR($O81)&lt;(J$3-1),IF(YEAR($O81)+$P81=J$3-1,(MONTH($O81)-1)/12,IF(YEAR($O81)+$P81&lt;J$3-1,0,1)),IF(YEAR($O81)&gt;J$3-1,0,(12-MONTH($O81)+1)/12)),IF(YEAR($O81)&gt;J$3-1,0,VDB($M81,$N81,$P81,IF(YEAR($O81)=J$3-1,0,MIN($P81,(DATE(J$3-1,1,1)-$O81)/365)),MIN($P81,(DATE(J$3-1,12,31)-$O81)/365),$R81))))</f>
        <v>0</v>
      </c>
      <c r="J115" s="227" t="n">
        <f aca="false">IF($M81=0,0,IF($Q81="SL",SLN($M81,$N81,$P81)*IF(YEAR($O81)&lt;J$3,IF(YEAR($O81)+$P81=J$3,(MONTH($O81)-1)/12,IF(YEAR($O81)+$P81&lt;J$3,0,1)),IF(YEAR($O81)&gt;J$3,0,(12-MONTH($O81)+1)/12)),IF(YEAR($O81)&gt;J$3,0,VDB($M81,$N81,$P81,IF(YEAR($O81)=J$3,0,MIN($P81,(DATE(J$3,1,1)-$O81)/365)),MIN($P81,(DATE(J$3,12,31)-$O81)/365),$R81))))</f>
        <v>0</v>
      </c>
      <c r="K115" s="227" t="n">
        <f aca="false">IF($M81=0,0,IF($Q81="SL",SLN($M81,$N81,$P81)*IF(YEAR($O81)&lt;K$3,IF(YEAR($O81)+$P81=K$3,(MONTH($O81)-1)/12,IF(YEAR($O81)+$P81&lt;K$3,0,1)),IF(YEAR($O81)&gt;K$3,0,(12-MONTH($O81)+1)/12)),IF(YEAR($O81)&gt;K$3,0,VDB($M81,$N81,$P81,IF(YEAR($O81)=K$3,0,MIN($P81,(DATE(K$3,1,1)-$O81)/365)),MIN($P81,(DATE(K$3,12,31)-$O81)/365),$R81))))</f>
        <v>0</v>
      </c>
      <c r="L115" s="227" t="n">
        <f aca="false">IF($M81=0,0,IF($Q81="SL",SLN($M81,$N81,$P81)*IF(YEAR($O81)&lt;L$3,IF(YEAR($O81)+$P81=L$3,(MONTH($O81)-1)/12,IF(YEAR($O81)+$P81&lt;L$3,0,1)),IF(YEAR($O81)&gt;L$3,0,(12-MONTH($O81)+1)/12)),IF(YEAR($O81)&gt;L$3,0,VDB($M81,$N81,$P81,IF(YEAR($O81)=L$3,0,MIN($P81,(DATE(L$3,1,1)-$O81)/365)),MIN($P81,(DATE(L$3,12,31)-$O81)/365),$R81))))</f>
        <v>0</v>
      </c>
      <c r="M115" s="227" t="n">
        <f aca="false">IF($M81=0,0,IF($Q81="SL",SLN($M81,$N81,$P81)*IF(YEAR($O81)&lt;M$3,IF(YEAR($O81)+$P81=M$3,(MONTH($O81)-1)/12,IF(YEAR($O81)+$P81&lt;M$3,0,1)),IF(YEAR($O81)&gt;M$3,0,(12-MONTH($O81)+1)/12)),IF(YEAR($O81)&gt;M$3,0,VDB($M81,$N81,$P81,IF(YEAR($O81)=M$3,0,MIN($P81,(DATE(M$3,1,1)-$O81)/365)),MIN($P81,(DATE(M$3,12,31)-$O81)/365),$R81))))</f>
        <v>0</v>
      </c>
      <c r="N115" s="227" t="n">
        <f aca="false">IF($M81=0,0,IF($Q81="SL",SLN($M81,$N81,$P81)*IF(YEAR($O81)&lt;N$3,IF(YEAR($O81)+$P81=N$3,(MONTH($O81)-1)/12,IF(YEAR($O81)+$P81&lt;N$3,0,1)),IF(YEAR($O81)&gt;N$3,0,(12-MONTH($O81)+1)/12)),IF(YEAR($O81)&gt;N$3,0,VDB($M81,$N81,$P81,IF(YEAR($O81)=N$3,0,MIN($P81,(DATE(N$3,1,1)-$O81)/365)),MIN($P81,(DATE(N$3,12,31)-$O81)/365),$R81))))</f>
        <v>0</v>
      </c>
      <c r="O115" s="227" t="n">
        <f aca="false">IF($M81=0,0,IF($Q81="SL",SLN($M81,$N81,$P81)*IF(YEAR($O81)&lt;O$3,IF(YEAR($O81)+$P81=O$3,(MONTH($O81)-1)/12,IF(YEAR($O81)+$P81&lt;O$3,0,1)),IF(YEAR($O81)&gt;O$3,0,(12-MONTH($O81)+1)/12)),IF(YEAR($O81)&gt;O$3,0,VDB($M81,$N81,$P81,IF(YEAR($O81)=O$3,0,MIN($P81,(DATE(O$3,1,1)-$O81)/365)),MIN($P81,(DATE(O$3,12,31)-$O81)/365),$R81))))</f>
        <v>0</v>
      </c>
      <c r="P115" s="227" t="n">
        <f aca="false">IF($M81=0,0,IF($Q81="SL",SLN($M81,$N81,$P81)*IF(YEAR($O81)&lt;P$3,IF(YEAR($O81)+$P81=P$3,(MONTH($O81)-1)/12,IF(YEAR($O81)+$P81&lt;P$3,0,1)),IF(YEAR($O81)&gt;P$3,0,(12-MONTH($O81)+1)/12)),IF(YEAR($O81)&gt;P$3,0,VDB($M81,$N81,$P81,IF(YEAR($O81)=P$3,0,MIN($P81,(DATE(P$3,1,1)-$O81)/365)),MIN($P81,(DATE(P$3,12,31)-$O81)/365),$R81))))</f>
        <v>0</v>
      </c>
      <c r="Q115" s="227" t="n">
        <f aca="false">IF($M81=0,0,IF($Q81="SL",SLN($M81,$N81,$P81)*IF(YEAR($O81)&lt;Q$3,IF(YEAR($O81)+$P81=Q$3,(MONTH($O81)-1)/12,IF(YEAR($O81)+$P81&lt;Q$3,0,1)),IF(YEAR($O81)&gt;Q$3,0,(12-MONTH($O81)+1)/12)),IF(YEAR($O81)&gt;Q$3,0,VDB($M81,$N81,$P81,IF(YEAR($O81)=Q$3,0,MIN($P81,(DATE(Q$3,1,1)-$O81)/365)),MIN($P81,(DATE(Q$3,12,31)-$O81)/365),$R81))))</f>
        <v>0</v>
      </c>
      <c r="R115" s="227" t="n">
        <f aca="false">IF($M81=0,0,IF($Q81="SL",SLN($M81,$N81,$P81)*IF(YEAR($O81)&lt;R$3,IF(YEAR($O81)+$P81=R$3,(MONTH($O81)-1)/12,IF(YEAR($O81)+$P81&lt;R$3,0,1)),IF(YEAR($O81)&gt;R$3,0,(12-MONTH($O81)+1)/12)),IF(YEAR($O81)&gt;R$3,0,VDB($M81,$N81,$P81,IF(YEAR($O81)=R$3,0,MIN($P81,(DATE(R$3,1,1)-$O81)/365)),MIN($P81,(DATE(R$3,12,31)-$O81)/365),$R81))))</f>
        <v>0</v>
      </c>
      <c r="S115" s="227" t="n">
        <f aca="false">IF($M81=0,0,IF($Q81="SL",SLN($M81,$N81,$P81)*IF(YEAR($O81)&lt;S$3,IF(YEAR($O81)+$P81=S$3,(MONTH($O81)-1)/12,IF(YEAR($O81)+$P81&lt;S$3,0,1)),IF(YEAR($O81)&gt;S$3,0,(12-MONTH($O81)+1)/12)),IF(YEAR($O81)&gt;S$3,0,VDB($M81,$N81,$P81,IF(YEAR($O81)=S$3,0,MIN($P81,(DATE(S$3,1,1)-$O81)/365)),MIN($P81,(DATE(S$3,12,31)-$O81)/365),$R81))))</f>
        <v>0</v>
      </c>
      <c r="T115" s="227" t="n">
        <f aca="false">IF($M81=0,0,IF($Q81="SL",SLN($M81,$N81,$P81)*IF(YEAR($O81)&lt;T$3,IF(YEAR($O81)+$P81=T$3,(MONTH($O81)-1)/12,IF(YEAR($O81)+$P81&lt;T$3,0,1)),IF(YEAR($O81)&gt;T$3,0,(12-MONTH($O81)+1)/12)),IF(YEAR($O81)&gt;T$3,0,VDB($M81,$N81,$P81,IF(YEAR($O81)=T$3,0,MIN($P81,(DATE(T$3,1,1)-$O81)/365)),MIN($P81,(DATE(T$3,12,31)-$O81)/365),$R81))))</f>
        <v>0</v>
      </c>
      <c r="U115" s="227" t="n">
        <f aca="false">IF($M81=0,0,IF($Q81="SL",SLN($M81,$N81,$P81)*IF(YEAR($O81)&lt;U$3,IF(YEAR($O81)+$P81=U$3,(MONTH($O81)-1)/12,IF(YEAR($O81)+$P81&lt;U$3,0,1)),IF(YEAR($O81)&gt;U$3,0,(12-MONTH($O81)+1)/12)),IF(YEAR($O81)&gt;U$3,0,VDB($M81,$N81,$P81,IF(YEAR($O81)=U$3,0,MIN($P81,(DATE(U$3,1,1)-$O81)/365)),MIN($P81,(DATE(U$3,12,31)-$O81)/365),$R81))))</f>
        <v>0</v>
      </c>
      <c r="V115" s="227" t="n">
        <f aca="false">IF($M81=0,0,IF($Q81="SL",SLN($M81,$N81,$P81)*IF(YEAR($O81)&lt;V$3,IF(YEAR($O81)+$P81=V$3,(MONTH($O81)-1)/12,IF(YEAR($O81)+$P81&lt;V$3,0,1)),IF(YEAR($O81)&gt;V$3,0,(12-MONTH($O81)+1)/12)),IF(YEAR($O81)&gt;V$3,0,VDB($M81,$N81,$P81,IF(YEAR($O81)=V$3,0,MIN($P81,(DATE(V$3,1,1)-$O81)/365)),MIN($P81,(DATE(V$3,12,31)-$O81)/365),$R81))))</f>
        <v>0</v>
      </c>
      <c r="W115" s="227" t="n">
        <f aca="false">IF($M81=0,0,IF($Q81="SL",SLN($M81,$N81,$P81)*IF(YEAR($O81)&lt;W$3,IF(YEAR($O81)+$P81=W$3,(MONTH($O81)-1)/12,IF(YEAR($O81)+$P81&lt;W$3,0,1)),IF(YEAR($O81)&gt;W$3,0,(12-MONTH($O81)+1)/12)),IF(YEAR($O81)&gt;W$3,0,VDB($M81,$N81,$P81,IF(YEAR($O81)=W$3,0,MIN($P81,(DATE(W$3,1,1)-$O81)/365)),MIN($P81,(DATE(W$3,12,31)-$O81)/365),$R81))))</f>
        <v>0</v>
      </c>
      <c r="X115" s="227" t="n">
        <f aca="false">IF($M81=0,0,IF($Q81="SL",SLN($M81,$N81,$P81)*IF(YEAR($O81)&lt;X$3,IF(YEAR($O81)+$P81=X$3,(MONTH($O81)-1)/12,IF(YEAR($O81)+$P81&lt;X$3,0,1)),IF(YEAR($O81)&gt;X$3,0,(12-MONTH($O81)+1)/12)),IF(YEAR($O81)&gt;X$3,0,VDB($M81,$N81,$P81,IF(YEAR($O81)=X$3,0,MIN($P81,(DATE(X$3,1,1)-$O81)/365)),MIN($P81,(DATE(X$3,12,31)-$O81)/365),$R81))))</f>
        <v>0</v>
      </c>
      <c r="Y115" s="227" t="n">
        <f aca="false">IF($M81=0,0,IF($Q81="SL",SLN($M81,$N81,$P81)*IF(YEAR($O81)&lt;Y$3,IF(YEAR($O81)+$P81=Y$3,(MONTH($O81)-1)/12,IF(YEAR($O81)+$P81&lt;Y$3,0,1)),IF(YEAR($O81)&gt;Y$3,0,(12-MONTH($O81)+1)/12)),IF(YEAR($O81)&gt;Y$3,0,VDB($M81,$N81,$P81,IF(YEAR($O81)=Y$3,0,MIN($P81,(DATE(Y$3,1,1)-$O81)/365)),MIN($P81,(DATE(Y$3,12,31)-$O81)/365),$R81))))</f>
        <v>0</v>
      </c>
      <c r="Z115" s="227" t="n">
        <f aca="false">IF($M81=0,0,IF($Q81="SL",SLN($M81,$N81,$P81)*IF(YEAR($O81)&lt;Z$3,IF(YEAR($O81)+$P81=Z$3,(MONTH($O81)-1)/12,IF(YEAR($O81)+$P81&lt;Z$3,0,1)),IF(YEAR($O81)&gt;Z$3,0,(12-MONTH($O81)+1)/12)),IF(YEAR($O81)&gt;Z$3,0,VDB($M81,$N81,$P81,IF(YEAR($O81)=Z$3,0,MIN($P81,(DATE(Z$3,1,1)-$O81)/365)),MIN($P81,(DATE(Z$3,12,31)-$O81)/365),$R81))))</f>
        <v>0</v>
      </c>
      <c r="AA115" s="227" t="n">
        <f aca="false">IF($M81=0,0,IF($Q81="SL",SLN($M81,$N81,$P81)*IF(YEAR($O81)&lt;AA$3,IF(YEAR($O81)+$P81=AA$3,(MONTH($O81)-1)/12,IF(YEAR($O81)+$P81&lt;AA$3,0,1)),IF(YEAR($O81)&gt;AA$3,0,(12-MONTH($O81)+1)/12)),IF(YEAR($O81)&gt;AA$3,0,VDB($M81,$N81,$P81,IF(YEAR($O81)=AA$3,0,MIN($P81,(DATE(AA$3,1,1)-$O81)/365)),MIN($P81,(DATE(AA$3,12,31)-$O81)/365),$R81))))</f>
        <v>0</v>
      </c>
      <c r="AB115" s="227" t="n">
        <f aca="false">IF($M81=0,0,IF($Q81="SL",SLN($M81,$N81,$P81)*IF(YEAR($O81)&lt;AB$3,IF(YEAR($O81)+$P81=AB$3,(MONTH($O81)-1)/12,IF(YEAR($O81)+$P81&lt;AB$3,0,1)),IF(YEAR($O81)&gt;AB$3,0,(12-MONTH($O81)+1)/12)),IF(YEAR($O81)&gt;AB$3,0,VDB($M81,$N81,$P81,IF(YEAR($O81)=AB$3,0,MIN($P81,(DATE(AB$3,1,1)-$O81)/365)),MIN($P81,(DATE(AB$3,12,31)-$O81)/365),$R81))))</f>
        <v>0</v>
      </c>
      <c r="AC115" s="227" t="n">
        <f aca="false">IF($M81=0,0,IF($Q81="SL",SLN($M81,$N81,$P81)*IF(YEAR($O81)&lt;AC$3,IF(YEAR($O81)+$P81=AC$3,(MONTH($O81)-1)/12,IF(YEAR($O81)+$P81&lt;AC$3,0,1)),IF(YEAR($O81)&gt;AC$3,0,(12-MONTH($O81)+1)/12)),IF(YEAR($O81)&gt;AC$3,0,VDB($M81,$N81,$P81,IF(YEAR($O81)=AC$3,0,MIN($P81,(DATE(AC$3,1,1)-$O81)/365)),MIN($P81,(DATE(AC$3,12,31)-$O81)/365),$R81))))</f>
        <v>0</v>
      </c>
    </row>
    <row r="116" customFormat="false" ht="11.25" hidden="false" customHeight="false" outlineLevel="0" collapsed="false">
      <c r="C116" s="67" t="str">
        <f aca="false">+L82</f>
        <v>Asset B</v>
      </c>
      <c r="I116" s="227" t="n">
        <f aca="false">IF($M82=0,0,IF($Q82="SL",SLN($M82,$N82,$P82)*IF(YEAR($O82)&lt;(J$3-1),IF(YEAR($O82)+$P82=J$3-1,(MONTH($O82)-1)/12,IF(YEAR($O82)+$P82&lt;J$3-1,0,1)),IF(YEAR($O82)&gt;J$3-1,0,(12-MONTH($O82)+1)/12)),IF(YEAR($O82)&gt;J$3-1,0,VDB($M82,$N82,$P82,IF(YEAR($O82)=J$3-1,0,MIN($P82,(DATE(J$3-1,1,1)-$O82)/365)),MIN($P82,(DATE(J$3-1,12,31)-$O82)/365),$R82))))</f>
        <v>0</v>
      </c>
      <c r="J116" s="227" t="n">
        <f aca="false">IF($M82=0,0,IF($Q82="SL",SLN($M82,$N82,$P82)*IF(YEAR($O82)&lt;J$3,IF(YEAR($O82)+$P82=J$3,(MONTH($O82)-1)/12,IF(YEAR($O82)+$P82&lt;J$3,0,1)),IF(YEAR($O82)&gt;J$3,0,(12-MONTH($O82)+1)/12)),IF(YEAR($O82)&gt;J$3,0,VDB($M82,$N82,$P82,IF(YEAR($O82)=J$3,0,MIN($P82,(DATE(J$3,1,1)-$O82)/365)),MIN($P82,(DATE(J$3,12,31)-$O82)/365),$R82))))</f>
        <v>0</v>
      </c>
      <c r="K116" s="227" t="n">
        <f aca="false">IF($M82=0,0,IF($Q82="SL",SLN($M82,$N82,$P82)*IF(YEAR($O82)&lt;K$3,IF(YEAR($O82)+$P82=K$3,(MONTH($O82)-1)/12,IF(YEAR($O82)+$P82&lt;K$3,0,1)),IF(YEAR($O82)&gt;K$3,0,(12-MONTH($O82)+1)/12)),IF(YEAR($O82)&gt;K$3,0,VDB($M82,$N82,$P82,IF(YEAR($O82)=K$3,0,MIN($P82,(DATE(K$3,1,1)-$O82)/365)),MIN($P82,(DATE(K$3,12,31)-$O82)/365),$R82))))</f>
        <v>0</v>
      </c>
      <c r="L116" s="227" t="n">
        <f aca="false">IF($M82=0,0,IF($Q82="SL",SLN($M82,$N82,$P82)*IF(YEAR($O82)&lt;L$3,IF(YEAR($O82)+$P82=L$3,(MONTH($O82)-1)/12,IF(YEAR($O82)+$P82&lt;L$3,0,1)),IF(YEAR($O82)&gt;L$3,0,(12-MONTH($O82)+1)/12)),IF(YEAR($O82)&gt;L$3,0,VDB($M82,$N82,$P82,IF(YEAR($O82)=L$3,0,MIN($P82,(DATE(L$3,1,1)-$O82)/365)),MIN($P82,(DATE(L$3,12,31)-$O82)/365),$R82))))</f>
        <v>0</v>
      </c>
      <c r="M116" s="227" t="n">
        <f aca="false">IF($M82=0,0,IF($Q82="SL",SLN($M82,$N82,$P82)*IF(YEAR($O82)&lt;M$3,IF(YEAR($O82)+$P82=M$3,(MONTH($O82)-1)/12,IF(YEAR($O82)+$P82&lt;M$3,0,1)),IF(YEAR($O82)&gt;M$3,0,(12-MONTH($O82)+1)/12)),IF(YEAR($O82)&gt;M$3,0,VDB($M82,$N82,$P82,IF(YEAR($O82)=M$3,0,MIN($P82,(DATE(M$3,1,1)-$O82)/365)),MIN($P82,(DATE(M$3,12,31)-$O82)/365),$R82))))</f>
        <v>0</v>
      </c>
      <c r="N116" s="227" t="n">
        <f aca="false">IF($M82=0,0,IF($Q82="SL",SLN($M82,$N82,$P82)*IF(YEAR($O82)&lt;N$3,IF(YEAR($O82)+$P82=N$3,(MONTH($O82)-1)/12,IF(YEAR($O82)+$P82&lt;N$3,0,1)),IF(YEAR($O82)&gt;N$3,0,(12-MONTH($O82)+1)/12)),IF(YEAR($O82)&gt;N$3,0,VDB($M82,$N82,$P82,IF(YEAR($O82)=N$3,0,MIN($P82,(DATE(N$3,1,1)-$O82)/365)),MIN($P82,(DATE(N$3,12,31)-$O82)/365),$R82))))</f>
        <v>0</v>
      </c>
      <c r="O116" s="227" t="n">
        <f aca="false">IF($M82=0,0,IF($Q82="SL",SLN($M82,$N82,$P82)*IF(YEAR($O82)&lt;O$3,IF(YEAR($O82)+$P82=O$3,(MONTH($O82)-1)/12,IF(YEAR($O82)+$P82&lt;O$3,0,1)),IF(YEAR($O82)&gt;O$3,0,(12-MONTH($O82)+1)/12)),IF(YEAR($O82)&gt;O$3,0,VDB($M82,$N82,$P82,IF(YEAR($O82)=O$3,0,MIN($P82,(DATE(O$3,1,1)-$O82)/365)),MIN($P82,(DATE(O$3,12,31)-$O82)/365),$R82))))</f>
        <v>0</v>
      </c>
      <c r="P116" s="227" t="n">
        <f aca="false">IF($M82=0,0,IF($Q82="SL",SLN($M82,$N82,$P82)*IF(YEAR($O82)&lt;P$3,IF(YEAR($O82)+$P82=P$3,(MONTH($O82)-1)/12,IF(YEAR($O82)+$P82&lt;P$3,0,1)),IF(YEAR($O82)&gt;P$3,0,(12-MONTH($O82)+1)/12)),IF(YEAR($O82)&gt;P$3,0,VDB($M82,$N82,$P82,IF(YEAR($O82)=P$3,0,MIN($P82,(DATE(P$3,1,1)-$O82)/365)),MIN($P82,(DATE(P$3,12,31)-$O82)/365),$R82))))</f>
        <v>0</v>
      </c>
      <c r="Q116" s="227" t="n">
        <f aca="false">IF($M82=0,0,IF($Q82="SL",SLN($M82,$N82,$P82)*IF(YEAR($O82)&lt;Q$3,IF(YEAR($O82)+$P82=Q$3,(MONTH($O82)-1)/12,IF(YEAR($O82)+$P82&lt;Q$3,0,1)),IF(YEAR($O82)&gt;Q$3,0,(12-MONTH($O82)+1)/12)),IF(YEAR($O82)&gt;Q$3,0,VDB($M82,$N82,$P82,IF(YEAR($O82)=Q$3,0,MIN($P82,(DATE(Q$3,1,1)-$O82)/365)),MIN($P82,(DATE(Q$3,12,31)-$O82)/365),$R82))))</f>
        <v>0</v>
      </c>
      <c r="R116" s="227" t="n">
        <f aca="false">IF($M82=0,0,IF($Q82="SL",SLN($M82,$N82,$P82)*IF(YEAR($O82)&lt;R$3,IF(YEAR($O82)+$P82=R$3,(MONTH($O82)-1)/12,IF(YEAR($O82)+$P82&lt;R$3,0,1)),IF(YEAR($O82)&gt;R$3,0,(12-MONTH($O82)+1)/12)),IF(YEAR($O82)&gt;R$3,0,VDB($M82,$N82,$P82,IF(YEAR($O82)=R$3,0,MIN($P82,(DATE(R$3,1,1)-$O82)/365)),MIN($P82,(DATE(R$3,12,31)-$O82)/365),$R82))))</f>
        <v>0</v>
      </c>
      <c r="S116" s="227" t="n">
        <f aca="false">IF($M82=0,0,IF($Q82="SL",SLN($M82,$N82,$P82)*IF(YEAR($O82)&lt;S$3,IF(YEAR($O82)+$P82=S$3,(MONTH($O82)-1)/12,IF(YEAR($O82)+$P82&lt;S$3,0,1)),IF(YEAR($O82)&gt;S$3,0,(12-MONTH($O82)+1)/12)),IF(YEAR($O82)&gt;S$3,0,VDB($M82,$N82,$P82,IF(YEAR($O82)=S$3,0,MIN($P82,(DATE(S$3,1,1)-$O82)/365)),MIN($P82,(DATE(S$3,12,31)-$O82)/365),$R82))))</f>
        <v>0</v>
      </c>
      <c r="T116" s="227" t="n">
        <f aca="false">IF($M82=0,0,IF($Q82="SL",SLN($M82,$N82,$P82)*IF(YEAR($O82)&lt;T$3,IF(YEAR($O82)+$P82=T$3,(MONTH($O82)-1)/12,IF(YEAR($O82)+$P82&lt;T$3,0,1)),IF(YEAR($O82)&gt;T$3,0,(12-MONTH($O82)+1)/12)),IF(YEAR($O82)&gt;T$3,0,VDB($M82,$N82,$P82,IF(YEAR($O82)=T$3,0,MIN($P82,(DATE(T$3,1,1)-$O82)/365)),MIN($P82,(DATE(T$3,12,31)-$O82)/365),$R82))))</f>
        <v>0</v>
      </c>
      <c r="U116" s="227" t="n">
        <f aca="false">IF($M82=0,0,IF($Q82="SL",SLN($M82,$N82,$P82)*IF(YEAR($O82)&lt;U$3,IF(YEAR($O82)+$P82=U$3,(MONTH($O82)-1)/12,IF(YEAR($O82)+$P82&lt;U$3,0,1)),IF(YEAR($O82)&gt;U$3,0,(12-MONTH($O82)+1)/12)),IF(YEAR($O82)&gt;U$3,0,VDB($M82,$N82,$P82,IF(YEAR($O82)=U$3,0,MIN($P82,(DATE(U$3,1,1)-$O82)/365)),MIN($P82,(DATE(U$3,12,31)-$O82)/365),$R82))))</f>
        <v>0</v>
      </c>
      <c r="V116" s="227" t="n">
        <f aca="false">IF($M82=0,0,IF($Q82="SL",SLN($M82,$N82,$P82)*IF(YEAR($O82)&lt;V$3,IF(YEAR($O82)+$P82=V$3,(MONTH($O82)-1)/12,IF(YEAR($O82)+$P82&lt;V$3,0,1)),IF(YEAR($O82)&gt;V$3,0,(12-MONTH($O82)+1)/12)),IF(YEAR($O82)&gt;V$3,0,VDB($M82,$N82,$P82,IF(YEAR($O82)=V$3,0,MIN($P82,(DATE(V$3,1,1)-$O82)/365)),MIN($P82,(DATE(V$3,12,31)-$O82)/365),$R82))))</f>
        <v>0</v>
      </c>
      <c r="W116" s="227" t="n">
        <f aca="false">IF($M82=0,0,IF($Q82="SL",SLN($M82,$N82,$P82)*IF(YEAR($O82)&lt;W$3,IF(YEAR($O82)+$P82=W$3,(MONTH($O82)-1)/12,IF(YEAR($O82)+$P82&lt;W$3,0,1)),IF(YEAR($O82)&gt;W$3,0,(12-MONTH($O82)+1)/12)),IF(YEAR($O82)&gt;W$3,0,VDB($M82,$N82,$P82,IF(YEAR($O82)=W$3,0,MIN($P82,(DATE(W$3,1,1)-$O82)/365)),MIN($P82,(DATE(W$3,12,31)-$O82)/365),$R82))))</f>
        <v>0</v>
      </c>
      <c r="X116" s="227" t="n">
        <f aca="false">IF($M82=0,0,IF($Q82="SL",SLN($M82,$N82,$P82)*IF(YEAR($O82)&lt;X$3,IF(YEAR($O82)+$P82=X$3,(MONTH($O82)-1)/12,IF(YEAR($O82)+$P82&lt;X$3,0,1)),IF(YEAR($O82)&gt;X$3,0,(12-MONTH($O82)+1)/12)),IF(YEAR($O82)&gt;X$3,0,VDB($M82,$N82,$P82,IF(YEAR($O82)=X$3,0,MIN($P82,(DATE(X$3,1,1)-$O82)/365)),MIN($P82,(DATE(X$3,12,31)-$O82)/365),$R82))))</f>
        <v>0</v>
      </c>
      <c r="Y116" s="227" t="n">
        <f aca="false">IF($M82=0,0,IF($Q82="SL",SLN($M82,$N82,$P82)*IF(YEAR($O82)&lt;Y$3,IF(YEAR($O82)+$P82=Y$3,(MONTH($O82)-1)/12,IF(YEAR($O82)+$P82&lt;Y$3,0,1)),IF(YEAR($O82)&gt;Y$3,0,(12-MONTH($O82)+1)/12)),IF(YEAR($O82)&gt;Y$3,0,VDB($M82,$N82,$P82,IF(YEAR($O82)=Y$3,0,MIN($P82,(DATE(Y$3,1,1)-$O82)/365)),MIN($P82,(DATE(Y$3,12,31)-$O82)/365),$R82))))</f>
        <v>0</v>
      </c>
      <c r="Z116" s="227" t="n">
        <f aca="false">IF($M82=0,0,IF($Q82="SL",SLN($M82,$N82,$P82)*IF(YEAR($O82)&lt;Z$3,IF(YEAR($O82)+$P82=Z$3,(MONTH($O82)-1)/12,IF(YEAR($O82)+$P82&lt;Z$3,0,1)),IF(YEAR($O82)&gt;Z$3,0,(12-MONTH($O82)+1)/12)),IF(YEAR($O82)&gt;Z$3,0,VDB($M82,$N82,$P82,IF(YEAR($O82)=Z$3,0,MIN($P82,(DATE(Z$3,1,1)-$O82)/365)),MIN($P82,(DATE(Z$3,12,31)-$O82)/365),$R82))))</f>
        <v>0</v>
      </c>
      <c r="AA116" s="227" t="n">
        <f aca="false">IF($M82=0,0,IF($Q82="SL",SLN($M82,$N82,$P82)*IF(YEAR($O82)&lt;AA$3,IF(YEAR($O82)+$P82=AA$3,(MONTH($O82)-1)/12,IF(YEAR($O82)+$P82&lt;AA$3,0,1)),IF(YEAR($O82)&gt;AA$3,0,(12-MONTH($O82)+1)/12)),IF(YEAR($O82)&gt;AA$3,0,VDB($M82,$N82,$P82,IF(YEAR($O82)=AA$3,0,MIN($P82,(DATE(AA$3,1,1)-$O82)/365)),MIN($P82,(DATE(AA$3,12,31)-$O82)/365),$R82))))</f>
        <v>0</v>
      </c>
      <c r="AB116" s="227" t="n">
        <f aca="false">IF($M82=0,0,IF($Q82="SL",SLN($M82,$N82,$P82)*IF(YEAR($O82)&lt;AB$3,IF(YEAR($O82)+$P82=AB$3,(MONTH($O82)-1)/12,IF(YEAR($O82)+$P82&lt;AB$3,0,1)),IF(YEAR($O82)&gt;AB$3,0,(12-MONTH($O82)+1)/12)),IF(YEAR($O82)&gt;AB$3,0,VDB($M82,$N82,$P82,IF(YEAR($O82)=AB$3,0,MIN($P82,(DATE(AB$3,1,1)-$O82)/365)),MIN($P82,(DATE(AB$3,12,31)-$O82)/365),$R82))))</f>
        <v>0</v>
      </c>
      <c r="AC116" s="227" t="n">
        <f aca="false">IF($M82=0,0,IF($Q82="SL",SLN($M82,$N82,$P82)*IF(YEAR($O82)&lt;AC$3,IF(YEAR($O82)+$P82=AC$3,(MONTH($O82)-1)/12,IF(YEAR($O82)+$P82&lt;AC$3,0,1)),IF(YEAR($O82)&gt;AC$3,0,(12-MONTH($O82)+1)/12)),IF(YEAR($O82)&gt;AC$3,0,VDB($M82,$N82,$P82,IF(YEAR($O82)=AC$3,0,MIN($P82,(DATE(AC$3,1,1)-$O82)/365)),MIN($P82,(DATE(AC$3,12,31)-$O82)/365),$R82))))</f>
        <v>0</v>
      </c>
    </row>
    <row r="117" customFormat="false" ht="11.25" hidden="false" customHeight="false" outlineLevel="0" collapsed="false">
      <c r="C117" s="67" t="str">
        <f aca="false">+L83</f>
        <v>Asset C</v>
      </c>
      <c r="I117" s="227" t="n">
        <f aca="false">IF($M83=0,0,IF($Q83="SL",SLN($M83,$N83,$P83)*IF(YEAR($O83)&lt;(J$3-1),IF(YEAR($O83)+$P83=J$3-1,(MONTH($O83)-1)/12,IF(YEAR($O83)+$P83&lt;J$3-1,0,1)),IF(YEAR($O83)&gt;J$3-1,0,(12-MONTH($O83)+1)/12)),IF(YEAR($O83)&gt;J$3-1,0,VDB($M83,$N83,$P83,IF(YEAR($O83)=J$3-1,0,MIN($P83,(DATE(J$3-1,1,1)-$O83)/365)),MIN($P83,(DATE(J$3-1,12,31)-$O83)/365),$R83))))</f>
        <v>0</v>
      </c>
      <c r="J117" s="227" t="n">
        <f aca="false">IF($M83=0,0,IF($Q83="SL",SLN($M83,$N83,$P83)*IF(YEAR($O83)&lt;J$3,IF(YEAR($O83)+$P83=J$3,(MONTH($O83)-1)/12,IF(YEAR($O83)+$P83&lt;J$3,0,1)),IF(YEAR($O83)&gt;J$3,0,(12-MONTH($O83)+1)/12)),IF(YEAR($O83)&gt;J$3,0,VDB($M83,$N83,$P83,IF(YEAR($O83)=J$3,0,MIN($P83,(DATE(J$3,1,1)-$O83)/365)),MIN($P83,(DATE(J$3,12,31)-$O83)/365),$R83))))</f>
        <v>0</v>
      </c>
      <c r="K117" s="227" t="n">
        <f aca="false">IF($M83=0,0,IF($Q83="SL",SLN($M83,$N83,$P83)*IF(YEAR($O83)&lt;K$3,IF(YEAR($O83)+$P83=K$3,(MONTH($O83)-1)/12,IF(YEAR($O83)+$P83&lt;K$3,0,1)),IF(YEAR($O83)&gt;K$3,0,(12-MONTH($O83)+1)/12)),IF(YEAR($O83)&gt;K$3,0,VDB($M83,$N83,$P83,IF(YEAR($O83)=K$3,0,MIN($P83,(DATE(K$3,1,1)-$O83)/365)),MIN($P83,(DATE(K$3,12,31)-$O83)/365),$R83))))</f>
        <v>0</v>
      </c>
      <c r="L117" s="227" t="n">
        <f aca="false">IF($M83=0,0,IF($Q83="SL",SLN($M83,$N83,$P83)*IF(YEAR($O83)&lt;L$3,IF(YEAR($O83)+$P83=L$3,(MONTH($O83)-1)/12,IF(YEAR($O83)+$P83&lt;L$3,0,1)),IF(YEAR($O83)&gt;L$3,0,(12-MONTH($O83)+1)/12)),IF(YEAR($O83)&gt;L$3,0,VDB($M83,$N83,$P83,IF(YEAR($O83)=L$3,0,MIN($P83,(DATE(L$3,1,1)-$O83)/365)),MIN($P83,(DATE(L$3,12,31)-$O83)/365),$R83))))</f>
        <v>0</v>
      </c>
      <c r="M117" s="227" t="n">
        <f aca="false">IF($M83=0,0,IF($Q83="SL",SLN($M83,$N83,$P83)*IF(YEAR($O83)&lt;M$3,IF(YEAR($O83)+$P83=M$3,(MONTH($O83)-1)/12,IF(YEAR($O83)+$P83&lt;M$3,0,1)),IF(YEAR($O83)&gt;M$3,0,(12-MONTH($O83)+1)/12)),IF(YEAR($O83)&gt;M$3,0,VDB($M83,$N83,$P83,IF(YEAR($O83)=M$3,0,MIN($P83,(DATE(M$3,1,1)-$O83)/365)),MIN($P83,(DATE(M$3,12,31)-$O83)/365),$R83))))</f>
        <v>0</v>
      </c>
      <c r="N117" s="227" t="n">
        <f aca="false">IF($M83=0,0,IF($Q83="SL",SLN($M83,$N83,$P83)*IF(YEAR($O83)&lt;N$3,IF(YEAR($O83)+$P83=N$3,(MONTH($O83)-1)/12,IF(YEAR($O83)+$P83&lt;N$3,0,1)),IF(YEAR($O83)&gt;N$3,0,(12-MONTH($O83)+1)/12)),IF(YEAR($O83)&gt;N$3,0,VDB($M83,$N83,$P83,IF(YEAR($O83)=N$3,0,MIN($P83,(DATE(N$3,1,1)-$O83)/365)),MIN($P83,(DATE(N$3,12,31)-$O83)/365),$R83))))</f>
        <v>0</v>
      </c>
      <c r="O117" s="227" t="n">
        <f aca="false">IF($M83=0,0,IF($Q83="SL",SLN($M83,$N83,$P83)*IF(YEAR($O83)&lt;O$3,IF(YEAR($O83)+$P83=O$3,(MONTH($O83)-1)/12,IF(YEAR($O83)+$P83&lt;O$3,0,1)),IF(YEAR($O83)&gt;O$3,0,(12-MONTH($O83)+1)/12)),IF(YEAR($O83)&gt;O$3,0,VDB($M83,$N83,$P83,IF(YEAR($O83)=O$3,0,MIN($P83,(DATE(O$3,1,1)-$O83)/365)),MIN($P83,(DATE(O$3,12,31)-$O83)/365),$R83))))</f>
        <v>0</v>
      </c>
      <c r="P117" s="227" t="n">
        <f aca="false">IF($M83=0,0,IF($Q83="SL",SLN($M83,$N83,$P83)*IF(YEAR($O83)&lt;P$3,IF(YEAR($O83)+$P83=P$3,(MONTH($O83)-1)/12,IF(YEAR($O83)+$P83&lt;P$3,0,1)),IF(YEAR($O83)&gt;P$3,0,(12-MONTH($O83)+1)/12)),IF(YEAR($O83)&gt;P$3,0,VDB($M83,$N83,$P83,IF(YEAR($O83)=P$3,0,MIN($P83,(DATE(P$3,1,1)-$O83)/365)),MIN($P83,(DATE(P$3,12,31)-$O83)/365),$R83))))</f>
        <v>0</v>
      </c>
      <c r="Q117" s="227" t="n">
        <f aca="false">IF($M83=0,0,IF($Q83="SL",SLN($M83,$N83,$P83)*IF(YEAR($O83)&lt;Q$3,IF(YEAR($O83)+$P83=Q$3,(MONTH($O83)-1)/12,IF(YEAR($O83)+$P83&lt;Q$3,0,1)),IF(YEAR($O83)&gt;Q$3,0,(12-MONTH($O83)+1)/12)),IF(YEAR($O83)&gt;Q$3,0,VDB($M83,$N83,$P83,IF(YEAR($O83)=Q$3,0,MIN($P83,(DATE(Q$3,1,1)-$O83)/365)),MIN($P83,(DATE(Q$3,12,31)-$O83)/365),$R83))))</f>
        <v>0</v>
      </c>
      <c r="R117" s="227" t="n">
        <f aca="false">IF($M83=0,0,IF($Q83="SL",SLN($M83,$N83,$P83)*IF(YEAR($O83)&lt;R$3,IF(YEAR($O83)+$P83=R$3,(MONTH($O83)-1)/12,IF(YEAR($O83)+$P83&lt;R$3,0,1)),IF(YEAR($O83)&gt;R$3,0,(12-MONTH($O83)+1)/12)),IF(YEAR($O83)&gt;R$3,0,VDB($M83,$N83,$P83,IF(YEAR($O83)=R$3,0,MIN($P83,(DATE(R$3,1,1)-$O83)/365)),MIN($P83,(DATE(R$3,12,31)-$O83)/365),$R83))))</f>
        <v>0</v>
      </c>
      <c r="S117" s="227" t="n">
        <f aca="false">IF($M83=0,0,IF($Q83="SL",SLN($M83,$N83,$P83)*IF(YEAR($O83)&lt;S$3,IF(YEAR($O83)+$P83=S$3,(MONTH($O83)-1)/12,IF(YEAR($O83)+$P83&lt;S$3,0,1)),IF(YEAR($O83)&gt;S$3,0,(12-MONTH($O83)+1)/12)),IF(YEAR($O83)&gt;S$3,0,VDB($M83,$N83,$P83,IF(YEAR($O83)=S$3,0,MIN($P83,(DATE(S$3,1,1)-$O83)/365)),MIN($P83,(DATE(S$3,12,31)-$O83)/365),$R83))))</f>
        <v>0</v>
      </c>
      <c r="T117" s="227" t="n">
        <f aca="false">IF($M83=0,0,IF($Q83="SL",SLN($M83,$N83,$P83)*IF(YEAR($O83)&lt;T$3,IF(YEAR($O83)+$P83=T$3,(MONTH($O83)-1)/12,IF(YEAR($O83)+$P83&lt;T$3,0,1)),IF(YEAR($O83)&gt;T$3,0,(12-MONTH($O83)+1)/12)),IF(YEAR($O83)&gt;T$3,0,VDB($M83,$N83,$P83,IF(YEAR($O83)=T$3,0,MIN($P83,(DATE(T$3,1,1)-$O83)/365)),MIN($P83,(DATE(T$3,12,31)-$O83)/365),$R83))))</f>
        <v>0</v>
      </c>
      <c r="U117" s="227" t="n">
        <f aca="false">IF($M83=0,0,IF($Q83="SL",SLN($M83,$N83,$P83)*IF(YEAR($O83)&lt;U$3,IF(YEAR($O83)+$P83=U$3,(MONTH($O83)-1)/12,IF(YEAR($O83)+$P83&lt;U$3,0,1)),IF(YEAR($O83)&gt;U$3,0,(12-MONTH($O83)+1)/12)),IF(YEAR($O83)&gt;U$3,0,VDB($M83,$N83,$P83,IF(YEAR($O83)=U$3,0,MIN($P83,(DATE(U$3,1,1)-$O83)/365)),MIN($P83,(DATE(U$3,12,31)-$O83)/365),$R83))))</f>
        <v>0</v>
      </c>
      <c r="V117" s="227" t="n">
        <f aca="false">IF($M83=0,0,IF($Q83="SL",SLN($M83,$N83,$P83)*IF(YEAR($O83)&lt;V$3,IF(YEAR($O83)+$P83=V$3,(MONTH($O83)-1)/12,IF(YEAR($O83)+$P83&lt;V$3,0,1)),IF(YEAR($O83)&gt;V$3,0,(12-MONTH($O83)+1)/12)),IF(YEAR($O83)&gt;V$3,0,VDB($M83,$N83,$P83,IF(YEAR($O83)=V$3,0,MIN($P83,(DATE(V$3,1,1)-$O83)/365)),MIN($P83,(DATE(V$3,12,31)-$O83)/365),$R83))))</f>
        <v>0</v>
      </c>
      <c r="W117" s="227" t="n">
        <f aca="false">IF($M83=0,0,IF($Q83="SL",SLN($M83,$N83,$P83)*IF(YEAR($O83)&lt;W$3,IF(YEAR($O83)+$P83=W$3,(MONTH($O83)-1)/12,IF(YEAR($O83)+$P83&lt;W$3,0,1)),IF(YEAR($O83)&gt;W$3,0,(12-MONTH($O83)+1)/12)),IF(YEAR($O83)&gt;W$3,0,VDB($M83,$N83,$P83,IF(YEAR($O83)=W$3,0,MIN($P83,(DATE(W$3,1,1)-$O83)/365)),MIN($P83,(DATE(W$3,12,31)-$O83)/365),$R83))))</f>
        <v>0</v>
      </c>
      <c r="X117" s="227" t="n">
        <f aca="false">IF($M83=0,0,IF($Q83="SL",SLN($M83,$N83,$P83)*IF(YEAR($O83)&lt;X$3,IF(YEAR($O83)+$P83=X$3,(MONTH($O83)-1)/12,IF(YEAR($O83)+$P83&lt;X$3,0,1)),IF(YEAR($O83)&gt;X$3,0,(12-MONTH($O83)+1)/12)),IF(YEAR($O83)&gt;X$3,0,VDB($M83,$N83,$P83,IF(YEAR($O83)=X$3,0,MIN($P83,(DATE(X$3,1,1)-$O83)/365)),MIN($P83,(DATE(X$3,12,31)-$O83)/365),$R83))))</f>
        <v>0</v>
      </c>
      <c r="Y117" s="227" t="n">
        <f aca="false">IF($M83=0,0,IF($Q83="SL",SLN($M83,$N83,$P83)*IF(YEAR($O83)&lt;Y$3,IF(YEAR($O83)+$P83=Y$3,(MONTH($O83)-1)/12,IF(YEAR($O83)+$P83&lt;Y$3,0,1)),IF(YEAR($O83)&gt;Y$3,0,(12-MONTH($O83)+1)/12)),IF(YEAR($O83)&gt;Y$3,0,VDB($M83,$N83,$P83,IF(YEAR($O83)=Y$3,0,MIN($P83,(DATE(Y$3,1,1)-$O83)/365)),MIN($P83,(DATE(Y$3,12,31)-$O83)/365),$R83))))</f>
        <v>0</v>
      </c>
      <c r="Z117" s="227" t="n">
        <f aca="false">IF($M83=0,0,IF($Q83="SL",SLN($M83,$N83,$P83)*IF(YEAR($O83)&lt;Z$3,IF(YEAR($O83)+$P83=Z$3,(MONTH($O83)-1)/12,IF(YEAR($O83)+$P83&lt;Z$3,0,1)),IF(YEAR($O83)&gt;Z$3,0,(12-MONTH($O83)+1)/12)),IF(YEAR($O83)&gt;Z$3,0,VDB($M83,$N83,$P83,IF(YEAR($O83)=Z$3,0,MIN($P83,(DATE(Z$3,1,1)-$O83)/365)),MIN($P83,(DATE(Z$3,12,31)-$O83)/365),$R83))))</f>
        <v>0</v>
      </c>
      <c r="AA117" s="227" t="n">
        <f aca="false">IF($M83=0,0,IF($Q83="SL",SLN($M83,$N83,$P83)*IF(YEAR($O83)&lt;AA$3,IF(YEAR($O83)+$P83=AA$3,(MONTH($O83)-1)/12,IF(YEAR($O83)+$P83&lt;AA$3,0,1)),IF(YEAR($O83)&gt;AA$3,0,(12-MONTH($O83)+1)/12)),IF(YEAR($O83)&gt;AA$3,0,VDB($M83,$N83,$P83,IF(YEAR($O83)=AA$3,0,MIN($P83,(DATE(AA$3,1,1)-$O83)/365)),MIN($P83,(DATE(AA$3,12,31)-$O83)/365),$R83))))</f>
        <v>0</v>
      </c>
      <c r="AB117" s="227" t="n">
        <f aca="false">IF($M83=0,0,IF($Q83="SL",SLN($M83,$N83,$P83)*IF(YEAR($O83)&lt;AB$3,IF(YEAR($O83)+$P83=AB$3,(MONTH($O83)-1)/12,IF(YEAR($O83)+$P83&lt;AB$3,0,1)),IF(YEAR($O83)&gt;AB$3,0,(12-MONTH($O83)+1)/12)),IF(YEAR($O83)&gt;AB$3,0,VDB($M83,$N83,$P83,IF(YEAR($O83)=AB$3,0,MIN($P83,(DATE(AB$3,1,1)-$O83)/365)),MIN($P83,(DATE(AB$3,12,31)-$O83)/365),$R83))))</f>
        <v>0</v>
      </c>
      <c r="AC117" s="227" t="n">
        <f aca="false">IF($M83=0,0,IF($Q83="SL",SLN($M83,$N83,$P83)*IF(YEAR($O83)&lt;AC$3,IF(YEAR($O83)+$P83=AC$3,(MONTH($O83)-1)/12,IF(YEAR($O83)+$P83&lt;AC$3,0,1)),IF(YEAR($O83)&gt;AC$3,0,(12-MONTH($O83)+1)/12)),IF(YEAR($O83)&gt;AC$3,0,VDB($M83,$N83,$P83,IF(YEAR($O83)=AC$3,0,MIN($P83,(DATE(AC$3,1,1)-$O83)/365)),MIN($P83,(DATE(AC$3,12,31)-$O83)/365),$R83))))</f>
        <v>0</v>
      </c>
    </row>
    <row r="118" customFormat="false" ht="11.25" hidden="false" customHeight="false" outlineLevel="0" collapsed="false">
      <c r="C118" s="67" t="str">
        <f aca="false">+L84</f>
        <v>Asset D</v>
      </c>
      <c r="I118" s="227" t="n">
        <f aca="false">IF($M84=0,0,IF($Q84="SL",SLN($M84,$N84,$P84)*IF(YEAR($O84)&lt;(J$3-1),IF(YEAR($O84)+$P84=J$3-1,(MONTH($O84)-1)/12,IF(YEAR($O84)+$P84&lt;J$3-1,0,1)),IF(YEAR($O84)&gt;J$3-1,0,(12-MONTH($O84)+1)/12)),IF(YEAR($O84)&gt;J$3-1,0,VDB($M84,$N84,$P84,IF(YEAR($O84)=J$3-1,0,MIN($P84,(DATE(J$3-1,1,1)-$O84)/365)),MIN($P84,(DATE(J$3-1,12,31)-$O84)/365),$R84))))</f>
        <v>0</v>
      </c>
      <c r="J118" s="227" t="n">
        <f aca="false">IF($M84=0,0,IF($Q84="SL",SLN($M84,$N84,$P84)*IF(YEAR($O84)&lt;J$3,IF(YEAR($O84)+$P84=J$3,(MONTH($O84)-1)/12,IF(YEAR($O84)+$P84&lt;J$3,0,1)),IF(YEAR($O84)&gt;J$3,0,(12-MONTH($O84)+1)/12)),IF(YEAR($O84)&gt;J$3,0,VDB($M84,$N84,$P84,IF(YEAR($O84)=J$3,0,MIN($P84,(DATE(J$3,1,1)-$O84)/365)),MIN($P84,(DATE(J$3,12,31)-$O84)/365),$R84))))</f>
        <v>0</v>
      </c>
      <c r="K118" s="227" t="n">
        <f aca="false">IF($M84=0,0,IF($Q84="SL",SLN($M84,$N84,$P84)*IF(YEAR($O84)&lt;K$3,IF(YEAR($O84)+$P84=K$3,(MONTH($O84)-1)/12,IF(YEAR($O84)+$P84&lt;K$3,0,1)),IF(YEAR($O84)&gt;K$3,0,(12-MONTH($O84)+1)/12)),IF(YEAR($O84)&gt;K$3,0,VDB($M84,$N84,$P84,IF(YEAR($O84)=K$3,0,MIN($P84,(DATE(K$3,1,1)-$O84)/365)),MIN($P84,(DATE(K$3,12,31)-$O84)/365),$R84))))</f>
        <v>0</v>
      </c>
      <c r="L118" s="227" t="n">
        <f aca="false">IF($M84=0,0,IF($Q84="SL",SLN($M84,$N84,$P84)*IF(YEAR($O84)&lt;L$3,IF(YEAR($O84)+$P84=L$3,(MONTH($O84)-1)/12,IF(YEAR($O84)+$P84&lt;L$3,0,1)),IF(YEAR($O84)&gt;L$3,0,(12-MONTH($O84)+1)/12)),IF(YEAR($O84)&gt;L$3,0,VDB($M84,$N84,$P84,IF(YEAR($O84)=L$3,0,MIN($P84,(DATE(L$3,1,1)-$O84)/365)),MIN($P84,(DATE(L$3,12,31)-$O84)/365),$R84))))</f>
        <v>0</v>
      </c>
      <c r="M118" s="227" t="n">
        <f aca="false">IF($M84=0,0,IF($Q84="SL",SLN($M84,$N84,$P84)*IF(YEAR($O84)&lt;M$3,IF(YEAR($O84)+$P84=M$3,(MONTH($O84)-1)/12,IF(YEAR($O84)+$P84&lt;M$3,0,1)),IF(YEAR($O84)&gt;M$3,0,(12-MONTH($O84)+1)/12)),IF(YEAR($O84)&gt;M$3,0,VDB($M84,$N84,$P84,IF(YEAR($O84)=M$3,0,MIN($P84,(DATE(M$3,1,1)-$O84)/365)),MIN($P84,(DATE(M$3,12,31)-$O84)/365),$R84))))</f>
        <v>0</v>
      </c>
      <c r="N118" s="227" t="n">
        <f aca="false">IF($M84=0,0,IF($Q84="SL",SLN($M84,$N84,$P84)*IF(YEAR($O84)&lt;N$3,IF(YEAR($O84)+$P84=N$3,(MONTH($O84)-1)/12,IF(YEAR($O84)+$P84&lt;N$3,0,1)),IF(YEAR($O84)&gt;N$3,0,(12-MONTH($O84)+1)/12)),IF(YEAR($O84)&gt;N$3,0,VDB($M84,$N84,$P84,IF(YEAR($O84)=N$3,0,MIN($P84,(DATE(N$3,1,1)-$O84)/365)),MIN($P84,(DATE(N$3,12,31)-$O84)/365),$R84))))</f>
        <v>0</v>
      </c>
      <c r="O118" s="227" t="n">
        <f aca="false">IF($M84=0,0,IF($Q84="SL",SLN($M84,$N84,$P84)*IF(YEAR($O84)&lt;O$3,IF(YEAR($O84)+$P84=O$3,(MONTH($O84)-1)/12,IF(YEAR($O84)+$P84&lt;O$3,0,1)),IF(YEAR($O84)&gt;O$3,0,(12-MONTH($O84)+1)/12)),IF(YEAR($O84)&gt;O$3,0,VDB($M84,$N84,$P84,IF(YEAR($O84)=O$3,0,MIN($P84,(DATE(O$3,1,1)-$O84)/365)),MIN($P84,(DATE(O$3,12,31)-$O84)/365),$R84))))</f>
        <v>0</v>
      </c>
      <c r="P118" s="227" t="n">
        <f aca="false">IF($M84=0,0,IF($Q84="SL",SLN($M84,$N84,$P84)*IF(YEAR($O84)&lt;P$3,IF(YEAR($O84)+$P84=P$3,(MONTH($O84)-1)/12,IF(YEAR($O84)+$P84&lt;P$3,0,1)),IF(YEAR($O84)&gt;P$3,0,(12-MONTH($O84)+1)/12)),IF(YEAR($O84)&gt;P$3,0,VDB($M84,$N84,$P84,IF(YEAR($O84)=P$3,0,MIN($P84,(DATE(P$3,1,1)-$O84)/365)),MIN($P84,(DATE(P$3,12,31)-$O84)/365),$R84))))</f>
        <v>0</v>
      </c>
      <c r="Q118" s="227" t="n">
        <f aca="false">IF($M84=0,0,IF($Q84="SL",SLN($M84,$N84,$P84)*IF(YEAR($O84)&lt;Q$3,IF(YEAR($O84)+$P84=Q$3,(MONTH($O84)-1)/12,IF(YEAR($O84)+$P84&lt;Q$3,0,1)),IF(YEAR($O84)&gt;Q$3,0,(12-MONTH($O84)+1)/12)),IF(YEAR($O84)&gt;Q$3,0,VDB($M84,$N84,$P84,IF(YEAR($O84)=Q$3,0,MIN($P84,(DATE(Q$3,1,1)-$O84)/365)),MIN($P84,(DATE(Q$3,12,31)-$O84)/365),$R84))))</f>
        <v>0</v>
      </c>
      <c r="R118" s="227" t="n">
        <f aca="false">IF($M84=0,0,IF($Q84="SL",SLN($M84,$N84,$P84)*IF(YEAR($O84)&lt;R$3,IF(YEAR($O84)+$P84=R$3,(MONTH($O84)-1)/12,IF(YEAR($O84)+$P84&lt;R$3,0,1)),IF(YEAR($O84)&gt;R$3,0,(12-MONTH($O84)+1)/12)),IF(YEAR($O84)&gt;R$3,0,VDB($M84,$N84,$P84,IF(YEAR($O84)=R$3,0,MIN($P84,(DATE(R$3,1,1)-$O84)/365)),MIN($P84,(DATE(R$3,12,31)-$O84)/365),$R84))))</f>
        <v>0</v>
      </c>
      <c r="S118" s="227" t="n">
        <f aca="false">IF($M84=0,0,IF($Q84="SL",SLN($M84,$N84,$P84)*IF(YEAR($O84)&lt;S$3,IF(YEAR($O84)+$P84=S$3,(MONTH($O84)-1)/12,IF(YEAR($O84)+$P84&lt;S$3,0,1)),IF(YEAR($O84)&gt;S$3,0,(12-MONTH($O84)+1)/12)),IF(YEAR($O84)&gt;S$3,0,VDB($M84,$N84,$P84,IF(YEAR($O84)=S$3,0,MIN($P84,(DATE(S$3,1,1)-$O84)/365)),MIN($P84,(DATE(S$3,12,31)-$O84)/365),$R84))))</f>
        <v>0</v>
      </c>
      <c r="T118" s="227" t="n">
        <f aca="false">IF($M84=0,0,IF($Q84="SL",SLN($M84,$N84,$P84)*IF(YEAR($O84)&lt;T$3,IF(YEAR($O84)+$P84=T$3,(MONTH($O84)-1)/12,IF(YEAR($O84)+$P84&lt;T$3,0,1)),IF(YEAR($O84)&gt;T$3,0,(12-MONTH($O84)+1)/12)),IF(YEAR($O84)&gt;T$3,0,VDB($M84,$N84,$P84,IF(YEAR($O84)=T$3,0,MIN($P84,(DATE(T$3,1,1)-$O84)/365)),MIN($P84,(DATE(T$3,12,31)-$O84)/365),$R84))))</f>
        <v>0</v>
      </c>
      <c r="U118" s="227" t="n">
        <f aca="false">IF($M84=0,0,IF($Q84="SL",SLN($M84,$N84,$P84)*IF(YEAR($O84)&lt;U$3,IF(YEAR($O84)+$P84=U$3,(MONTH($O84)-1)/12,IF(YEAR($O84)+$P84&lt;U$3,0,1)),IF(YEAR($O84)&gt;U$3,0,(12-MONTH($O84)+1)/12)),IF(YEAR($O84)&gt;U$3,0,VDB($M84,$N84,$P84,IF(YEAR($O84)=U$3,0,MIN($P84,(DATE(U$3,1,1)-$O84)/365)),MIN($P84,(DATE(U$3,12,31)-$O84)/365),$R84))))</f>
        <v>0</v>
      </c>
      <c r="V118" s="227" t="n">
        <f aca="false">IF($M84=0,0,IF($Q84="SL",SLN($M84,$N84,$P84)*IF(YEAR($O84)&lt;V$3,IF(YEAR($O84)+$P84=V$3,(MONTH($O84)-1)/12,IF(YEAR($O84)+$P84&lt;V$3,0,1)),IF(YEAR($O84)&gt;V$3,0,(12-MONTH($O84)+1)/12)),IF(YEAR($O84)&gt;V$3,0,VDB($M84,$N84,$P84,IF(YEAR($O84)=V$3,0,MIN($P84,(DATE(V$3,1,1)-$O84)/365)),MIN($P84,(DATE(V$3,12,31)-$O84)/365),$R84))))</f>
        <v>0</v>
      </c>
      <c r="W118" s="227" t="n">
        <f aca="false">IF($M84=0,0,IF($Q84="SL",SLN($M84,$N84,$P84)*IF(YEAR($O84)&lt;W$3,IF(YEAR($O84)+$P84=W$3,(MONTH($O84)-1)/12,IF(YEAR($O84)+$P84&lt;W$3,0,1)),IF(YEAR($O84)&gt;W$3,0,(12-MONTH($O84)+1)/12)),IF(YEAR($O84)&gt;W$3,0,VDB($M84,$N84,$P84,IF(YEAR($O84)=W$3,0,MIN($P84,(DATE(W$3,1,1)-$O84)/365)),MIN($P84,(DATE(W$3,12,31)-$O84)/365),$R84))))</f>
        <v>0</v>
      </c>
      <c r="X118" s="227" t="n">
        <f aca="false">IF($M84=0,0,IF($Q84="SL",SLN($M84,$N84,$P84)*IF(YEAR($O84)&lt;X$3,IF(YEAR($O84)+$P84=X$3,(MONTH($O84)-1)/12,IF(YEAR($O84)+$P84&lt;X$3,0,1)),IF(YEAR($O84)&gt;X$3,0,(12-MONTH($O84)+1)/12)),IF(YEAR($O84)&gt;X$3,0,VDB($M84,$N84,$P84,IF(YEAR($O84)=X$3,0,MIN($P84,(DATE(X$3,1,1)-$O84)/365)),MIN($P84,(DATE(X$3,12,31)-$O84)/365),$R84))))</f>
        <v>0</v>
      </c>
      <c r="Y118" s="227" t="n">
        <f aca="false">IF($M84=0,0,IF($Q84="SL",SLN($M84,$N84,$P84)*IF(YEAR($O84)&lt;Y$3,IF(YEAR($O84)+$P84=Y$3,(MONTH($O84)-1)/12,IF(YEAR($O84)+$P84&lt;Y$3,0,1)),IF(YEAR($O84)&gt;Y$3,0,(12-MONTH($O84)+1)/12)),IF(YEAR($O84)&gt;Y$3,0,VDB($M84,$N84,$P84,IF(YEAR($O84)=Y$3,0,MIN($P84,(DATE(Y$3,1,1)-$O84)/365)),MIN($P84,(DATE(Y$3,12,31)-$O84)/365),$R84))))</f>
        <v>0</v>
      </c>
      <c r="Z118" s="227" t="n">
        <f aca="false">IF($M84=0,0,IF($Q84="SL",SLN($M84,$N84,$P84)*IF(YEAR($O84)&lt;Z$3,IF(YEAR($O84)+$P84=Z$3,(MONTH($O84)-1)/12,IF(YEAR($O84)+$P84&lt;Z$3,0,1)),IF(YEAR($O84)&gt;Z$3,0,(12-MONTH($O84)+1)/12)),IF(YEAR($O84)&gt;Z$3,0,VDB($M84,$N84,$P84,IF(YEAR($O84)=Z$3,0,MIN($P84,(DATE(Z$3,1,1)-$O84)/365)),MIN($P84,(DATE(Z$3,12,31)-$O84)/365),$R84))))</f>
        <v>0</v>
      </c>
      <c r="AA118" s="227" t="n">
        <f aca="false">IF($M84=0,0,IF($Q84="SL",SLN($M84,$N84,$P84)*IF(YEAR($O84)&lt;AA$3,IF(YEAR($O84)+$P84=AA$3,(MONTH($O84)-1)/12,IF(YEAR($O84)+$P84&lt;AA$3,0,1)),IF(YEAR($O84)&gt;AA$3,0,(12-MONTH($O84)+1)/12)),IF(YEAR($O84)&gt;AA$3,0,VDB($M84,$N84,$P84,IF(YEAR($O84)=AA$3,0,MIN($P84,(DATE(AA$3,1,1)-$O84)/365)),MIN($P84,(DATE(AA$3,12,31)-$O84)/365),$R84))))</f>
        <v>0</v>
      </c>
      <c r="AB118" s="227" t="n">
        <f aca="false">IF($M84=0,0,IF($Q84="SL",SLN($M84,$N84,$P84)*IF(YEAR($O84)&lt;AB$3,IF(YEAR($O84)+$P84=AB$3,(MONTH($O84)-1)/12,IF(YEAR($O84)+$P84&lt;AB$3,0,1)),IF(YEAR($O84)&gt;AB$3,0,(12-MONTH($O84)+1)/12)),IF(YEAR($O84)&gt;AB$3,0,VDB($M84,$N84,$P84,IF(YEAR($O84)=AB$3,0,MIN($P84,(DATE(AB$3,1,1)-$O84)/365)),MIN($P84,(DATE(AB$3,12,31)-$O84)/365),$R84))))</f>
        <v>0</v>
      </c>
      <c r="AC118" s="227" t="n">
        <f aca="false">IF($M84=0,0,IF($Q84="SL",SLN($M84,$N84,$P84)*IF(YEAR($O84)&lt;AC$3,IF(YEAR($O84)+$P84=AC$3,(MONTH($O84)-1)/12,IF(YEAR($O84)+$P84&lt;AC$3,0,1)),IF(YEAR($O84)&gt;AC$3,0,(12-MONTH($O84)+1)/12)),IF(YEAR($O84)&gt;AC$3,0,VDB($M84,$N84,$P84,IF(YEAR($O84)=AC$3,0,MIN($P84,(DATE(AC$3,1,1)-$O84)/365)),MIN($P84,(DATE(AC$3,12,31)-$O84)/365),$R84))))</f>
        <v>0</v>
      </c>
    </row>
    <row r="119" customFormat="false" ht="11.25" hidden="false" customHeight="false" outlineLevel="0" collapsed="false">
      <c r="C119" s="67" t="str">
        <f aca="false">+L85</f>
        <v>Asset E</v>
      </c>
      <c r="I119" s="227" t="n">
        <f aca="false">IF($M85=0,0,IF($Q85="SL",SLN($M85,$N85,$P85)*IF(YEAR($O85)&lt;(J$3-1),IF(YEAR($O85)+$P85=J$3-1,(MONTH($O85)-1)/12,IF(YEAR($O85)+$P85&lt;J$3-1,0,1)),IF(YEAR($O85)&gt;J$3-1,0,(12-MONTH($O85)+1)/12)),IF(YEAR($O85)&gt;J$3-1,0,VDB($M85,$N85,$P85,IF(YEAR($O85)=J$3-1,0,MIN($P85,(DATE(J$3-1,1,1)-$O85)/365)),MIN($P85,(DATE(J$3-1,12,31)-$O85)/365),$R85))))</f>
        <v>0</v>
      </c>
      <c r="J119" s="227" t="n">
        <f aca="false">IF($M85=0,0,IF($Q85="SL",SLN($M85,$N85,$P85)*IF(YEAR($O85)&lt;J$3,IF(YEAR($O85)+$P85=J$3,(MONTH($O85)-1)/12,IF(YEAR($O85)+$P85&lt;J$3,0,1)),IF(YEAR($O85)&gt;J$3,0,(12-MONTH($O85)+1)/12)),IF(YEAR($O85)&gt;J$3,0,VDB($M85,$N85,$P85,IF(YEAR($O85)=J$3,0,MIN($P85,(DATE(J$3,1,1)-$O85)/365)),MIN($P85,(DATE(J$3,12,31)-$O85)/365),$R85))))</f>
        <v>0</v>
      </c>
      <c r="K119" s="227" t="n">
        <f aca="false">IF($M85=0,0,IF($Q85="SL",SLN($M85,$N85,$P85)*IF(YEAR($O85)&lt;K$3,IF(YEAR($O85)+$P85=K$3,(MONTH($O85)-1)/12,IF(YEAR($O85)+$P85&lt;K$3,0,1)),IF(YEAR($O85)&gt;K$3,0,(12-MONTH($O85)+1)/12)),IF(YEAR($O85)&gt;K$3,0,VDB($M85,$N85,$P85,IF(YEAR($O85)=K$3,0,MIN($P85,(DATE(K$3,1,1)-$O85)/365)),MIN($P85,(DATE(K$3,12,31)-$O85)/365),$R85))))</f>
        <v>0</v>
      </c>
      <c r="L119" s="227" t="n">
        <f aca="false">IF($M85=0,0,IF($Q85="SL",SLN($M85,$N85,$P85)*IF(YEAR($O85)&lt;L$3,IF(YEAR($O85)+$P85=L$3,(MONTH($O85)-1)/12,IF(YEAR($O85)+$P85&lt;L$3,0,1)),IF(YEAR($O85)&gt;L$3,0,(12-MONTH($O85)+1)/12)),IF(YEAR($O85)&gt;L$3,0,VDB($M85,$N85,$P85,IF(YEAR($O85)=L$3,0,MIN($P85,(DATE(L$3,1,1)-$O85)/365)),MIN($P85,(DATE(L$3,12,31)-$O85)/365),$R85))))</f>
        <v>0</v>
      </c>
      <c r="M119" s="227" t="n">
        <f aca="false">IF($M85=0,0,IF($Q85="SL",SLN($M85,$N85,$P85)*IF(YEAR($O85)&lt;M$3,IF(YEAR($O85)+$P85=M$3,(MONTH($O85)-1)/12,IF(YEAR($O85)+$P85&lt;M$3,0,1)),IF(YEAR($O85)&gt;M$3,0,(12-MONTH($O85)+1)/12)),IF(YEAR($O85)&gt;M$3,0,VDB($M85,$N85,$P85,IF(YEAR($O85)=M$3,0,MIN($P85,(DATE(M$3,1,1)-$O85)/365)),MIN($P85,(DATE(M$3,12,31)-$O85)/365),$R85))))</f>
        <v>0</v>
      </c>
      <c r="N119" s="227" t="n">
        <f aca="false">IF($M85=0,0,IF($Q85="SL",SLN($M85,$N85,$P85)*IF(YEAR($O85)&lt;N$3,IF(YEAR($O85)+$P85=N$3,(MONTH($O85)-1)/12,IF(YEAR($O85)+$P85&lt;N$3,0,1)),IF(YEAR($O85)&gt;N$3,0,(12-MONTH($O85)+1)/12)),IF(YEAR($O85)&gt;N$3,0,VDB($M85,$N85,$P85,IF(YEAR($O85)=N$3,0,MIN($P85,(DATE(N$3,1,1)-$O85)/365)),MIN($P85,(DATE(N$3,12,31)-$O85)/365),$R85))))</f>
        <v>0</v>
      </c>
      <c r="O119" s="227" t="n">
        <f aca="false">IF($M85=0,0,IF($Q85="SL",SLN($M85,$N85,$P85)*IF(YEAR($O85)&lt;O$3,IF(YEAR($O85)+$P85=O$3,(MONTH($O85)-1)/12,IF(YEAR($O85)+$P85&lt;O$3,0,1)),IF(YEAR($O85)&gt;O$3,0,(12-MONTH($O85)+1)/12)),IF(YEAR($O85)&gt;O$3,0,VDB($M85,$N85,$P85,IF(YEAR($O85)=O$3,0,MIN($P85,(DATE(O$3,1,1)-$O85)/365)),MIN($P85,(DATE(O$3,12,31)-$O85)/365),$R85))))</f>
        <v>0</v>
      </c>
      <c r="P119" s="227" t="n">
        <f aca="false">IF($M85=0,0,IF($Q85="SL",SLN($M85,$N85,$P85)*IF(YEAR($O85)&lt;P$3,IF(YEAR($O85)+$P85=P$3,(MONTH($O85)-1)/12,IF(YEAR($O85)+$P85&lt;P$3,0,1)),IF(YEAR($O85)&gt;P$3,0,(12-MONTH($O85)+1)/12)),IF(YEAR($O85)&gt;P$3,0,VDB($M85,$N85,$P85,IF(YEAR($O85)=P$3,0,MIN($P85,(DATE(P$3,1,1)-$O85)/365)),MIN($P85,(DATE(P$3,12,31)-$O85)/365),$R85))))</f>
        <v>0</v>
      </c>
      <c r="Q119" s="227" t="n">
        <f aca="false">IF($M85=0,0,IF($Q85="SL",SLN($M85,$N85,$P85)*IF(YEAR($O85)&lt;Q$3,IF(YEAR($O85)+$P85=Q$3,(MONTH($O85)-1)/12,IF(YEAR($O85)+$P85&lt;Q$3,0,1)),IF(YEAR($O85)&gt;Q$3,0,(12-MONTH($O85)+1)/12)),IF(YEAR($O85)&gt;Q$3,0,VDB($M85,$N85,$P85,IF(YEAR($O85)=Q$3,0,MIN($P85,(DATE(Q$3,1,1)-$O85)/365)),MIN($P85,(DATE(Q$3,12,31)-$O85)/365),$R85))))</f>
        <v>0</v>
      </c>
      <c r="R119" s="227" t="n">
        <f aca="false">IF($M85=0,0,IF($Q85="SL",SLN($M85,$N85,$P85)*IF(YEAR($O85)&lt;R$3,IF(YEAR($O85)+$P85=R$3,(MONTH($O85)-1)/12,IF(YEAR($O85)+$P85&lt;R$3,0,1)),IF(YEAR($O85)&gt;R$3,0,(12-MONTH($O85)+1)/12)),IF(YEAR($O85)&gt;R$3,0,VDB($M85,$N85,$P85,IF(YEAR($O85)=R$3,0,MIN($P85,(DATE(R$3,1,1)-$O85)/365)),MIN($P85,(DATE(R$3,12,31)-$O85)/365),$R85))))</f>
        <v>0</v>
      </c>
      <c r="S119" s="227" t="n">
        <f aca="false">IF($M85=0,0,IF($Q85="SL",SLN($M85,$N85,$P85)*IF(YEAR($O85)&lt;S$3,IF(YEAR($O85)+$P85=S$3,(MONTH($O85)-1)/12,IF(YEAR($O85)+$P85&lt;S$3,0,1)),IF(YEAR($O85)&gt;S$3,0,(12-MONTH($O85)+1)/12)),IF(YEAR($O85)&gt;S$3,0,VDB($M85,$N85,$P85,IF(YEAR($O85)=S$3,0,MIN($P85,(DATE(S$3,1,1)-$O85)/365)),MIN($P85,(DATE(S$3,12,31)-$O85)/365),$R85))))</f>
        <v>0</v>
      </c>
      <c r="T119" s="227" t="n">
        <f aca="false">IF($M85=0,0,IF($Q85="SL",SLN($M85,$N85,$P85)*IF(YEAR($O85)&lt;T$3,IF(YEAR($O85)+$P85=T$3,(MONTH($O85)-1)/12,IF(YEAR($O85)+$P85&lt;T$3,0,1)),IF(YEAR($O85)&gt;T$3,0,(12-MONTH($O85)+1)/12)),IF(YEAR($O85)&gt;T$3,0,VDB($M85,$N85,$P85,IF(YEAR($O85)=T$3,0,MIN($P85,(DATE(T$3,1,1)-$O85)/365)),MIN($P85,(DATE(T$3,12,31)-$O85)/365),$R85))))</f>
        <v>0</v>
      </c>
      <c r="U119" s="227" t="n">
        <f aca="false">IF($M85=0,0,IF($Q85="SL",SLN($M85,$N85,$P85)*IF(YEAR($O85)&lt;U$3,IF(YEAR($O85)+$P85=U$3,(MONTH($O85)-1)/12,IF(YEAR($O85)+$P85&lt;U$3,0,1)),IF(YEAR($O85)&gt;U$3,0,(12-MONTH($O85)+1)/12)),IF(YEAR($O85)&gt;U$3,0,VDB($M85,$N85,$P85,IF(YEAR($O85)=U$3,0,MIN($P85,(DATE(U$3,1,1)-$O85)/365)),MIN($P85,(DATE(U$3,12,31)-$O85)/365),$R85))))</f>
        <v>0</v>
      </c>
      <c r="V119" s="227" t="n">
        <f aca="false">IF($M85=0,0,IF($Q85="SL",SLN($M85,$N85,$P85)*IF(YEAR($O85)&lt;V$3,IF(YEAR($O85)+$P85=V$3,(MONTH($O85)-1)/12,IF(YEAR($O85)+$P85&lt;V$3,0,1)),IF(YEAR($O85)&gt;V$3,0,(12-MONTH($O85)+1)/12)),IF(YEAR($O85)&gt;V$3,0,VDB($M85,$N85,$P85,IF(YEAR($O85)=V$3,0,MIN($P85,(DATE(V$3,1,1)-$O85)/365)),MIN($P85,(DATE(V$3,12,31)-$O85)/365),$R85))))</f>
        <v>0</v>
      </c>
      <c r="W119" s="227" t="n">
        <f aca="false">IF($M85=0,0,IF($Q85="SL",SLN($M85,$N85,$P85)*IF(YEAR($O85)&lt;W$3,IF(YEAR($O85)+$P85=W$3,(MONTH($O85)-1)/12,IF(YEAR($O85)+$P85&lt;W$3,0,1)),IF(YEAR($O85)&gt;W$3,0,(12-MONTH($O85)+1)/12)),IF(YEAR($O85)&gt;W$3,0,VDB($M85,$N85,$P85,IF(YEAR($O85)=W$3,0,MIN($P85,(DATE(W$3,1,1)-$O85)/365)),MIN($P85,(DATE(W$3,12,31)-$O85)/365),$R85))))</f>
        <v>0</v>
      </c>
      <c r="X119" s="227" t="n">
        <f aca="false">IF($M85=0,0,IF($Q85="SL",SLN($M85,$N85,$P85)*IF(YEAR($O85)&lt;X$3,IF(YEAR($O85)+$P85=X$3,(MONTH($O85)-1)/12,IF(YEAR($O85)+$P85&lt;X$3,0,1)),IF(YEAR($O85)&gt;X$3,0,(12-MONTH($O85)+1)/12)),IF(YEAR($O85)&gt;X$3,0,VDB($M85,$N85,$P85,IF(YEAR($O85)=X$3,0,MIN($P85,(DATE(X$3,1,1)-$O85)/365)),MIN($P85,(DATE(X$3,12,31)-$O85)/365),$R85))))</f>
        <v>0</v>
      </c>
      <c r="Y119" s="227" t="n">
        <f aca="false">IF($M85=0,0,IF($Q85="SL",SLN($M85,$N85,$P85)*IF(YEAR($O85)&lt;Y$3,IF(YEAR($O85)+$P85=Y$3,(MONTH($O85)-1)/12,IF(YEAR($O85)+$P85&lt;Y$3,0,1)),IF(YEAR($O85)&gt;Y$3,0,(12-MONTH($O85)+1)/12)),IF(YEAR($O85)&gt;Y$3,0,VDB($M85,$N85,$P85,IF(YEAR($O85)=Y$3,0,MIN($P85,(DATE(Y$3,1,1)-$O85)/365)),MIN($P85,(DATE(Y$3,12,31)-$O85)/365),$R85))))</f>
        <v>0</v>
      </c>
      <c r="Z119" s="227" t="n">
        <f aca="false">IF($M85=0,0,IF($Q85="SL",SLN($M85,$N85,$P85)*IF(YEAR($O85)&lt;Z$3,IF(YEAR($O85)+$P85=Z$3,(MONTH($O85)-1)/12,IF(YEAR($O85)+$P85&lt;Z$3,0,1)),IF(YEAR($O85)&gt;Z$3,0,(12-MONTH($O85)+1)/12)),IF(YEAR($O85)&gt;Z$3,0,VDB($M85,$N85,$P85,IF(YEAR($O85)=Z$3,0,MIN($P85,(DATE(Z$3,1,1)-$O85)/365)),MIN($P85,(DATE(Z$3,12,31)-$O85)/365),$R85))))</f>
        <v>0</v>
      </c>
      <c r="AA119" s="227" t="n">
        <f aca="false">IF($M85=0,0,IF($Q85="SL",SLN($M85,$N85,$P85)*IF(YEAR($O85)&lt;AA$3,IF(YEAR($O85)+$P85=AA$3,(MONTH($O85)-1)/12,IF(YEAR($O85)+$P85&lt;AA$3,0,1)),IF(YEAR($O85)&gt;AA$3,0,(12-MONTH($O85)+1)/12)),IF(YEAR($O85)&gt;AA$3,0,VDB($M85,$N85,$P85,IF(YEAR($O85)=AA$3,0,MIN($P85,(DATE(AA$3,1,1)-$O85)/365)),MIN($P85,(DATE(AA$3,12,31)-$O85)/365),$R85))))</f>
        <v>0</v>
      </c>
      <c r="AB119" s="227" t="n">
        <f aca="false">IF($M85=0,0,IF($Q85="SL",SLN($M85,$N85,$P85)*IF(YEAR($O85)&lt;AB$3,IF(YEAR($O85)+$P85=AB$3,(MONTH($O85)-1)/12,IF(YEAR($O85)+$P85&lt;AB$3,0,1)),IF(YEAR($O85)&gt;AB$3,0,(12-MONTH($O85)+1)/12)),IF(YEAR($O85)&gt;AB$3,0,VDB($M85,$N85,$P85,IF(YEAR($O85)=AB$3,0,MIN($P85,(DATE(AB$3,1,1)-$O85)/365)),MIN($P85,(DATE(AB$3,12,31)-$O85)/365),$R85))))</f>
        <v>0</v>
      </c>
      <c r="AC119" s="227" t="n">
        <f aca="false">IF($M85=0,0,IF($Q85="SL",SLN($M85,$N85,$P85)*IF(YEAR($O85)&lt;AC$3,IF(YEAR($O85)+$P85=AC$3,(MONTH($O85)-1)/12,IF(YEAR($O85)+$P85&lt;AC$3,0,1)),IF(YEAR($O85)&gt;AC$3,0,(12-MONTH($O85)+1)/12)),IF(YEAR($O85)&gt;AC$3,0,VDB($M85,$N85,$P85,IF(YEAR($O85)=AC$3,0,MIN($P85,(DATE(AC$3,1,1)-$O85)/365)),MIN($P85,(DATE(AC$3,12,31)-$O85)/365),$R85))))</f>
        <v>0</v>
      </c>
    </row>
    <row r="120" customFormat="false" ht="11.25" hidden="false" customHeight="false" outlineLevel="0" collapsed="false">
      <c r="B120" s="153" t="s">
        <v>462</v>
      </c>
      <c r="C120" s="65"/>
      <c r="D120" s="80"/>
      <c r="E120" s="80"/>
      <c r="F120" s="80"/>
      <c r="G120" s="80"/>
      <c r="H120" s="80"/>
      <c r="I120" s="189" t="n">
        <f aca="false">SUM(I115:I119)</f>
        <v>0</v>
      </c>
      <c r="J120" s="189" t="n">
        <f aca="false">SUM(J115:J119)</f>
        <v>0</v>
      </c>
      <c r="K120" s="189" t="n">
        <f aca="false">SUM(K115:K119)</f>
        <v>0</v>
      </c>
      <c r="L120" s="189" t="n">
        <f aca="false">SUM(L115:L119)</f>
        <v>0</v>
      </c>
      <c r="M120" s="189" t="n">
        <f aca="false">SUM(M115:M119)</f>
        <v>0</v>
      </c>
      <c r="N120" s="189" t="n">
        <f aca="false">SUM(N115:N119)</f>
        <v>0</v>
      </c>
      <c r="O120" s="189" t="n">
        <f aca="false">SUM(O115:O119)</f>
        <v>0</v>
      </c>
      <c r="P120" s="189" t="n">
        <f aca="false">SUM(P115:P119)</f>
        <v>0</v>
      </c>
      <c r="Q120" s="189" t="n">
        <f aca="false">SUM(Q115:Q119)</f>
        <v>0</v>
      </c>
      <c r="R120" s="189" t="n">
        <f aca="false">SUM(R115:R119)</f>
        <v>0</v>
      </c>
      <c r="S120" s="189" t="n">
        <f aca="false">SUM(S115:S119)</f>
        <v>0</v>
      </c>
      <c r="T120" s="189" t="n">
        <f aca="false">SUM(T115:T119)</f>
        <v>0</v>
      </c>
      <c r="U120" s="189" t="n">
        <f aca="false">SUM(U115:U119)</f>
        <v>0</v>
      </c>
      <c r="V120" s="189" t="n">
        <f aca="false">SUM(V115:V119)</f>
        <v>0</v>
      </c>
      <c r="W120" s="189" t="n">
        <f aca="false">SUM(W115:W119)</f>
        <v>0</v>
      </c>
      <c r="X120" s="189" t="n">
        <f aca="false">SUM(X115:X119)</f>
        <v>0</v>
      </c>
      <c r="Y120" s="189" t="n">
        <f aca="false">SUM(Y115:Y119)</f>
        <v>0</v>
      </c>
      <c r="Z120" s="189" t="n">
        <f aca="false">SUM(Z115:Z119)</f>
        <v>0</v>
      </c>
      <c r="AA120" s="189" t="n">
        <f aca="false">SUM(AA115:AA119)</f>
        <v>0</v>
      </c>
      <c r="AB120" s="189" t="n">
        <f aca="false">SUM(AB115:AB119)</f>
        <v>0</v>
      </c>
      <c r="AC120" s="189" t="n">
        <f aca="false">SUM(AC115:AC119)</f>
        <v>0</v>
      </c>
    </row>
    <row r="121" customFormat="false" ht="11.25" hidden="false" customHeight="false" outlineLevel="0" collapsed="false">
      <c r="C121" s="80"/>
      <c r="D121" s="80"/>
      <c r="E121" s="80"/>
      <c r="F121" s="80"/>
      <c r="G121" s="80"/>
      <c r="H121" s="80"/>
      <c r="I121" s="80"/>
      <c r="J121" s="140"/>
      <c r="K121" s="80"/>
      <c r="L121" s="80"/>
      <c r="M121" s="80"/>
      <c r="N121" s="80"/>
      <c r="O121" s="80"/>
      <c r="P121" s="80"/>
      <c r="Q121" s="80"/>
      <c r="R121" s="80"/>
      <c r="S121" s="80"/>
      <c r="T121" s="80"/>
      <c r="U121" s="80"/>
      <c r="V121" s="80"/>
      <c r="W121" s="80"/>
      <c r="X121" s="80"/>
      <c r="Y121" s="80"/>
      <c r="Z121" s="80"/>
      <c r="AA121" s="80"/>
      <c r="AB121" s="80"/>
      <c r="AC121" s="80"/>
    </row>
    <row r="122" customFormat="false" ht="11.25" hidden="false" customHeight="false" outlineLevel="0" collapsed="false">
      <c r="A122" s="153" t="s">
        <v>411</v>
      </c>
      <c r="D122" s="80"/>
      <c r="E122" s="80"/>
      <c r="F122" s="80"/>
      <c r="G122" s="80"/>
      <c r="H122" s="140"/>
    </row>
    <row r="123" customFormat="false" ht="11.25" hidden="false" customHeight="false" outlineLevel="0" collapsed="false">
      <c r="C123" s="67" t="str">
        <f aca="false">+C106</f>
        <v>Funding 1</v>
      </c>
      <c r="D123" s="80"/>
      <c r="E123" s="80"/>
      <c r="F123" s="80"/>
      <c r="G123" s="80"/>
      <c r="H123" s="140"/>
      <c r="I123" s="227" t="n">
        <f aca="false">IF($M89=0,0,IF($Q89="SL",SLN($M89,$N89,$P89)*IF(YEAR($O89)&lt;(J$3-1),IF(YEAR($O89)+$P89=J$3-1,(MONTH($O89)-1)/12,IF(YEAR($O89)+$P89&lt;J$3-1,0,1)),IF(YEAR($O89)&gt;J$3-1,0,(12-MONTH($O89)+1)/12)),IF(YEAR($O89)&gt;J$3-1,0,VDB($M89,$N89,$P89,IF(YEAR($O89)=J$3-1,0,MIN($P89,(DATE(J$3-1,1,1)-$O89)/365)),MIN($P89,(DATE(J$3-1,12,31)-$O89)/365),$R89))))</f>
        <v>0</v>
      </c>
      <c r="J123" s="227" t="n">
        <f aca="false">IF($M89=0,0,IF($Q89="SL",SLN($M89,$N89,$P89)*IF(YEAR($O89)&lt;J$3,IF(YEAR($O89)+$P89=J$3,(MONTH($O89)-1)/12,IF(YEAR($O89)+$P89&lt;J$3,0,1)),IF(YEAR($O89)&gt;J$3,0,(12-MONTH($O89)+1)/12)),IF(YEAR($O89)&gt;J$3,0,VDB($M89,$N89,$P89,IF(YEAR($O89)=J$3,0,MIN($P89,(DATE(J$3,1,1)-$O89)/365)),MIN($P89,(DATE(J$3,12,31)-$O89)/365),$R89))))</f>
        <v>0</v>
      </c>
      <c r="K123" s="227" t="n">
        <f aca="false">IF($M89=0,0,IF($Q89="SL",SLN($M89,$N89,$P89)*IF(YEAR($O89)&lt;K$3,IF(YEAR($O89)+$P89=K$3,(MONTH($O89)-1)/12,IF(YEAR($O89)+$P89&lt;K$3,0,1)),IF(YEAR($O89)&gt;K$3,0,(12-MONTH($O89)+1)/12)),IF(YEAR($O89)&gt;K$3,0,VDB($M89,$N89,$P89,IF(YEAR($O89)=K$3,0,MIN($P89,(DATE(K$3,1,1)-$O89)/365)),MIN($P89,(DATE(K$3,12,31)-$O89)/365),$R89))))</f>
        <v>0</v>
      </c>
      <c r="L123" s="227" t="n">
        <f aca="false">IF($M89=0,0,IF($Q89="SL",SLN($M89,$N89,$P89)*IF(YEAR($O89)&lt;L$3,IF(YEAR($O89)+$P89=L$3,(MONTH($O89)-1)/12,IF(YEAR($O89)+$P89&lt;L$3,0,1)),IF(YEAR($O89)&gt;L$3,0,(12-MONTH($O89)+1)/12)),IF(YEAR($O89)&gt;L$3,0,VDB($M89,$N89,$P89,IF(YEAR($O89)=L$3,0,MIN($P89,(DATE(L$3,1,1)-$O89)/365)),MIN($P89,(DATE(L$3,12,31)-$O89)/365),$R89))))</f>
        <v>0</v>
      </c>
      <c r="M123" s="227" t="n">
        <f aca="false">IF($M89=0,0,IF($Q89="SL",SLN($M89,$N89,$P89)*IF(YEAR($O89)&lt;M$3,IF(YEAR($O89)+$P89=M$3,(MONTH($O89)-1)/12,IF(YEAR($O89)+$P89&lt;M$3,0,1)),IF(YEAR($O89)&gt;M$3,0,(12-MONTH($O89)+1)/12)),IF(YEAR($O89)&gt;M$3,0,VDB($M89,$N89,$P89,IF(YEAR($O89)=M$3,0,MIN($P89,(DATE(M$3,1,1)-$O89)/365)),MIN($P89,(DATE(M$3,12,31)-$O89)/365),$R89))))</f>
        <v>0</v>
      </c>
      <c r="N123" s="227" t="n">
        <f aca="false">IF($M89=0,0,IF($Q89="SL",SLN($M89,$N89,$P89)*IF(YEAR($O89)&lt;N$3,IF(YEAR($O89)+$P89=N$3,(MONTH($O89)-1)/12,IF(YEAR($O89)+$P89&lt;N$3,0,1)),IF(YEAR($O89)&gt;N$3,0,(12-MONTH($O89)+1)/12)),IF(YEAR($O89)&gt;N$3,0,VDB($M89,$N89,$P89,IF(YEAR($O89)=N$3,0,MIN($P89,(DATE(N$3,1,1)-$O89)/365)),MIN($P89,(DATE(N$3,12,31)-$O89)/365),$R89))))</f>
        <v>0</v>
      </c>
      <c r="O123" s="227" t="n">
        <f aca="false">IF($M89=0,0,IF($Q89="SL",SLN($M89,$N89,$P89)*IF(YEAR($O89)&lt;O$3,IF(YEAR($O89)+$P89=O$3,(MONTH($O89)-1)/12,IF(YEAR($O89)+$P89&lt;O$3,0,1)),IF(YEAR($O89)&gt;O$3,0,(12-MONTH($O89)+1)/12)),IF(YEAR($O89)&gt;O$3,0,VDB($M89,$N89,$P89,IF(YEAR($O89)=O$3,0,MIN($P89,(DATE(O$3,1,1)-$O89)/365)),MIN($P89,(DATE(O$3,12,31)-$O89)/365),$R89))))</f>
        <v>0</v>
      </c>
      <c r="P123" s="227" t="n">
        <f aca="false">IF($M89=0,0,IF($Q89="SL",SLN($M89,$N89,$P89)*IF(YEAR($O89)&lt;P$3,IF(YEAR($O89)+$P89=P$3,(MONTH($O89)-1)/12,IF(YEAR($O89)+$P89&lt;P$3,0,1)),IF(YEAR($O89)&gt;P$3,0,(12-MONTH($O89)+1)/12)),IF(YEAR($O89)&gt;P$3,0,VDB($M89,$N89,$P89,IF(YEAR($O89)=P$3,0,MIN($P89,(DATE(P$3,1,1)-$O89)/365)),MIN($P89,(DATE(P$3,12,31)-$O89)/365),$R89))))</f>
        <v>0</v>
      </c>
      <c r="Q123" s="227" t="n">
        <f aca="false">IF($M89=0,0,IF($Q89="SL",SLN($M89,$N89,$P89)*IF(YEAR($O89)&lt;Q$3,IF(YEAR($O89)+$P89=Q$3,(MONTH($O89)-1)/12,IF(YEAR($O89)+$P89&lt;Q$3,0,1)),IF(YEAR($O89)&gt;Q$3,0,(12-MONTH($O89)+1)/12)),IF(YEAR($O89)&gt;Q$3,0,VDB($M89,$N89,$P89,IF(YEAR($O89)=Q$3,0,MIN($P89,(DATE(Q$3,1,1)-$O89)/365)),MIN($P89,(DATE(Q$3,12,31)-$O89)/365),$R89))))</f>
        <v>0</v>
      </c>
      <c r="R123" s="227" t="n">
        <f aca="false">IF($M89=0,0,IF($Q89="SL",SLN($M89,$N89,$P89)*IF(YEAR($O89)&lt;R$3,IF(YEAR($O89)+$P89=R$3,(MONTH($O89)-1)/12,IF(YEAR($O89)+$P89&lt;R$3,0,1)),IF(YEAR($O89)&gt;R$3,0,(12-MONTH($O89)+1)/12)),IF(YEAR($O89)&gt;R$3,0,VDB($M89,$N89,$P89,IF(YEAR($O89)=R$3,0,MIN($P89,(DATE(R$3,1,1)-$O89)/365)),MIN($P89,(DATE(R$3,12,31)-$O89)/365),$R89))))</f>
        <v>0</v>
      </c>
      <c r="S123" s="227" t="n">
        <f aca="false">IF($M89=0,0,IF($Q89="SL",SLN($M89,$N89,$P89)*IF(YEAR($O89)&lt;S$3,IF(YEAR($O89)+$P89=S$3,(MONTH($O89)-1)/12,IF(YEAR($O89)+$P89&lt;S$3,0,1)),IF(YEAR($O89)&gt;S$3,0,(12-MONTH($O89)+1)/12)),IF(YEAR($O89)&gt;S$3,0,VDB($M89,$N89,$P89,IF(YEAR($O89)=S$3,0,MIN($P89,(DATE(S$3,1,1)-$O89)/365)),MIN($P89,(DATE(S$3,12,31)-$O89)/365),$R89))))</f>
        <v>0</v>
      </c>
      <c r="T123" s="227" t="n">
        <f aca="false">IF($M89=0,0,IF($Q89="SL",SLN($M89,$N89,$P89)*IF(YEAR($O89)&lt;T$3,IF(YEAR($O89)+$P89=T$3,(MONTH($O89)-1)/12,IF(YEAR($O89)+$P89&lt;T$3,0,1)),IF(YEAR($O89)&gt;T$3,0,(12-MONTH($O89)+1)/12)),IF(YEAR($O89)&gt;T$3,0,VDB($M89,$N89,$P89,IF(YEAR($O89)=T$3,0,MIN($P89,(DATE(T$3,1,1)-$O89)/365)),MIN($P89,(DATE(T$3,12,31)-$O89)/365),$R89))))</f>
        <v>0</v>
      </c>
      <c r="U123" s="227" t="n">
        <f aca="false">IF($M89=0,0,IF($Q89="SL",SLN($M89,$N89,$P89)*IF(YEAR($O89)&lt;U$3,IF(YEAR($O89)+$P89=U$3,(MONTH($O89)-1)/12,IF(YEAR($O89)+$P89&lt;U$3,0,1)),IF(YEAR($O89)&gt;U$3,0,(12-MONTH($O89)+1)/12)),IF(YEAR($O89)&gt;U$3,0,VDB($M89,$N89,$P89,IF(YEAR($O89)=U$3,0,MIN($P89,(DATE(U$3,1,1)-$O89)/365)),MIN($P89,(DATE(U$3,12,31)-$O89)/365),$R89))))</f>
        <v>0</v>
      </c>
      <c r="V123" s="227" t="n">
        <f aca="false">IF($M89=0,0,IF($Q89="SL",SLN($M89,$N89,$P89)*IF(YEAR($O89)&lt;V$3,IF(YEAR($O89)+$P89=V$3,(MONTH($O89)-1)/12,IF(YEAR($O89)+$P89&lt;V$3,0,1)),IF(YEAR($O89)&gt;V$3,0,(12-MONTH($O89)+1)/12)),IF(YEAR($O89)&gt;V$3,0,VDB($M89,$N89,$P89,IF(YEAR($O89)=V$3,0,MIN($P89,(DATE(V$3,1,1)-$O89)/365)),MIN($P89,(DATE(V$3,12,31)-$O89)/365),$R89))))</f>
        <v>0</v>
      </c>
      <c r="W123" s="227" t="n">
        <f aca="false">IF($M89=0,0,IF($Q89="SL",SLN($M89,$N89,$P89)*IF(YEAR($O89)&lt;W$3,IF(YEAR($O89)+$P89=W$3,(MONTH($O89)-1)/12,IF(YEAR($O89)+$P89&lt;W$3,0,1)),IF(YEAR($O89)&gt;W$3,0,(12-MONTH($O89)+1)/12)),IF(YEAR($O89)&gt;W$3,0,VDB($M89,$N89,$P89,IF(YEAR($O89)=W$3,0,MIN($P89,(DATE(W$3,1,1)-$O89)/365)),MIN($P89,(DATE(W$3,12,31)-$O89)/365),$R89))))</f>
        <v>0</v>
      </c>
      <c r="X123" s="227" t="n">
        <f aca="false">IF($M89=0,0,IF($Q89="SL",SLN($M89,$N89,$P89)*IF(YEAR($O89)&lt;X$3,IF(YEAR($O89)+$P89=X$3,(MONTH($O89)-1)/12,IF(YEAR($O89)+$P89&lt;X$3,0,1)),IF(YEAR($O89)&gt;X$3,0,(12-MONTH($O89)+1)/12)),IF(YEAR($O89)&gt;X$3,0,VDB($M89,$N89,$P89,IF(YEAR($O89)=X$3,0,MIN($P89,(DATE(X$3,1,1)-$O89)/365)),MIN($P89,(DATE(X$3,12,31)-$O89)/365),$R89))))</f>
        <v>0</v>
      </c>
      <c r="Y123" s="227" t="n">
        <f aca="false">IF($M89=0,0,IF($Q89="SL",SLN($M89,$N89,$P89)*IF(YEAR($O89)&lt;Y$3,IF(YEAR($O89)+$P89=Y$3,(MONTH($O89)-1)/12,IF(YEAR($O89)+$P89&lt;Y$3,0,1)),IF(YEAR($O89)&gt;Y$3,0,(12-MONTH($O89)+1)/12)),IF(YEAR($O89)&gt;Y$3,0,VDB($M89,$N89,$P89,IF(YEAR($O89)=Y$3,0,MIN($P89,(DATE(Y$3,1,1)-$O89)/365)),MIN($P89,(DATE(Y$3,12,31)-$O89)/365),$R89))))</f>
        <v>0</v>
      </c>
      <c r="Z123" s="227" t="n">
        <f aca="false">IF($M89=0,0,IF($Q89="SL",SLN($M89,$N89,$P89)*IF(YEAR($O89)&lt;Z$3,IF(YEAR($O89)+$P89=Z$3,(MONTH($O89)-1)/12,IF(YEAR($O89)+$P89&lt;Z$3,0,1)),IF(YEAR($O89)&gt;Z$3,0,(12-MONTH($O89)+1)/12)),IF(YEAR($O89)&gt;Z$3,0,VDB($M89,$N89,$P89,IF(YEAR($O89)=Z$3,0,MIN($P89,(DATE(Z$3,1,1)-$O89)/365)),MIN($P89,(DATE(Z$3,12,31)-$O89)/365),$R89))))</f>
        <v>0</v>
      </c>
      <c r="AA123" s="227" t="n">
        <f aca="false">IF($M89=0,0,IF($Q89="SL",SLN($M89,$N89,$P89)*IF(YEAR($O89)&lt;AA$3,IF(YEAR($O89)+$P89=AA$3,(MONTH($O89)-1)/12,IF(YEAR($O89)+$P89&lt;AA$3,0,1)),IF(YEAR($O89)&gt;AA$3,0,(12-MONTH($O89)+1)/12)),IF(YEAR($O89)&gt;AA$3,0,VDB($M89,$N89,$P89,IF(YEAR($O89)=AA$3,0,MIN($P89,(DATE(AA$3,1,1)-$O89)/365)),MIN($P89,(DATE(AA$3,12,31)-$O89)/365),$R89))))</f>
        <v>0</v>
      </c>
      <c r="AB123" s="227" t="n">
        <f aca="false">IF($M89=0,0,IF($Q89="SL",SLN($M89,$N89,$P89)*IF(YEAR($O89)&lt;AB$3,IF(YEAR($O89)+$P89=AB$3,(MONTH($O89)-1)/12,IF(YEAR($O89)+$P89&lt;AB$3,0,1)),IF(YEAR($O89)&gt;AB$3,0,(12-MONTH($O89)+1)/12)),IF(YEAR($O89)&gt;AB$3,0,VDB($M89,$N89,$P89,IF(YEAR($O89)=AB$3,0,MIN($P89,(DATE(AB$3,1,1)-$O89)/365)),MIN($P89,(DATE(AB$3,12,31)-$O89)/365),$R89))))</f>
        <v>0</v>
      </c>
      <c r="AC123" s="227" t="n">
        <f aca="false">IF($M89=0,0,IF($Q89="SL",SLN($M89,$N89,$P89)*IF(YEAR($O89)&lt;AC$3,IF(YEAR($O89)+$P89=AC$3,(MONTH($O89)-1)/12,IF(YEAR($O89)+$P89&lt;AC$3,0,1)),IF(YEAR($O89)&gt;AC$3,0,(12-MONTH($O89)+1)/12)),IF(YEAR($O89)&gt;AC$3,0,VDB($M89,$N89,$P89,IF(YEAR($O89)=AC$3,0,MIN($P89,(DATE(AC$3,1,1)-$O89)/365)),MIN($P89,(DATE(AC$3,12,31)-$O89)/365),$R89))))</f>
        <v>0</v>
      </c>
    </row>
    <row r="124" customFormat="false" ht="11.25" hidden="false" customHeight="false" outlineLevel="0" collapsed="false">
      <c r="A124" s="43"/>
      <c r="C124" s="67" t="str">
        <f aca="false">+C107</f>
        <v>Funding 2</v>
      </c>
      <c r="D124" s="80"/>
      <c r="E124" s="80"/>
      <c r="F124" s="80"/>
      <c r="G124" s="80"/>
      <c r="H124" s="140"/>
      <c r="I124" s="227" t="n">
        <f aca="false">IF($M90=0,0,IF($Q90="SL",SLN($M90,$N90,$P90)*IF(YEAR($O90)&lt;(J$3-1),IF(YEAR($O90)+$P90=J$3-1,(MONTH($O90)-1)/12,IF(YEAR($O90)+$P90&lt;J$3-1,0,1)),IF(YEAR($O90)&gt;J$3-1,0,(12-MONTH($O90)+1)/12)),IF(YEAR($O90)&gt;J$3-1,0,VDB($M90,$N90,$P90,IF(YEAR($O90)=J$3-1,0,MIN($P90,(DATE(J$3-1,1,1)-$O90)/365)),MIN($P90,(DATE(J$3-1,12,31)-$O90)/365),$R90))))</f>
        <v>0</v>
      </c>
      <c r="J124" s="227" t="n">
        <f aca="false">IF($M90=0,0,IF($Q90="SL",SLN($M90,$N90,$P90)*IF(YEAR($O90)&lt;J$3,IF(YEAR($O90)+$P90=J$3,(MONTH($O90)-1)/12,IF(YEAR($O90)+$P90&lt;J$3,0,1)),IF(YEAR($O90)&gt;J$3,0,(12-MONTH($O90)+1)/12)),IF(YEAR($O90)&gt;J$3,0,VDB($M90,$N90,$P90,IF(YEAR($O90)=J$3,0,MIN($P90,(DATE(J$3,1,1)-$O90)/365)),MIN($P90,(DATE(J$3,12,31)-$O90)/365),$R90))))</f>
        <v>0</v>
      </c>
      <c r="K124" s="227" t="n">
        <f aca="false">IF($M90=0,0,IF($Q90="SL",SLN($M90,$N90,$P90)*IF(YEAR($O90)&lt;K$3,IF(YEAR($O90)+$P90=K$3,(MONTH($O90)-1)/12,IF(YEAR($O90)+$P90&lt;K$3,0,1)),IF(YEAR($O90)&gt;K$3,0,(12-MONTH($O90)+1)/12)),IF(YEAR($O90)&gt;K$3,0,VDB($M90,$N90,$P90,IF(YEAR($O90)=K$3,0,MIN($P90,(DATE(K$3,1,1)-$O90)/365)),MIN($P90,(DATE(K$3,12,31)-$O90)/365),$R90))))</f>
        <v>0</v>
      </c>
      <c r="L124" s="227" t="n">
        <f aca="false">IF($M90=0,0,IF($Q90="SL",SLN($M90,$N90,$P90)*IF(YEAR($O90)&lt;L$3,IF(YEAR($O90)+$P90=L$3,(MONTH($O90)-1)/12,IF(YEAR($O90)+$P90&lt;L$3,0,1)),IF(YEAR($O90)&gt;L$3,0,(12-MONTH($O90)+1)/12)),IF(YEAR($O90)&gt;L$3,0,VDB($M90,$N90,$P90,IF(YEAR($O90)=L$3,0,MIN($P90,(DATE(L$3,1,1)-$O90)/365)),MIN($P90,(DATE(L$3,12,31)-$O90)/365),$R90))))</f>
        <v>0</v>
      </c>
      <c r="M124" s="227" t="n">
        <f aca="false">IF($M90=0,0,IF($Q90="SL",SLN($M90,$N90,$P90)*IF(YEAR($O90)&lt;M$3,IF(YEAR($O90)+$P90=M$3,(MONTH($O90)-1)/12,IF(YEAR($O90)+$P90&lt;M$3,0,1)),IF(YEAR($O90)&gt;M$3,0,(12-MONTH($O90)+1)/12)),IF(YEAR($O90)&gt;M$3,0,VDB($M90,$N90,$P90,IF(YEAR($O90)=M$3,0,MIN($P90,(DATE(M$3,1,1)-$O90)/365)),MIN($P90,(DATE(M$3,12,31)-$O90)/365),$R90))))</f>
        <v>0</v>
      </c>
      <c r="N124" s="227" t="n">
        <f aca="false">IF($M90=0,0,IF($Q90="SL",SLN($M90,$N90,$P90)*IF(YEAR($O90)&lt;N$3,IF(YEAR($O90)+$P90=N$3,(MONTH($O90)-1)/12,IF(YEAR($O90)+$P90&lt;N$3,0,1)),IF(YEAR($O90)&gt;N$3,0,(12-MONTH($O90)+1)/12)),IF(YEAR($O90)&gt;N$3,0,VDB($M90,$N90,$P90,IF(YEAR($O90)=N$3,0,MIN($P90,(DATE(N$3,1,1)-$O90)/365)),MIN($P90,(DATE(N$3,12,31)-$O90)/365),$R90))))</f>
        <v>0</v>
      </c>
      <c r="O124" s="227" t="n">
        <f aca="false">IF($M90=0,0,IF($Q90="SL",SLN($M90,$N90,$P90)*IF(YEAR($O90)&lt;O$3,IF(YEAR($O90)+$P90=O$3,(MONTH($O90)-1)/12,IF(YEAR($O90)+$P90&lt;O$3,0,1)),IF(YEAR($O90)&gt;O$3,0,(12-MONTH($O90)+1)/12)),IF(YEAR($O90)&gt;O$3,0,VDB($M90,$N90,$P90,IF(YEAR($O90)=O$3,0,MIN($P90,(DATE(O$3,1,1)-$O90)/365)),MIN($P90,(DATE(O$3,12,31)-$O90)/365),$R90))))</f>
        <v>0</v>
      </c>
      <c r="P124" s="227" t="n">
        <f aca="false">IF($M90=0,0,IF($Q90="SL",SLN($M90,$N90,$P90)*IF(YEAR($O90)&lt;P$3,IF(YEAR($O90)+$P90=P$3,(MONTH($O90)-1)/12,IF(YEAR($O90)+$P90&lt;P$3,0,1)),IF(YEAR($O90)&gt;P$3,0,(12-MONTH($O90)+1)/12)),IF(YEAR($O90)&gt;P$3,0,VDB($M90,$N90,$P90,IF(YEAR($O90)=P$3,0,MIN($P90,(DATE(P$3,1,1)-$O90)/365)),MIN($P90,(DATE(P$3,12,31)-$O90)/365),$R90))))</f>
        <v>0</v>
      </c>
      <c r="Q124" s="227" t="n">
        <f aca="false">IF($M90=0,0,IF($Q90="SL",SLN($M90,$N90,$P90)*IF(YEAR($O90)&lt;Q$3,IF(YEAR($O90)+$P90=Q$3,(MONTH($O90)-1)/12,IF(YEAR($O90)+$P90&lt;Q$3,0,1)),IF(YEAR($O90)&gt;Q$3,0,(12-MONTH($O90)+1)/12)),IF(YEAR($O90)&gt;Q$3,0,VDB($M90,$N90,$P90,IF(YEAR($O90)=Q$3,0,MIN($P90,(DATE(Q$3,1,1)-$O90)/365)),MIN($P90,(DATE(Q$3,12,31)-$O90)/365),$R90))))</f>
        <v>0</v>
      </c>
      <c r="R124" s="227" t="n">
        <f aca="false">IF($M90=0,0,IF($Q90="SL",SLN($M90,$N90,$P90)*IF(YEAR($O90)&lt;R$3,IF(YEAR($O90)+$P90=R$3,(MONTH($O90)-1)/12,IF(YEAR($O90)+$P90&lt;R$3,0,1)),IF(YEAR($O90)&gt;R$3,0,(12-MONTH($O90)+1)/12)),IF(YEAR($O90)&gt;R$3,0,VDB($M90,$N90,$P90,IF(YEAR($O90)=R$3,0,MIN($P90,(DATE(R$3,1,1)-$O90)/365)),MIN($P90,(DATE(R$3,12,31)-$O90)/365),$R90))))</f>
        <v>0</v>
      </c>
      <c r="S124" s="227" t="n">
        <f aca="false">IF($M90=0,0,IF($Q90="SL",SLN($M90,$N90,$P90)*IF(YEAR($O90)&lt;S$3,IF(YEAR($O90)+$P90=S$3,(MONTH($O90)-1)/12,IF(YEAR($O90)+$P90&lt;S$3,0,1)),IF(YEAR($O90)&gt;S$3,0,(12-MONTH($O90)+1)/12)),IF(YEAR($O90)&gt;S$3,0,VDB($M90,$N90,$P90,IF(YEAR($O90)=S$3,0,MIN($P90,(DATE(S$3,1,1)-$O90)/365)),MIN($P90,(DATE(S$3,12,31)-$O90)/365),$R90))))</f>
        <v>0</v>
      </c>
      <c r="T124" s="227" t="n">
        <f aca="false">IF($M90=0,0,IF($Q90="SL",SLN($M90,$N90,$P90)*IF(YEAR($O90)&lt;T$3,IF(YEAR($O90)+$P90=T$3,(MONTH($O90)-1)/12,IF(YEAR($O90)+$P90&lt;T$3,0,1)),IF(YEAR($O90)&gt;T$3,0,(12-MONTH($O90)+1)/12)),IF(YEAR($O90)&gt;T$3,0,VDB($M90,$N90,$P90,IF(YEAR($O90)=T$3,0,MIN($P90,(DATE(T$3,1,1)-$O90)/365)),MIN($P90,(DATE(T$3,12,31)-$O90)/365),$R90))))</f>
        <v>0</v>
      </c>
      <c r="U124" s="227" t="n">
        <f aca="false">IF($M90=0,0,IF($Q90="SL",SLN($M90,$N90,$P90)*IF(YEAR($O90)&lt;U$3,IF(YEAR($O90)+$P90=U$3,(MONTH($O90)-1)/12,IF(YEAR($O90)+$P90&lt;U$3,0,1)),IF(YEAR($O90)&gt;U$3,0,(12-MONTH($O90)+1)/12)),IF(YEAR($O90)&gt;U$3,0,VDB($M90,$N90,$P90,IF(YEAR($O90)=U$3,0,MIN($P90,(DATE(U$3,1,1)-$O90)/365)),MIN($P90,(DATE(U$3,12,31)-$O90)/365),$R90))))</f>
        <v>0</v>
      </c>
      <c r="V124" s="227" t="n">
        <f aca="false">IF($M90=0,0,IF($Q90="SL",SLN($M90,$N90,$P90)*IF(YEAR($O90)&lt;V$3,IF(YEAR($O90)+$P90=V$3,(MONTH($O90)-1)/12,IF(YEAR($O90)+$P90&lt;V$3,0,1)),IF(YEAR($O90)&gt;V$3,0,(12-MONTH($O90)+1)/12)),IF(YEAR($O90)&gt;V$3,0,VDB($M90,$N90,$P90,IF(YEAR($O90)=V$3,0,MIN($P90,(DATE(V$3,1,1)-$O90)/365)),MIN($P90,(DATE(V$3,12,31)-$O90)/365),$R90))))</f>
        <v>0</v>
      </c>
      <c r="W124" s="227" t="n">
        <f aca="false">IF($M90=0,0,IF($Q90="SL",SLN($M90,$N90,$P90)*IF(YEAR($O90)&lt;W$3,IF(YEAR($O90)+$P90=W$3,(MONTH($O90)-1)/12,IF(YEAR($O90)+$P90&lt;W$3,0,1)),IF(YEAR($O90)&gt;W$3,0,(12-MONTH($O90)+1)/12)),IF(YEAR($O90)&gt;W$3,0,VDB($M90,$N90,$P90,IF(YEAR($O90)=W$3,0,MIN($P90,(DATE(W$3,1,1)-$O90)/365)),MIN($P90,(DATE(W$3,12,31)-$O90)/365),$R90))))</f>
        <v>0</v>
      </c>
      <c r="X124" s="227" t="n">
        <f aca="false">IF($M90=0,0,IF($Q90="SL",SLN($M90,$N90,$P90)*IF(YEAR($O90)&lt;X$3,IF(YEAR($O90)+$P90=X$3,(MONTH($O90)-1)/12,IF(YEAR($O90)+$P90&lt;X$3,0,1)),IF(YEAR($O90)&gt;X$3,0,(12-MONTH($O90)+1)/12)),IF(YEAR($O90)&gt;X$3,0,VDB($M90,$N90,$P90,IF(YEAR($O90)=X$3,0,MIN($P90,(DATE(X$3,1,1)-$O90)/365)),MIN($P90,(DATE(X$3,12,31)-$O90)/365),$R90))))</f>
        <v>0</v>
      </c>
      <c r="Y124" s="227" t="n">
        <f aca="false">IF($M90=0,0,IF($Q90="SL",SLN($M90,$N90,$P90)*IF(YEAR($O90)&lt;Y$3,IF(YEAR($O90)+$P90=Y$3,(MONTH($O90)-1)/12,IF(YEAR($O90)+$P90&lt;Y$3,0,1)),IF(YEAR($O90)&gt;Y$3,0,(12-MONTH($O90)+1)/12)),IF(YEAR($O90)&gt;Y$3,0,VDB($M90,$N90,$P90,IF(YEAR($O90)=Y$3,0,MIN($P90,(DATE(Y$3,1,1)-$O90)/365)),MIN($P90,(DATE(Y$3,12,31)-$O90)/365),$R90))))</f>
        <v>0</v>
      </c>
      <c r="Z124" s="227" t="n">
        <f aca="false">IF($M90=0,0,IF($Q90="SL",SLN($M90,$N90,$P90)*IF(YEAR($O90)&lt;Z$3,IF(YEAR($O90)+$P90=Z$3,(MONTH($O90)-1)/12,IF(YEAR($O90)+$P90&lt;Z$3,0,1)),IF(YEAR($O90)&gt;Z$3,0,(12-MONTH($O90)+1)/12)),IF(YEAR($O90)&gt;Z$3,0,VDB($M90,$N90,$P90,IF(YEAR($O90)=Z$3,0,MIN($P90,(DATE(Z$3,1,1)-$O90)/365)),MIN($P90,(DATE(Z$3,12,31)-$O90)/365),$R90))))</f>
        <v>0</v>
      </c>
      <c r="AA124" s="227" t="n">
        <f aca="false">IF($M90=0,0,IF($Q90="SL",SLN($M90,$N90,$P90)*IF(YEAR($O90)&lt;AA$3,IF(YEAR($O90)+$P90=AA$3,(MONTH($O90)-1)/12,IF(YEAR($O90)+$P90&lt;AA$3,0,1)),IF(YEAR($O90)&gt;AA$3,0,(12-MONTH($O90)+1)/12)),IF(YEAR($O90)&gt;AA$3,0,VDB($M90,$N90,$P90,IF(YEAR($O90)=AA$3,0,MIN($P90,(DATE(AA$3,1,1)-$O90)/365)),MIN($P90,(DATE(AA$3,12,31)-$O90)/365),$R90))))</f>
        <v>0</v>
      </c>
      <c r="AB124" s="227" t="n">
        <f aca="false">IF($M90=0,0,IF($Q90="SL",SLN($M90,$N90,$P90)*IF(YEAR($O90)&lt;AB$3,IF(YEAR($O90)+$P90=AB$3,(MONTH($O90)-1)/12,IF(YEAR($O90)+$P90&lt;AB$3,0,1)),IF(YEAR($O90)&gt;AB$3,0,(12-MONTH($O90)+1)/12)),IF(YEAR($O90)&gt;AB$3,0,VDB($M90,$N90,$P90,IF(YEAR($O90)=AB$3,0,MIN($P90,(DATE(AB$3,1,1)-$O90)/365)),MIN($P90,(DATE(AB$3,12,31)-$O90)/365),$R90))))</f>
        <v>0</v>
      </c>
      <c r="AC124" s="227" t="n">
        <f aca="false">IF($M90=0,0,IF($Q90="SL",SLN($M90,$N90,$P90)*IF(YEAR($O90)&lt;AC$3,IF(YEAR($O90)+$P90=AC$3,(MONTH($O90)-1)/12,IF(YEAR($O90)+$P90&lt;AC$3,0,1)),IF(YEAR($O90)&gt;AC$3,0,(12-MONTH($O90)+1)/12)),IF(YEAR($O90)&gt;AC$3,0,VDB($M90,$N90,$P90,IF(YEAR($O90)=AC$3,0,MIN($P90,(DATE(AC$3,1,1)-$O90)/365)),MIN($P90,(DATE(AC$3,12,31)-$O90)/365),$R90))))</f>
        <v>0</v>
      </c>
    </row>
    <row r="125" customFormat="false" ht="11.25" hidden="false" customHeight="false" outlineLevel="0" collapsed="false">
      <c r="A125" s="43"/>
      <c r="B125" s="153" t="s">
        <v>463</v>
      </c>
      <c r="D125" s="80"/>
      <c r="E125" s="80"/>
      <c r="F125" s="80"/>
      <c r="G125" s="80"/>
      <c r="H125" s="140"/>
      <c r="I125" s="228" t="n">
        <f aca="false">+I124+I123</f>
        <v>0</v>
      </c>
      <c r="J125" s="228" t="n">
        <f aca="false">+J124+J123</f>
        <v>0</v>
      </c>
      <c r="K125" s="228" t="n">
        <f aca="false">+K124+K123</f>
        <v>0</v>
      </c>
      <c r="L125" s="228" t="n">
        <f aca="false">+L124+L123</f>
        <v>0</v>
      </c>
      <c r="M125" s="228" t="n">
        <f aca="false">+M124+M123</f>
        <v>0</v>
      </c>
      <c r="N125" s="228" t="n">
        <f aca="false">+N124+N123</f>
        <v>0</v>
      </c>
      <c r="O125" s="228" t="n">
        <f aca="false">+O124+O123</f>
        <v>0</v>
      </c>
      <c r="P125" s="228" t="n">
        <f aca="false">+P124+P123</f>
        <v>0</v>
      </c>
      <c r="Q125" s="228" t="n">
        <f aca="false">+Q124+Q123</f>
        <v>0</v>
      </c>
      <c r="R125" s="228" t="n">
        <f aca="false">+R124+R123</f>
        <v>0</v>
      </c>
      <c r="S125" s="228" t="n">
        <f aca="false">+S124+S123</f>
        <v>0</v>
      </c>
      <c r="T125" s="228" t="n">
        <f aca="false">+T124+T123</f>
        <v>0</v>
      </c>
      <c r="U125" s="228" t="n">
        <f aca="false">+U124+U123</f>
        <v>0</v>
      </c>
      <c r="V125" s="228" t="n">
        <f aca="false">+V124+V123</f>
        <v>0</v>
      </c>
      <c r="W125" s="228" t="n">
        <f aca="false">+W124+W123</f>
        <v>0</v>
      </c>
      <c r="X125" s="228" t="n">
        <f aca="false">+X124+X123</f>
        <v>0</v>
      </c>
      <c r="Y125" s="228" t="n">
        <f aca="false">+Y124+Y123</f>
        <v>0</v>
      </c>
      <c r="Z125" s="228" t="n">
        <f aca="false">+Z124+Z123</f>
        <v>0</v>
      </c>
      <c r="AA125" s="228" t="n">
        <f aca="false">+AA124+AA123</f>
        <v>0</v>
      </c>
      <c r="AB125" s="228" t="n">
        <f aca="false">+AB124+AB123</f>
        <v>0</v>
      </c>
      <c r="AC125" s="228" t="n">
        <f aca="false">+AC124+AC123</f>
        <v>0</v>
      </c>
    </row>
    <row r="126" customFormat="false" ht="11.25" hidden="false" customHeight="false" outlineLevel="0" collapsed="false">
      <c r="C126" s="80"/>
      <c r="D126" s="80"/>
      <c r="E126" s="80"/>
      <c r="F126" s="80"/>
      <c r="G126" s="80"/>
      <c r="H126" s="80"/>
      <c r="I126" s="80"/>
      <c r="J126" s="80"/>
      <c r="K126" s="80"/>
      <c r="L126" s="80"/>
      <c r="M126" s="80"/>
      <c r="N126" s="80"/>
      <c r="O126" s="80"/>
      <c r="P126" s="80"/>
      <c r="Q126" s="80"/>
      <c r="R126" s="80"/>
      <c r="S126" s="80"/>
      <c r="T126" s="80"/>
      <c r="U126" s="80"/>
      <c r="V126" s="80"/>
      <c r="W126" s="80"/>
      <c r="X126" s="80"/>
      <c r="Y126" s="80"/>
      <c r="Z126" s="80"/>
      <c r="AA126" s="80"/>
      <c r="AB126" s="80"/>
      <c r="AC126" s="80"/>
    </row>
    <row r="127" customFormat="false" ht="11.25" hidden="false" customHeight="false" outlineLevel="0" collapsed="false">
      <c r="A127" s="153" t="s">
        <v>466</v>
      </c>
      <c r="I127" s="137" t="n">
        <f aca="false">+I120+I125</f>
        <v>0</v>
      </c>
      <c r="J127" s="137" t="n">
        <f aca="false">+J120+J125</f>
        <v>0</v>
      </c>
      <c r="K127" s="137" t="n">
        <f aca="false">+K120+K125</f>
        <v>0</v>
      </c>
      <c r="L127" s="137" t="n">
        <f aca="false">+L120+L125</f>
        <v>0</v>
      </c>
      <c r="M127" s="137" t="n">
        <f aca="false">+M120+M125</f>
        <v>0</v>
      </c>
      <c r="N127" s="137" t="n">
        <f aca="false">+N120+N125</f>
        <v>0</v>
      </c>
      <c r="O127" s="137" t="n">
        <f aca="false">+O120+O125</f>
        <v>0</v>
      </c>
      <c r="P127" s="137" t="n">
        <f aca="false">+P120+P125</f>
        <v>0</v>
      </c>
      <c r="Q127" s="137" t="n">
        <f aca="false">+Q120+Q125</f>
        <v>0</v>
      </c>
      <c r="R127" s="137" t="n">
        <f aca="false">+R120+R125</f>
        <v>0</v>
      </c>
      <c r="S127" s="137" t="n">
        <f aca="false">+S120+S125</f>
        <v>0</v>
      </c>
      <c r="T127" s="137" t="n">
        <f aca="false">+T120+T125</f>
        <v>0</v>
      </c>
      <c r="U127" s="137" t="n">
        <f aca="false">+U120+U125</f>
        <v>0</v>
      </c>
      <c r="V127" s="137" t="n">
        <f aca="false">+V120+V125</f>
        <v>0</v>
      </c>
      <c r="W127" s="137" t="n">
        <f aca="false">+W120+W125</f>
        <v>0</v>
      </c>
      <c r="X127" s="137" t="n">
        <f aca="false">+X120+X125</f>
        <v>0</v>
      </c>
      <c r="Y127" s="137" t="n">
        <f aca="false">+Y120+Y125</f>
        <v>0</v>
      </c>
      <c r="Z127" s="137" t="n">
        <f aca="false">+Z120+Z125</f>
        <v>0</v>
      </c>
      <c r="AA127" s="137" t="n">
        <f aca="false">+AA120+AA125</f>
        <v>0</v>
      </c>
      <c r="AB127" s="137" t="n">
        <f aca="false">+AB120+AB125</f>
        <v>0</v>
      </c>
      <c r="AC127" s="137" t="n">
        <f aca="false">+AC120+AC125</f>
        <v>0</v>
      </c>
    </row>
    <row r="128" customFormat="false" ht="11.25" hidden="false" customHeight="false" outlineLevel="0" collapsed="false">
      <c r="A128" s="153"/>
      <c r="H128" s="137"/>
      <c r="I128" s="137"/>
      <c r="J128" s="137"/>
      <c r="K128" s="137"/>
      <c r="L128" s="137"/>
      <c r="M128" s="137"/>
      <c r="N128" s="137"/>
      <c r="O128" s="137"/>
      <c r="P128" s="137"/>
      <c r="Q128" s="137"/>
      <c r="R128" s="137"/>
      <c r="S128" s="137"/>
      <c r="T128" s="137"/>
      <c r="U128" s="137"/>
      <c r="V128" s="137"/>
      <c r="W128" s="137"/>
      <c r="X128" s="137"/>
      <c r="Y128" s="137"/>
      <c r="Z128" s="137"/>
      <c r="AA128" s="137"/>
      <c r="AB128" s="137"/>
      <c r="AC128" s="137"/>
    </row>
    <row r="129" customFormat="false" ht="12" hidden="false" customHeight="false" outlineLevel="0" collapsed="false">
      <c r="A129" s="104"/>
      <c r="B129" s="105"/>
      <c r="C129" s="105"/>
      <c r="D129" s="105"/>
      <c r="E129" s="105"/>
      <c r="F129" s="105"/>
      <c r="G129" s="105"/>
      <c r="H129" s="105"/>
      <c r="I129" s="106"/>
      <c r="J129" s="106"/>
      <c r="K129" s="106"/>
      <c r="L129" s="106"/>
      <c r="M129" s="106"/>
      <c r="N129" s="106"/>
      <c r="O129" s="106"/>
      <c r="P129" s="106"/>
      <c r="Q129" s="106"/>
      <c r="R129" s="106"/>
      <c r="S129" s="106"/>
      <c r="T129" s="106"/>
      <c r="U129" s="106"/>
      <c r="V129" s="106"/>
      <c r="W129" s="106"/>
      <c r="X129" s="106"/>
      <c r="Y129" s="106"/>
      <c r="Z129" s="106"/>
      <c r="AA129" s="106"/>
      <c r="AB129" s="106"/>
      <c r="AC129" s="106"/>
    </row>
    <row r="130" customFormat="false" ht="12.75" hidden="false" customHeight="false" outlineLevel="0" collapsed="false">
      <c r="A130" s="153"/>
      <c r="I130" s="137"/>
      <c r="J130" s="137"/>
      <c r="K130" s="137"/>
      <c r="L130" s="137"/>
      <c r="M130" s="137"/>
      <c r="N130" s="137"/>
      <c r="O130" s="137"/>
      <c r="P130" s="137"/>
      <c r="Q130" s="137"/>
      <c r="R130" s="137"/>
      <c r="S130" s="137"/>
      <c r="T130" s="137"/>
      <c r="U130" s="137"/>
      <c r="V130" s="137"/>
      <c r="W130" s="137"/>
      <c r="X130" s="137"/>
      <c r="Y130" s="137"/>
      <c r="Z130" s="137"/>
      <c r="AA130" s="137"/>
      <c r="AB130" s="137"/>
      <c r="AC130" s="137"/>
    </row>
    <row r="131" customFormat="false" ht="12.75" hidden="false" customHeight="false" outlineLevel="0" collapsed="false">
      <c r="A131" s="4" t="s">
        <v>209</v>
      </c>
      <c r="H131" s="146" t="n">
        <f aca="false">+EOP</f>
        <v>36341</v>
      </c>
      <c r="I131" s="146" t="n">
        <f aca="false">+EOP</f>
        <v>36525</v>
      </c>
      <c r="J131" s="146" t="n">
        <f aca="false">+EOP</f>
        <v>36891</v>
      </c>
      <c r="K131" s="146" t="n">
        <f aca="false">+EOP</f>
        <v>37256</v>
      </c>
      <c r="L131" s="146" t="n">
        <f aca="false">+EOP</f>
        <v>37621</v>
      </c>
      <c r="M131" s="146" t="n">
        <f aca="false">+EOP</f>
        <v>37986</v>
      </c>
      <c r="N131" s="146" t="n">
        <f aca="false">+EOP</f>
        <v>38352</v>
      </c>
      <c r="O131" s="146" t="n">
        <f aca="false">+EOP</f>
        <v>38717</v>
      </c>
      <c r="P131" s="146" t="n">
        <f aca="false">+EOP</f>
        <v>39082</v>
      </c>
      <c r="Q131" s="146" t="n">
        <f aca="false">+EOP</f>
        <v>39447</v>
      </c>
      <c r="R131" s="146" t="n">
        <f aca="false">+EOP</f>
        <v>39813</v>
      </c>
      <c r="S131" s="146" t="n">
        <f aca="false">+EOP</f>
        <v>40178</v>
      </c>
      <c r="T131" s="146" t="n">
        <f aca="false">+EOP</f>
        <v>40543</v>
      </c>
      <c r="U131" s="146" t="n">
        <f aca="false">+EOP</f>
        <v>40908</v>
      </c>
      <c r="V131" s="146" t="n">
        <f aca="false">+EOP</f>
        <v>41274</v>
      </c>
      <c r="W131" s="146" t="n">
        <f aca="false">+EOP</f>
        <v>41639</v>
      </c>
      <c r="X131" s="146" t="n">
        <f aca="false">+EOP</f>
        <v>42004</v>
      </c>
      <c r="Y131" s="146" t="n">
        <f aca="false">+EOP</f>
        <v>42369</v>
      </c>
      <c r="Z131" s="146" t="n">
        <f aca="false">+EOP</f>
        <v>42735</v>
      </c>
      <c r="AA131" s="146" t="n">
        <f aca="false">+EOP</f>
        <v>43100</v>
      </c>
      <c r="AB131" s="146" t="n">
        <f aca="false">+EOP</f>
        <v>43465</v>
      </c>
      <c r="AC131" s="146" t="n">
        <f aca="false">+EOP</f>
        <v>43830</v>
      </c>
    </row>
    <row r="132" customFormat="false" ht="12" hidden="false" customHeight="false" outlineLevel="0" collapsed="false"/>
    <row r="133" customFormat="false" ht="11.25" hidden="false" customHeight="false" outlineLevel="0" collapsed="false">
      <c r="B133" s="43" t="s">
        <v>467</v>
      </c>
      <c r="I133" s="35" t="n">
        <f aca="false">+I862</f>
        <v>0</v>
      </c>
      <c r="J133" s="35" t="n">
        <f aca="false">+I133+I134-I140</f>
        <v>0</v>
      </c>
      <c r="K133" s="35" t="n">
        <f aca="false">+J133+J134-J140</f>
        <v>0</v>
      </c>
      <c r="L133" s="35" t="n">
        <f aca="false">+K133+K134-K140</f>
        <v>0</v>
      </c>
      <c r="M133" s="35" t="n">
        <f aca="false">+L133+L134-L140</f>
        <v>0</v>
      </c>
      <c r="N133" s="35" t="n">
        <f aca="false">+M133+M134-M140</f>
        <v>0</v>
      </c>
      <c r="O133" s="35" t="n">
        <f aca="false">+N133+N134-N140</f>
        <v>0</v>
      </c>
      <c r="P133" s="35" t="n">
        <f aca="false">+O133+O134-O140</f>
        <v>21.4315938930788</v>
      </c>
      <c r="Q133" s="35" t="n">
        <f aca="false">+P133+P134-P140</f>
        <v>22.2088025917535</v>
      </c>
      <c r="R133" s="35" t="n">
        <f aca="false">+Q133+Q134-Q140</f>
        <v>31.3069685310948</v>
      </c>
      <c r="S133" s="35" t="n">
        <f aca="false">+R133+R134-R140</f>
        <v>25.2466750274407</v>
      </c>
      <c r="T133" s="35" t="n">
        <f aca="false">+S133+S134-S140</f>
        <v>20.1120534257774</v>
      </c>
      <c r="U133" s="35" t="n">
        <f aca="false">+T133+T134-T140</f>
        <v>15.7983600253203</v>
      </c>
      <c r="V133" s="35" t="n">
        <f aca="false">+U133+U134-U140</f>
        <v>12.1823129393752</v>
      </c>
      <c r="W133" s="35" t="n">
        <f aca="false">+V133+V134-V140</f>
        <v>9.21328528298237</v>
      </c>
      <c r="X133" s="35" t="n">
        <f aca="false">+W133+W134-W140</f>
        <v>6.77844092643018</v>
      </c>
      <c r="Y133" s="35" t="n">
        <f aca="false">+X133+X134-X140</f>
        <v>4.80323779905538</v>
      </c>
      <c r="Z133" s="35" t="n">
        <f aca="false">+Y133+Y134-Y140</f>
        <v>3.24659849009211</v>
      </c>
      <c r="AA133" s="35" t="n">
        <f aca="false">+Z133+Z134-Z140</f>
        <v>2.10308483906068</v>
      </c>
      <c r="AB133" s="35" t="n">
        <f aca="false">+AA133+AA134-AA140</f>
        <v>1.22865755890107</v>
      </c>
      <c r="AC133" s="35" t="n">
        <f aca="false">+AB133+AB134-AB140</f>
        <v>0.555985560429433</v>
      </c>
    </row>
    <row r="134" customFormat="false" ht="11.25" hidden="false" customHeight="false" outlineLevel="0" collapsed="false">
      <c r="B134" s="44" t="s">
        <v>211</v>
      </c>
      <c r="D134" s="97"/>
      <c r="E134" s="35"/>
      <c r="F134" s="35"/>
      <c r="G134" s="35"/>
      <c r="H134" s="148" t="n">
        <v>0</v>
      </c>
      <c r="I134" s="35" t="n">
        <f aca="false">+I155</f>
        <v>0</v>
      </c>
      <c r="J134" s="35" t="n">
        <f aca="false">+J155</f>
        <v>0</v>
      </c>
      <c r="K134" s="35" t="n">
        <f aca="false">+K155</f>
        <v>0</v>
      </c>
      <c r="L134" s="35" t="n">
        <f aca="false">+L155</f>
        <v>0</v>
      </c>
      <c r="M134" s="35" t="n">
        <f aca="false">+M155</f>
        <v>0</v>
      </c>
      <c r="N134" s="35" t="n">
        <f aca="false">+N155</f>
        <v>0</v>
      </c>
      <c r="O134" s="35" t="n">
        <f aca="false">+O155</f>
        <v>25.811</v>
      </c>
      <c r="P134" s="35" t="n">
        <f aca="false">+P155</f>
        <v>5.512</v>
      </c>
      <c r="Q134" s="35" t="n">
        <f aca="false">+Q155</f>
        <v>16.2</v>
      </c>
      <c r="R134" s="35" t="n">
        <f aca="false">+R155</f>
        <v>0</v>
      </c>
      <c r="S134" s="35" t="n">
        <f aca="false">+S155</f>
        <v>0</v>
      </c>
      <c r="T134" s="35" t="n">
        <f aca="false">+T155</f>
        <v>0</v>
      </c>
      <c r="U134" s="35" t="n">
        <f aca="false">+U155</f>
        <v>0</v>
      </c>
      <c r="V134" s="35" t="n">
        <f aca="false">+V155</f>
        <v>0</v>
      </c>
      <c r="W134" s="35" t="n">
        <f aca="false">+W155</f>
        <v>0</v>
      </c>
      <c r="X134" s="35" t="n">
        <f aca="false">+X155</f>
        <v>0</v>
      </c>
      <c r="Y134" s="35" t="n">
        <f aca="false">+Y155</f>
        <v>0</v>
      </c>
      <c r="Z134" s="35" t="n">
        <f aca="false">+Z155</f>
        <v>0</v>
      </c>
      <c r="AA134" s="35" t="n">
        <f aca="false">+AA155</f>
        <v>0</v>
      </c>
      <c r="AB134" s="35" t="n">
        <f aca="false">+AB155</f>
        <v>0</v>
      </c>
      <c r="AC134" s="35" t="n">
        <f aca="false">+AC155</f>
        <v>0</v>
      </c>
    </row>
    <row r="135" customFormat="false" ht="11.25" hidden="false" customHeight="false" outlineLevel="0" collapsed="false">
      <c r="A135" s="35"/>
      <c r="B135" s="35"/>
      <c r="E135" s="35"/>
      <c r="F135" s="35"/>
      <c r="G135" s="65"/>
      <c r="H135" s="35"/>
      <c r="I135" s="35"/>
      <c r="J135" s="35"/>
      <c r="K135" s="35"/>
      <c r="L135" s="35"/>
      <c r="M135" s="35"/>
      <c r="N135" s="35"/>
      <c r="O135" s="35"/>
      <c r="P135" s="35"/>
      <c r="Q135" s="35"/>
      <c r="R135" s="35"/>
      <c r="S135" s="35"/>
      <c r="T135" s="35"/>
      <c r="U135" s="35"/>
      <c r="V135" s="35"/>
      <c r="W135" s="35"/>
      <c r="X135" s="35"/>
      <c r="Y135" s="35"/>
      <c r="Z135" s="35"/>
      <c r="AA135" s="35"/>
      <c r="AB135" s="35"/>
      <c r="AC135" s="35"/>
    </row>
    <row r="136" customFormat="false" ht="11.25" hidden="false" customHeight="false" outlineLevel="0" collapsed="false">
      <c r="B136" s="35"/>
      <c r="D136" s="133" t="s">
        <v>212</v>
      </c>
      <c r="E136" s="35"/>
      <c r="F136" s="35"/>
      <c r="G136" s="65" t="s">
        <v>213</v>
      </c>
      <c r="I136" s="35" t="n">
        <f aca="false">IF($D$137=0,0,(I666+I696+(I681/$D$137)))</f>
        <v>225.529490773755</v>
      </c>
      <c r="J136" s="35" t="n">
        <f aca="false">IF($D$137=0,0,(J666+J696+(J681/$D$137)))</f>
        <v>509.022314880843</v>
      </c>
      <c r="K136" s="35" t="n">
        <f aca="false">IF($D$137=0,0,(K666+K696+(K681/$D$137)))</f>
        <v>476.47697952759</v>
      </c>
      <c r="L136" s="35" t="n">
        <f aca="false">IF($D$137=0,0,(L666+L696+(L681/$D$137)))</f>
        <v>451.756622792907</v>
      </c>
      <c r="M136" s="35" t="n">
        <f aca="false">IF($D$137=0,0,(M666+M696+(M681/$D$137)))</f>
        <v>423.719288876292</v>
      </c>
      <c r="N136" s="35" t="n">
        <f aca="false">IF($D$137=0,0,(N666+N696+(N681/$D$137)))</f>
        <v>389.438698756238</v>
      </c>
      <c r="O136" s="35" t="n">
        <f aca="false">IF($D$137=0,0,(O666+O696+(O681/$D$137)))</f>
        <v>341.085717602004</v>
      </c>
      <c r="P136" s="35" t="n">
        <f aca="false">IF($D$137=0,0,(P666+P696+(P681/$D$137)))</f>
        <v>293.324340650548</v>
      </c>
      <c r="Q136" s="35" t="n">
        <f aca="false">IF($D$137=0,0,(Q666+Q696+(Q681/$D$137)))</f>
        <v>254.397101157899</v>
      </c>
      <c r="R136" s="35" t="n">
        <f aca="false">IF($D$137=0,0,(R666+R696+(R681/$D$137)))</f>
        <v>217.087739072385</v>
      </c>
      <c r="S136" s="35" t="n">
        <f aca="false">IF($D$137=0,0,(S666+S696+(S681/$D$137)))</f>
        <v>183.928945656711</v>
      </c>
      <c r="T136" s="35" t="n">
        <f aca="false">IF($D$137=0,0,(T666+T696+(T681/$D$137)))</f>
        <v>154.522210317379</v>
      </c>
      <c r="U136" s="35" t="n">
        <f aca="false">IF($D$137=0,0,(U666+U696+(U681/$D$137)))</f>
        <v>129.53159542418</v>
      </c>
      <c r="V136" s="35" t="n">
        <f aca="false">IF($D$137=0,0,(V666+V696+(V681/$D$137)))</f>
        <v>106.354502596462</v>
      </c>
      <c r="W136" s="35" t="n">
        <f aca="false">IF($D$137=0,0,(W666+W696+(W681/$D$137)))</f>
        <v>87.2193493662248</v>
      </c>
      <c r="X136" s="35" t="n">
        <f aca="false">IF($D$137=0,0,(X666+X696+(X681/$D$137)))</f>
        <v>70.7543918247447</v>
      </c>
      <c r="Y136" s="35" t="n">
        <f aca="false">IF($D$137=0,0,(Y666+Y696+(Y681/$D$137)))</f>
        <v>55.7608815365589</v>
      </c>
      <c r="Z136" s="35" t="n">
        <f aca="false">IF($D$137=0,0,(Z666+Z696+(Z681/$D$137)))</f>
        <v>40.9621733586236</v>
      </c>
      <c r="AA136" s="35" t="n">
        <f aca="false">IF($D$137=0,0,(AA666+AA696+(AA681/$D$137)))</f>
        <v>31.3231431973728</v>
      </c>
      <c r="AB136" s="35" t="n">
        <f aca="false">IF($D$137=0,0,(AB666+AB696+(AB681/$D$137)))</f>
        <v>24.0960018186347</v>
      </c>
      <c r="AC136" s="35" t="n">
        <f aca="false">IF($D$137=0,0,(AC666+AC696+(AC681/$D$137)))</f>
        <v>19.9161390777101</v>
      </c>
    </row>
    <row r="137" customFormat="false" ht="11.25" hidden="false" customHeight="false" outlineLevel="0" collapsed="false">
      <c r="D137" s="229" t="n">
        <v>6</v>
      </c>
      <c r="G137" s="65" t="s">
        <v>468</v>
      </c>
      <c r="I137" s="151" t="n">
        <f aca="false">+I133+I134</f>
        <v>0</v>
      </c>
      <c r="J137" s="151" t="n">
        <f aca="false">+J133+J134</f>
        <v>0</v>
      </c>
      <c r="K137" s="151" t="n">
        <f aca="false">+K133+K134</f>
        <v>0</v>
      </c>
      <c r="L137" s="151" t="n">
        <f aca="false">+L133+L134</f>
        <v>0</v>
      </c>
      <c r="M137" s="151" t="n">
        <f aca="false">+M133+M134</f>
        <v>0</v>
      </c>
      <c r="N137" s="151" t="n">
        <f aca="false">+N133+N134</f>
        <v>0</v>
      </c>
      <c r="O137" s="151" t="n">
        <f aca="false">+O133+O134</f>
        <v>25.811</v>
      </c>
      <c r="P137" s="151" t="n">
        <f aca="false">+P133+P134</f>
        <v>26.9435938930788</v>
      </c>
      <c r="Q137" s="151" t="n">
        <f aca="false">+Q133+Q134</f>
        <v>38.4088025917535</v>
      </c>
      <c r="R137" s="151" t="n">
        <f aca="false">+R133+R134</f>
        <v>31.3069685310948</v>
      </c>
      <c r="S137" s="151" t="n">
        <f aca="false">+S133+S134</f>
        <v>25.2466750274407</v>
      </c>
      <c r="T137" s="151" t="n">
        <f aca="false">+T133+T134</f>
        <v>20.1120534257774</v>
      </c>
      <c r="U137" s="151" t="n">
        <f aca="false">+U133+U134</f>
        <v>15.7983600253203</v>
      </c>
      <c r="V137" s="151" t="n">
        <f aca="false">+V133+V134</f>
        <v>12.1823129393752</v>
      </c>
      <c r="W137" s="151" t="n">
        <f aca="false">+W133+W134</f>
        <v>9.21328528298237</v>
      </c>
      <c r="X137" s="151" t="n">
        <f aca="false">+X133+X134</f>
        <v>6.77844092643018</v>
      </c>
      <c r="Y137" s="151" t="n">
        <f aca="false">+Y133+Y134</f>
        <v>4.80323779905538</v>
      </c>
      <c r="Z137" s="151" t="n">
        <f aca="false">+Z133+Z134</f>
        <v>3.24659849009211</v>
      </c>
      <c r="AA137" s="151" t="n">
        <f aca="false">+AA133+AA134</f>
        <v>2.10308483906068</v>
      </c>
      <c r="AB137" s="151" t="n">
        <f aca="false">+AB133+AB134</f>
        <v>1.22865755890107</v>
      </c>
      <c r="AC137" s="151" t="n">
        <f aca="false">+AC133+AC134</f>
        <v>0.555985560429433</v>
      </c>
    </row>
    <row r="138" customFormat="false" ht="11.25" hidden="false" customHeight="false" outlineLevel="0" collapsed="false">
      <c r="A138" s="43"/>
      <c r="G138" s="152" t="s">
        <v>215</v>
      </c>
      <c r="I138" s="151" t="n">
        <f aca="false">SUM(I136:$AC136)</f>
        <v>4486.20762826506</v>
      </c>
      <c r="J138" s="151" t="n">
        <f aca="false">SUM(J136:$AC136)</f>
        <v>4260.67813749131</v>
      </c>
      <c r="K138" s="151" t="n">
        <f aca="false">SUM(K136:$AC136)</f>
        <v>3751.65582261046</v>
      </c>
      <c r="L138" s="151" t="n">
        <f aca="false">SUM(L136:$AC136)</f>
        <v>3275.17884308287</v>
      </c>
      <c r="M138" s="151" t="n">
        <f aca="false">SUM(M136:$AC136)</f>
        <v>2823.42222028997</v>
      </c>
      <c r="N138" s="151" t="n">
        <f aca="false">SUM(N136:$AC136)</f>
        <v>2399.70293141367</v>
      </c>
      <c r="O138" s="151" t="n">
        <f aca="false">SUM(O136:$AC136)</f>
        <v>2010.26423265744</v>
      </c>
      <c r="P138" s="151" t="n">
        <f aca="false">SUM(P136:$AC136)</f>
        <v>1669.17851505543</v>
      </c>
      <c r="Q138" s="151" t="n">
        <f aca="false">SUM(Q136:$AC136)</f>
        <v>1375.85417440488</v>
      </c>
      <c r="R138" s="151" t="n">
        <f aca="false">SUM(R136:$AC136)</f>
        <v>1121.45707324699</v>
      </c>
      <c r="S138" s="151" t="n">
        <f aca="false">SUM(S136:$AC136)</f>
        <v>904.369334174602</v>
      </c>
      <c r="T138" s="151" t="n">
        <f aca="false">SUM(T136:$AC136)</f>
        <v>720.44038851789</v>
      </c>
      <c r="U138" s="151" t="n">
        <f aca="false">SUM(U136:$AC136)</f>
        <v>565.918178200511</v>
      </c>
      <c r="V138" s="151" t="n">
        <f aca="false">SUM(V136:$AC136)</f>
        <v>436.386582776331</v>
      </c>
      <c r="W138" s="151" t="n">
        <f aca="false">SUM(W136:$AC136)</f>
        <v>330.03208017987</v>
      </c>
      <c r="X138" s="151" t="n">
        <f aca="false">SUM(X136:$AC136)</f>
        <v>242.812730813645</v>
      </c>
      <c r="Y138" s="151" t="n">
        <f aca="false">SUM(Y136:$AC136)</f>
        <v>172.0583389889</v>
      </c>
      <c r="Z138" s="151" t="n">
        <f aca="false">SUM(Z136:$AC136)</f>
        <v>116.297457452341</v>
      </c>
      <c r="AA138" s="151" t="n">
        <f aca="false">SUM(AA136:$AC136)</f>
        <v>75.3352840937176</v>
      </c>
      <c r="AB138" s="151" t="n">
        <f aca="false">SUM(AB136:$AC136)</f>
        <v>44.0121408963448</v>
      </c>
      <c r="AC138" s="151" t="n">
        <f aca="false">SUM(AC136:$AC136)</f>
        <v>19.9161390777101</v>
      </c>
    </row>
    <row r="139" customFormat="false" ht="11.25" hidden="false" customHeight="false" outlineLevel="0" collapsed="false">
      <c r="D139" s="112"/>
      <c r="G139" s="65" t="s">
        <v>216</v>
      </c>
      <c r="I139" s="112" t="n">
        <f aca="false">IF(I138=0,0,I137/I138)</f>
        <v>0</v>
      </c>
      <c r="J139" s="112" t="n">
        <f aca="false">IF(J138=0,0,J137/J138)</f>
        <v>0</v>
      </c>
      <c r="K139" s="112" t="n">
        <f aca="false">IF(K138=0,0,K137/K138)</f>
        <v>0</v>
      </c>
      <c r="L139" s="112" t="n">
        <f aca="false">IF(L138=0,0,L137/L138)</f>
        <v>0</v>
      </c>
      <c r="M139" s="112" t="n">
        <f aca="false">IF(M138=0,0,M137/M138)</f>
        <v>0</v>
      </c>
      <c r="N139" s="112" t="n">
        <f aca="false">IF(N138=0,0,N137/N138)</f>
        <v>0</v>
      </c>
      <c r="O139" s="112" t="n">
        <f aca="false">IF(O138=0,0,O137/O138)</f>
        <v>0.0128396056501884</v>
      </c>
      <c r="P139" s="112" t="n">
        <f aca="false">IF(P138=0,0,P137/P138)</f>
        <v>0.0161418288397895</v>
      </c>
      <c r="Q139" s="112" t="n">
        <f aca="false">IF(Q138=0,0,Q137/Q138)</f>
        <v>0.0279163324909538</v>
      </c>
      <c r="R139" s="112" t="n">
        <f aca="false">IF(R138=0,0,R137/R138)</f>
        <v>0.0279163324909538</v>
      </c>
      <c r="S139" s="112" t="n">
        <f aca="false">IF(S138=0,0,S137/S138)</f>
        <v>0.0279163324909538</v>
      </c>
      <c r="T139" s="112" t="n">
        <f aca="false">IF(T138=0,0,T137/T138)</f>
        <v>0.0279163324909538</v>
      </c>
      <c r="U139" s="112" t="n">
        <f aca="false">IF(U138=0,0,U137/U138)</f>
        <v>0.0279163324909538</v>
      </c>
      <c r="V139" s="112" t="n">
        <f aca="false">IF(V138=0,0,V137/V138)</f>
        <v>0.0279163324909538</v>
      </c>
      <c r="W139" s="112" t="n">
        <f aca="false">IF(W138=0,0,W137/W138)</f>
        <v>0.0279163324909538</v>
      </c>
      <c r="X139" s="112" t="n">
        <f aca="false">IF(X138=0,0,X137/X138)</f>
        <v>0.0279163324909538</v>
      </c>
      <c r="Y139" s="112" t="n">
        <f aca="false">IF(Y138=0,0,Y137/Y138)</f>
        <v>0.0279163324909538</v>
      </c>
      <c r="Z139" s="112" t="n">
        <f aca="false">IF(Z138=0,0,Z137/Z138)</f>
        <v>0.0279163324909538</v>
      </c>
      <c r="AA139" s="112" t="n">
        <f aca="false">IF(AA138=0,0,AA137/AA138)</f>
        <v>0.0279163324909538</v>
      </c>
      <c r="AB139" s="112" t="n">
        <f aca="false">IF(AB138=0,0,AB137/AB138)</f>
        <v>0.0279163324909538</v>
      </c>
      <c r="AC139" s="112" t="n">
        <f aca="false">IF(AC138=0,0,AC137/AC138)</f>
        <v>0.0279163324909538</v>
      </c>
    </row>
    <row r="140" customFormat="false" ht="11.25" hidden="false" customHeight="false" outlineLevel="0" collapsed="false">
      <c r="A140" s="35"/>
      <c r="B140" s="35"/>
      <c r="E140" s="35"/>
      <c r="F140" s="35"/>
      <c r="G140" s="65" t="s">
        <v>217</v>
      </c>
      <c r="I140" s="67" t="n">
        <f aca="false">I139*I136</f>
        <v>0</v>
      </c>
      <c r="J140" s="88" t="n">
        <f aca="false">J139*J136</f>
        <v>0</v>
      </c>
      <c r="K140" s="88" t="n">
        <f aca="false">K139*K136</f>
        <v>0</v>
      </c>
      <c r="L140" s="88" t="n">
        <f aca="false">L139*L136</f>
        <v>0</v>
      </c>
      <c r="M140" s="88" t="n">
        <f aca="false">M139*M136</f>
        <v>0</v>
      </c>
      <c r="N140" s="88" t="n">
        <f aca="false">N139*N136</f>
        <v>0</v>
      </c>
      <c r="O140" s="88" t="n">
        <f aca="false">O139*O136</f>
        <v>4.37940610692124</v>
      </c>
      <c r="P140" s="88" t="n">
        <f aca="false">P139*P136</f>
        <v>4.73479130132525</v>
      </c>
      <c r="Q140" s="88" t="n">
        <f aca="false">Q139*Q136</f>
        <v>7.10183406065871</v>
      </c>
      <c r="R140" s="88" t="n">
        <f aca="false">R139*R136</f>
        <v>6.06029350365411</v>
      </c>
      <c r="S140" s="88" t="n">
        <f aca="false">S139*S136</f>
        <v>5.13462160166333</v>
      </c>
      <c r="T140" s="88" t="n">
        <f aca="false">T139*T136</f>
        <v>4.31369340045704</v>
      </c>
      <c r="U140" s="88" t="n">
        <f aca="false">U139*U136</f>
        <v>3.61604708594512</v>
      </c>
      <c r="V140" s="88" t="n">
        <f aca="false">V139*V136</f>
        <v>2.96902765639283</v>
      </c>
      <c r="W140" s="88" t="n">
        <f aca="false">W139*W136</f>
        <v>2.43484435655219</v>
      </c>
      <c r="X140" s="88" t="n">
        <f aca="false">X139*X136</f>
        <v>1.9752031273748</v>
      </c>
      <c r="Y140" s="88" t="n">
        <f aca="false">Y139*Y136</f>
        <v>1.55663930896327</v>
      </c>
      <c r="Z140" s="88" t="n">
        <f aca="false">Z139*Z136</f>
        <v>1.14351365103143</v>
      </c>
      <c r="AA140" s="88" t="n">
        <f aca="false">AA139*AA136</f>
        <v>0.874427280159617</v>
      </c>
      <c r="AB140" s="88" t="n">
        <f aca="false">AB139*AB136</f>
        <v>0.672671998471635</v>
      </c>
      <c r="AC140" s="88" t="n">
        <f aca="false">AC139*AC136</f>
        <v>0.555985560429433</v>
      </c>
    </row>
    <row r="141" customFormat="false" ht="11.25" hidden="false" customHeight="false" outlineLevel="0" collapsed="false">
      <c r="A141" s="153"/>
      <c r="H141" s="65" t="s">
        <v>469</v>
      </c>
      <c r="I141" s="67" t="n">
        <f aca="false">SUM(I140:AC140)-(I133+SUM(I134:AC134))</f>
        <v>0</v>
      </c>
      <c r="J141" s="137"/>
      <c r="K141" s="137"/>
      <c r="L141" s="137"/>
      <c r="M141" s="137"/>
      <c r="N141" s="137"/>
      <c r="O141" s="137"/>
      <c r="P141" s="137"/>
      <c r="Q141" s="137"/>
      <c r="R141" s="137"/>
      <c r="S141" s="137"/>
      <c r="T141" s="137"/>
      <c r="U141" s="137"/>
      <c r="V141" s="137"/>
      <c r="W141" s="137"/>
      <c r="X141" s="137"/>
      <c r="Y141" s="137"/>
      <c r="Z141" s="137"/>
      <c r="AA141" s="137"/>
      <c r="AB141" s="137"/>
      <c r="AC141" s="137"/>
    </row>
    <row r="142" customFormat="false" ht="12" hidden="false" customHeight="false" outlineLevel="0" collapsed="false">
      <c r="A142" s="104"/>
      <c r="B142" s="105"/>
      <c r="C142" s="105"/>
      <c r="D142" s="105"/>
      <c r="E142" s="105"/>
      <c r="F142" s="105"/>
      <c r="G142" s="105"/>
      <c r="H142" s="105"/>
      <c r="I142" s="106"/>
      <c r="J142" s="106"/>
      <c r="K142" s="106"/>
      <c r="L142" s="106"/>
      <c r="M142" s="106"/>
      <c r="N142" s="106"/>
      <c r="O142" s="106"/>
      <c r="P142" s="106"/>
      <c r="Q142" s="106"/>
      <c r="R142" s="106"/>
      <c r="S142" s="106"/>
      <c r="T142" s="106"/>
      <c r="U142" s="106"/>
      <c r="V142" s="106"/>
      <c r="W142" s="106"/>
      <c r="X142" s="106"/>
      <c r="Y142" s="106"/>
      <c r="Z142" s="106"/>
      <c r="AA142" s="106"/>
      <c r="AB142" s="106"/>
      <c r="AC142" s="106"/>
    </row>
    <row r="143" customFormat="false" ht="12.75" hidden="false" customHeight="false" outlineLevel="0" collapsed="false">
      <c r="A143" s="153"/>
      <c r="I143" s="137"/>
      <c r="J143" s="137"/>
      <c r="K143" s="137"/>
      <c r="L143" s="137"/>
      <c r="M143" s="137"/>
      <c r="N143" s="137"/>
      <c r="O143" s="137"/>
      <c r="P143" s="137"/>
      <c r="Q143" s="137"/>
      <c r="R143" s="137"/>
      <c r="S143" s="137"/>
      <c r="T143" s="137"/>
      <c r="U143" s="137"/>
      <c r="V143" s="137"/>
      <c r="W143" s="137"/>
      <c r="X143" s="137"/>
      <c r="Y143" s="137"/>
      <c r="Z143" s="137"/>
      <c r="AA143" s="137"/>
      <c r="AB143" s="137"/>
      <c r="AC143" s="137"/>
    </row>
    <row r="144" customFormat="false" ht="12.75" hidden="false" customHeight="false" outlineLevel="0" collapsed="false">
      <c r="A144" s="153" t="s">
        <v>378</v>
      </c>
      <c r="I144" s="81" t="str">
        <f aca="false">+I$3</f>
        <v>6 M/1999 </v>
      </c>
      <c r="J144" s="81" t="n">
        <f aca="false">+J$3</f>
        <v>2000</v>
      </c>
      <c r="K144" s="81" t="n">
        <f aca="false">+K$3</f>
        <v>2001</v>
      </c>
      <c r="L144" s="81" t="n">
        <f aca="false">+L$3</f>
        <v>2002</v>
      </c>
      <c r="M144" s="81" t="n">
        <f aca="false">+M$3</f>
        <v>2003</v>
      </c>
      <c r="N144" s="81" t="n">
        <f aca="false">+N$3</f>
        <v>2004</v>
      </c>
      <c r="O144" s="81" t="n">
        <f aca="false">+O$3</f>
        <v>2005</v>
      </c>
      <c r="P144" s="81" t="n">
        <f aca="false">+P$3</f>
        <v>2006</v>
      </c>
      <c r="Q144" s="81" t="n">
        <f aca="false">+Q$3</f>
        <v>2007</v>
      </c>
      <c r="R144" s="81" t="n">
        <f aca="false">+R$3</f>
        <v>2008</v>
      </c>
      <c r="S144" s="81" t="n">
        <f aca="false">+S$3</f>
        <v>2009</v>
      </c>
      <c r="T144" s="81" t="n">
        <f aca="false">+T$3</f>
        <v>2010</v>
      </c>
      <c r="U144" s="81" t="n">
        <f aca="false">+U$3</f>
        <v>2011</v>
      </c>
      <c r="V144" s="81" t="n">
        <f aca="false">+V$3</f>
        <v>2012</v>
      </c>
      <c r="W144" s="81" t="n">
        <f aca="false">+W$3</f>
        <v>2013</v>
      </c>
      <c r="X144" s="81" t="n">
        <f aca="false">+X$3</f>
        <v>2014</v>
      </c>
      <c r="Y144" s="81" t="n">
        <f aca="false">+Y$3</f>
        <v>2015</v>
      </c>
      <c r="Z144" s="81" t="n">
        <f aca="false">+Z$3</f>
        <v>2016</v>
      </c>
      <c r="AA144" s="81" t="n">
        <f aca="false">+AA$3</f>
        <v>2017</v>
      </c>
      <c r="AB144" s="81" t="n">
        <f aca="false">+AB$3</f>
        <v>2018</v>
      </c>
      <c r="AC144" s="81" t="n">
        <f aca="false">+AC$3</f>
        <v>2019</v>
      </c>
    </row>
    <row r="145" customFormat="false" ht="12" hidden="false" customHeight="false" outlineLevel="0" collapsed="false">
      <c r="A145" s="153"/>
      <c r="B145" s="4" t="s">
        <v>470</v>
      </c>
      <c r="I145" s="137"/>
      <c r="J145" s="137"/>
      <c r="K145" s="137"/>
      <c r="L145" s="137"/>
      <c r="M145" s="137"/>
      <c r="N145" s="137"/>
      <c r="O145" s="137"/>
      <c r="P145" s="137"/>
      <c r="Q145" s="137"/>
      <c r="R145" s="137"/>
      <c r="S145" s="137"/>
      <c r="T145" s="137"/>
      <c r="U145" s="137"/>
      <c r="V145" s="137"/>
      <c r="W145" s="137"/>
      <c r="X145" s="137"/>
      <c r="Y145" s="137"/>
      <c r="Z145" s="137"/>
      <c r="AA145" s="137"/>
      <c r="AB145" s="137"/>
      <c r="AC145" s="137"/>
    </row>
    <row r="146" customFormat="false" ht="11.25" hidden="false" customHeight="false" outlineLevel="0" collapsed="false">
      <c r="A146" s="153"/>
      <c r="B146" s="43" t="s">
        <v>471</v>
      </c>
      <c r="I146" s="137" t="n">
        <f aca="false">+I159-I153-I147</f>
        <v>0</v>
      </c>
      <c r="J146" s="137" t="n">
        <f aca="false">+J159-J153-J147</f>
        <v>0</v>
      </c>
      <c r="K146" s="137" t="n">
        <f aca="false">+K159-K153-K147</f>
        <v>0</v>
      </c>
      <c r="L146" s="137" t="n">
        <f aca="false">+L159-L153-L147</f>
        <v>0</v>
      </c>
      <c r="M146" s="137" t="n">
        <f aca="false">+M159-M153-M147</f>
        <v>0</v>
      </c>
      <c r="N146" s="137" t="n">
        <f aca="false">+N159-N153-N147</f>
        <v>0</v>
      </c>
      <c r="O146" s="137" t="n">
        <f aca="false">+O159-O153-O147</f>
        <v>0</v>
      </c>
      <c r="P146" s="137" t="n">
        <f aca="false">+P159-P153-P147</f>
        <v>0</v>
      </c>
      <c r="Q146" s="137" t="n">
        <f aca="false">+Q159-Q153-Q147</f>
        <v>0</v>
      </c>
      <c r="R146" s="137" t="n">
        <f aca="false">+R159-R153-R147</f>
        <v>0</v>
      </c>
      <c r="S146" s="137" t="n">
        <f aca="false">+S159-S153-S147</f>
        <v>0</v>
      </c>
      <c r="T146" s="137" t="n">
        <f aca="false">+T159-T153-T147</f>
        <v>0</v>
      </c>
      <c r="U146" s="137" t="n">
        <f aca="false">+U159-U153-U147</f>
        <v>0</v>
      </c>
      <c r="V146" s="137" t="n">
        <f aca="false">+V159-V153-V147</f>
        <v>0</v>
      </c>
      <c r="W146" s="137" t="n">
        <f aca="false">+W159-W153-W147</f>
        <v>0</v>
      </c>
      <c r="X146" s="137" t="n">
        <f aca="false">+X159-X153-X147</f>
        <v>0</v>
      </c>
      <c r="Y146" s="137" t="n">
        <f aca="false">+Y159-Y153-Y147</f>
        <v>0</v>
      </c>
      <c r="Z146" s="137" t="n">
        <f aca="false">+Z159-Z153-Z147</f>
        <v>0</v>
      </c>
      <c r="AA146" s="137" t="n">
        <f aca="false">+AA159-AA153-AA147</f>
        <v>0</v>
      </c>
      <c r="AB146" s="137" t="n">
        <f aca="false">+AB159-AB153-AB147</f>
        <v>0</v>
      </c>
      <c r="AC146" s="137" t="n">
        <f aca="false">+AC159-AC153-AC147</f>
        <v>0</v>
      </c>
    </row>
    <row r="147" customFormat="false" ht="11.25" hidden="false" customHeight="false" outlineLevel="0" collapsed="false">
      <c r="A147" s="153"/>
      <c r="B147" s="67" t="str">
        <f aca="false">"Type 1 Cap Ex for O&amp;G Reserves {excluding Type 2 Cap Ex for Class B Reserves}"</f>
        <v>Type 1 Cap Ex for O&amp;G Reserves {excluding Type 2 Cap Ex for Class B Reserves}</v>
      </c>
      <c r="I147" s="70" t="n">
        <f aca="false">+I46-I152</f>
        <v>0</v>
      </c>
      <c r="J147" s="70" t="n">
        <f aca="false">+J46-J152</f>
        <v>0</v>
      </c>
      <c r="K147" s="70" t="n">
        <f aca="false">+K46-K152</f>
        <v>0</v>
      </c>
      <c r="L147" s="70" t="n">
        <f aca="false">+L46-L152</f>
        <v>0</v>
      </c>
      <c r="M147" s="70" t="n">
        <f aca="false">+M46-M152</f>
        <v>0</v>
      </c>
      <c r="N147" s="70" t="n">
        <f aca="false">+N46-N152</f>
        <v>0</v>
      </c>
      <c r="O147" s="70" t="n">
        <f aca="false">+O46-O152</f>
        <v>25.811</v>
      </c>
      <c r="P147" s="70" t="n">
        <f aca="false">+P46-P152</f>
        <v>5.512</v>
      </c>
      <c r="Q147" s="70" t="n">
        <f aca="false">+Q46-Q152</f>
        <v>16.2</v>
      </c>
      <c r="R147" s="70" t="n">
        <f aca="false">+R46-R152</f>
        <v>0</v>
      </c>
      <c r="S147" s="70" t="n">
        <f aca="false">+S46-S152</f>
        <v>0</v>
      </c>
      <c r="T147" s="70" t="n">
        <f aca="false">+T46-T152</f>
        <v>0</v>
      </c>
      <c r="U147" s="70" t="n">
        <f aca="false">+U46-U152</f>
        <v>0</v>
      </c>
      <c r="V147" s="70" t="n">
        <f aca="false">+V46-V152</f>
        <v>0</v>
      </c>
      <c r="W147" s="70" t="n">
        <f aca="false">+W46-W152</f>
        <v>0</v>
      </c>
      <c r="X147" s="70" t="n">
        <f aca="false">+X46-X152</f>
        <v>0</v>
      </c>
      <c r="Y147" s="70" t="n">
        <f aca="false">+Y46-Y152</f>
        <v>0</v>
      </c>
      <c r="Z147" s="70" t="n">
        <f aca="false">+Z46-Z152</f>
        <v>0</v>
      </c>
      <c r="AA147" s="70" t="n">
        <f aca="false">+AA46-AA152</f>
        <v>0</v>
      </c>
      <c r="AB147" s="70" t="n">
        <f aca="false">+AB46-AB152</f>
        <v>0</v>
      </c>
      <c r="AC147" s="70" t="n">
        <f aca="false">+AC46-AC152</f>
        <v>0</v>
      </c>
    </row>
    <row r="148" customFormat="false" ht="11.25" hidden="false" customHeight="false" outlineLevel="0" collapsed="false">
      <c r="A148" s="153"/>
      <c r="B148" s="67" t="s">
        <v>472</v>
      </c>
      <c r="I148" s="189" t="n">
        <f aca="false">+I147+I146</f>
        <v>0</v>
      </c>
      <c r="J148" s="189" t="n">
        <f aca="false">+J147+J146</f>
        <v>0</v>
      </c>
      <c r="K148" s="189" t="n">
        <f aca="false">+K147+K146</f>
        <v>0</v>
      </c>
      <c r="L148" s="189" t="n">
        <f aca="false">+L147+L146</f>
        <v>0</v>
      </c>
      <c r="M148" s="189" t="n">
        <f aca="false">+M147+M146</f>
        <v>0</v>
      </c>
      <c r="N148" s="189" t="n">
        <f aca="false">+N147+N146</f>
        <v>0</v>
      </c>
      <c r="O148" s="189" t="n">
        <f aca="false">+O147+O146</f>
        <v>25.811</v>
      </c>
      <c r="P148" s="189" t="n">
        <f aca="false">+P147+P146</f>
        <v>5.512</v>
      </c>
      <c r="Q148" s="189" t="n">
        <f aca="false">+Q147+Q146</f>
        <v>16.2</v>
      </c>
      <c r="R148" s="189" t="n">
        <f aca="false">+R147+R146</f>
        <v>0</v>
      </c>
      <c r="S148" s="189" t="n">
        <f aca="false">+S147+S146</f>
        <v>0</v>
      </c>
      <c r="T148" s="189" t="n">
        <f aca="false">+T147+T146</f>
        <v>0</v>
      </c>
      <c r="U148" s="189" t="n">
        <f aca="false">+U147+U146</f>
        <v>0</v>
      </c>
      <c r="V148" s="189" t="n">
        <f aca="false">+V147+V146</f>
        <v>0</v>
      </c>
      <c r="W148" s="189" t="n">
        <f aca="false">+W147+W146</f>
        <v>0</v>
      </c>
      <c r="X148" s="189" t="n">
        <f aca="false">+X147+X146</f>
        <v>0</v>
      </c>
      <c r="Y148" s="189" t="n">
        <f aca="false">+Y147+Y146</f>
        <v>0</v>
      </c>
      <c r="Z148" s="189" t="n">
        <f aca="false">+Z147+Z146</f>
        <v>0</v>
      </c>
      <c r="AA148" s="189" t="n">
        <f aca="false">+AA147+AA146</f>
        <v>0</v>
      </c>
      <c r="AB148" s="189" t="n">
        <f aca="false">+AB147+AB146</f>
        <v>0</v>
      </c>
      <c r="AC148" s="189" t="n">
        <f aca="false">+AC147+AC146</f>
        <v>0</v>
      </c>
    </row>
    <row r="149" customFormat="false" ht="11.25" hidden="false" customHeight="false" outlineLevel="0" collapsed="false">
      <c r="A149" s="153"/>
      <c r="I149" s="137"/>
      <c r="J149" s="137"/>
      <c r="K149" s="137"/>
      <c r="L149" s="137"/>
      <c r="M149" s="137"/>
      <c r="N149" s="137"/>
      <c r="O149" s="137"/>
      <c r="P149" s="137"/>
      <c r="Q149" s="137"/>
      <c r="R149" s="137"/>
      <c r="S149" s="137"/>
      <c r="T149" s="137"/>
      <c r="U149" s="137"/>
      <c r="V149" s="137"/>
      <c r="W149" s="137"/>
      <c r="X149" s="137"/>
      <c r="Y149" s="137"/>
      <c r="Z149" s="137"/>
      <c r="AA149" s="137"/>
      <c r="AB149" s="137"/>
      <c r="AC149" s="137"/>
    </row>
    <row r="150" customFormat="false" ht="11.25" hidden="false" customHeight="false" outlineLevel="0" collapsed="false">
      <c r="A150" s="153"/>
      <c r="B150" s="4" t="s">
        <v>473</v>
      </c>
      <c r="I150" s="137"/>
      <c r="J150" s="137"/>
      <c r="K150" s="137"/>
      <c r="L150" s="137"/>
      <c r="M150" s="137"/>
      <c r="N150" s="137"/>
      <c r="O150" s="137"/>
      <c r="P150" s="137"/>
      <c r="Q150" s="137"/>
      <c r="R150" s="137"/>
      <c r="S150" s="137"/>
      <c r="T150" s="137"/>
      <c r="U150" s="137"/>
      <c r="V150" s="137"/>
      <c r="W150" s="137"/>
      <c r="X150" s="137"/>
      <c r="Y150" s="137"/>
      <c r="Z150" s="137"/>
      <c r="AA150" s="137"/>
      <c r="AB150" s="137"/>
      <c r="AC150" s="137"/>
    </row>
    <row r="151" customFormat="false" ht="11.25" hidden="false" customHeight="false" outlineLevel="0" collapsed="false">
      <c r="A151" s="153"/>
      <c r="B151" s="43" t="s">
        <v>474</v>
      </c>
      <c r="I151" s="180" t="n">
        <v>0</v>
      </c>
      <c r="J151" s="180" t="n">
        <v>0</v>
      </c>
      <c r="K151" s="180" t="n">
        <v>0</v>
      </c>
      <c r="L151" s="180" t="n">
        <v>0</v>
      </c>
      <c r="M151" s="180" t="n">
        <v>0</v>
      </c>
      <c r="N151" s="180" t="n">
        <v>0</v>
      </c>
      <c r="O151" s="180" t="n">
        <v>0</v>
      </c>
      <c r="P151" s="180" t="n">
        <v>0</v>
      </c>
      <c r="Q151" s="180" t="n">
        <v>0</v>
      </c>
      <c r="R151" s="180" t="n">
        <v>0</v>
      </c>
      <c r="S151" s="180" t="n">
        <v>0</v>
      </c>
      <c r="T151" s="180" t="n">
        <v>0</v>
      </c>
      <c r="U151" s="180" t="n">
        <v>0</v>
      </c>
      <c r="V151" s="180" t="n">
        <v>0</v>
      </c>
      <c r="W151" s="180" t="n">
        <v>0</v>
      </c>
      <c r="X151" s="180" t="n">
        <v>0</v>
      </c>
      <c r="Y151" s="180" t="n">
        <v>0</v>
      </c>
      <c r="Z151" s="180" t="n">
        <v>0</v>
      </c>
      <c r="AA151" s="180" t="n">
        <v>0</v>
      </c>
      <c r="AB151" s="180" t="n">
        <v>0</v>
      </c>
      <c r="AC151" s="180" t="n">
        <v>0</v>
      </c>
    </row>
    <row r="152" customFormat="false" ht="11.25" hidden="false" customHeight="false" outlineLevel="0" collapsed="false">
      <c r="A152" s="153"/>
      <c r="B152" s="67" t="str">
        <f aca="false">"Type 2 Cap Ex for Class B Reserves"</f>
        <v>Type 2 Cap Ex for Class B Reserves</v>
      </c>
      <c r="I152" s="180" t="n">
        <v>0</v>
      </c>
      <c r="J152" s="180" t="n">
        <v>0</v>
      </c>
      <c r="K152" s="180" t="n">
        <v>0</v>
      </c>
      <c r="L152" s="180" t="n">
        <v>0</v>
      </c>
      <c r="M152" s="180" t="n">
        <v>0</v>
      </c>
      <c r="N152" s="180" t="n">
        <v>0</v>
      </c>
      <c r="O152" s="180" t="n">
        <v>0</v>
      </c>
      <c r="P152" s="180" t="n">
        <v>0</v>
      </c>
      <c r="Q152" s="180" t="n">
        <v>0</v>
      </c>
      <c r="R152" s="180" t="n">
        <v>0</v>
      </c>
      <c r="S152" s="180" t="n">
        <v>0</v>
      </c>
      <c r="T152" s="180" t="n">
        <v>0</v>
      </c>
      <c r="U152" s="180" t="n">
        <v>0</v>
      </c>
      <c r="V152" s="180" t="n">
        <v>0</v>
      </c>
      <c r="W152" s="180" t="n">
        <v>0</v>
      </c>
      <c r="X152" s="180" t="n">
        <v>0</v>
      </c>
      <c r="Y152" s="180" t="n">
        <v>0</v>
      </c>
      <c r="Z152" s="180" t="n">
        <v>0</v>
      </c>
      <c r="AA152" s="180" t="n">
        <v>0</v>
      </c>
      <c r="AB152" s="180" t="n">
        <v>0</v>
      </c>
      <c r="AC152" s="180" t="n">
        <v>0</v>
      </c>
    </row>
    <row r="153" customFormat="false" ht="11.25" hidden="false" customHeight="false" outlineLevel="0" collapsed="false">
      <c r="A153" s="153"/>
      <c r="B153" s="43" t="s">
        <v>475</v>
      </c>
      <c r="I153" s="69" t="n">
        <f aca="false">+I152+I151</f>
        <v>0</v>
      </c>
      <c r="J153" s="69" t="n">
        <f aca="false">+J152+J151</f>
        <v>0</v>
      </c>
      <c r="K153" s="69" t="n">
        <f aca="false">+K152+K151</f>
        <v>0</v>
      </c>
      <c r="L153" s="69" t="n">
        <f aca="false">+L152+L151</f>
        <v>0</v>
      </c>
      <c r="M153" s="69" t="n">
        <f aca="false">+M152+M151</f>
        <v>0</v>
      </c>
      <c r="N153" s="69" t="n">
        <f aca="false">+N152+N151</f>
        <v>0</v>
      </c>
      <c r="O153" s="69" t="n">
        <f aca="false">+O152+O151</f>
        <v>0</v>
      </c>
      <c r="P153" s="69" t="n">
        <f aca="false">+P152+P151</f>
        <v>0</v>
      </c>
      <c r="Q153" s="69" t="n">
        <f aca="false">+Q152+Q151</f>
        <v>0</v>
      </c>
      <c r="R153" s="69" t="n">
        <f aca="false">+R152+R151</f>
        <v>0</v>
      </c>
      <c r="S153" s="69" t="n">
        <f aca="false">+S152+S151</f>
        <v>0</v>
      </c>
      <c r="T153" s="69" t="n">
        <f aca="false">+T152+T151</f>
        <v>0</v>
      </c>
      <c r="U153" s="69" t="n">
        <f aca="false">+U152+U151</f>
        <v>0</v>
      </c>
      <c r="V153" s="69" t="n">
        <f aca="false">+V152+V151</f>
        <v>0</v>
      </c>
      <c r="W153" s="69" t="n">
        <f aca="false">+W152+W151</f>
        <v>0</v>
      </c>
      <c r="X153" s="69" t="n">
        <f aca="false">+X152+X151</f>
        <v>0</v>
      </c>
      <c r="Y153" s="69" t="n">
        <f aca="false">+Y152+Y151</f>
        <v>0</v>
      </c>
      <c r="Z153" s="69" t="n">
        <f aca="false">+Z152+Z151</f>
        <v>0</v>
      </c>
      <c r="AA153" s="69" t="n">
        <f aca="false">+AA152+AA151</f>
        <v>0</v>
      </c>
      <c r="AB153" s="69" t="n">
        <f aca="false">+AB152+AB151</f>
        <v>0</v>
      </c>
      <c r="AC153" s="69" t="n">
        <f aca="false">+AC152+AC151</f>
        <v>0</v>
      </c>
    </row>
    <row r="154" customFormat="false" ht="11.25" hidden="false" customHeight="false" outlineLevel="0" collapsed="false">
      <c r="A154" s="153"/>
      <c r="B154" s="43"/>
      <c r="I154" s="230"/>
      <c r="J154" s="230"/>
      <c r="K154" s="230"/>
      <c r="L154" s="230"/>
      <c r="M154" s="230"/>
      <c r="N154" s="230"/>
      <c r="O154" s="230"/>
      <c r="P154" s="230"/>
      <c r="Q154" s="230"/>
      <c r="R154" s="230"/>
      <c r="S154" s="230"/>
      <c r="T154" s="230"/>
      <c r="U154" s="230"/>
      <c r="V154" s="230"/>
      <c r="W154" s="230"/>
      <c r="X154" s="230"/>
      <c r="Y154" s="230"/>
      <c r="Z154" s="230"/>
      <c r="AA154" s="230"/>
      <c r="AB154" s="230"/>
      <c r="AC154" s="230"/>
    </row>
    <row r="155" customFormat="false" ht="11.25" hidden="false" customHeight="false" outlineLevel="0" collapsed="false">
      <c r="A155" s="153"/>
      <c r="B155" s="153" t="s">
        <v>476</v>
      </c>
      <c r="I155" s="70" t="n">
        <f aca="false">+I46</f>
        <v>0</v>
      </c>
      <c r="J155" s="70" t="n">
        <f aca="false">+J46</f>
        <v>0</v>
      </c>
      <c r="K155" s="70" t="n">
        <f aca="false">+K46</f>
        <v>0</v>
      </c>
      <c r="L155" s="70" t="n">
        <f aca="false">+L46</f>
        <v>0</v>
      </c>
      <c r="M155" s="70" t="n">
        <f aca="false">+M46</f>
        <v>0</v>
      </c>
      <c r="N155" s="70" t="n">
        <f aca="false">+N46</f>
        <v>0</v>
      </c>
      <c r="O155" s="70" t="n">
        <f aca="false">+O46</f>
        <v>25.811</v>
      </c>
      <c r="P155" s="70" t="n">
        <f aca="false">+P46</f>
        <v>5.512</v>
      </c>
      <c r="Q155" s="70" t="n">
        <f aca="false">+Q46</f>
        <v>16.2</v>
      </c>
      <c r="R155" s="70" t="n">
        <f aca="false">+R46</f>
        <v>0</v>
      </c>
      <c r="S155" s="70" t="n">
        <f aca="false">+S46</f>
        <v>0</v>
      </c>
      <c r="T155" s="70" t="n">
        <f aca="false">+T46</f>
        <v>0</v>
      </c>
      <c r="U155" s="70" t="n">
        <f aca="false">+U46</f>
        <v>0</v>
      </c>
      <c r="V155" s="70" t="n">
        <f aca="false">+V46</f>
        <v>0</v>
      </c>
      <c r="W155" s="70" t="n">
        <f aca="false">+W46</f>
        <v>0</v>
      </c>
      <c r="X155" s="70" t="n">
        <f aca="false">+X46</f>
        <v>0</v>
      </c>
      <c r="Y155" s="70" t="n">
        <f aca="false">+Y46</f>
        <v>0</v>
      </c>
      <c r="Z155" s="70" t="n">
        <f aca="false">+Z46</f>
        <v>0</v>
      </c>
      <c r="AA155" s="70" t="n">
        <f aca="false">+AA46</f>
        <v>0</v>
      </c>
      <c r="AB155" s="70" t="n">
        <f aca="false">+AB46</f>
        <v>0</v>
      </c>
      <c r="AC155" s="70" t="n">
        <f aca="false">+AC46</f>
        <v>0</v>
      </c>
    </row>
    <row r="156" customFormat="false" ht="11.25" hidden="false" customHeight="false" outlineLevel="0" collapsed="false">
      <c r="A156" s="153"/>
      <c r="B156" s="153" t="s">
        <v>385</v>
      </c>
      <c r="I156" s="70" t="n">
        <f aca="false">+I58</f>
        <v>0</v>
      </c>
      <c r="J156" s="70" t="n">
        <f aca="false">+J58</f>
        <v>0</v>
      </c>
      <c r="K156" s="70" t="n">
        <f aca="false">+K58</f>
        <v>0</v>
      </c>
      <c r="L156" s="70" t="n">
        <f aca="false">+L58</f>
        <v>0</v>
      </c>
      <c r="M156" s="70" t="n">
        <f aca="false">+M58</f>
        <v>0</v>
      </c>
      <c r="N156" s="70" t="n">
        <f aca="false">+N58</f>
        <v>0</v>
      </c>
      <c r="O156" s="70" t="n">
        <f aca="false">+O58</f>
        <v>0</v>
      </c>
      <c r="P156" s="70" t="n">
        <f aca="false">+P58</f>
        <v>0</v>
      </c>
      <c r="Q156" s="70" t="n">
        <f aca="false">+Q58</f>
        <v>0</v>
      </c>
      <c r="R156" s="70" t="n">
        <f aca="false">+R58</f>
        <v>0</v>
      </c>
      <c r="S156" s="70" t="n">
        <f aca="false">+S58</f>
        <v>0</v>
      </c>
      <c r="T156" s="70" t="n">
        <f aca="false">+T58</f>
        <v>0</v>
      </c>
      <c r="U156" s="70" t="n">
        <f aca="false">+U58</f>
        <v>0</v>
      </c>
      <c r="V156" s="70" t="n">
        <f aca="false">+V58</f>
        <v>0</v>
      </c>
      <c r="W156" s="70" t="n">
        <f aca="false">+W58</f>
        <v>0</v>
      </c>
      <c r="X156" s="70" t="n">
        <f aca="false">+X58</f>
        <v>0</v>
      </c>
      <c r="Y156" s="70" t="n">
        <f aca="false">+Y58</f>
        <v>0</v>
      </c>
      <c r="Z156" s="70" t="n">
        <f aca="false">+Z58</f>
        <v>0</v>
      </c>
      <c r="AA156" s="70" t="n">
        <f aca="false">+AA58</f>
        <v>0</v>
      </c>
      <c r="AB156" s="70" t="n">
        <f aca="false">+AB58</f>
        <v>0</v>
      </c>
      <c r="AC156" s="70" t="n">
        <f aca="false">+AC58</f>
        <v>0</v>
      </c>
    </row>
    <row r="157" customFormat="false" ht="11.25" hidden="false" customHeight="false" outlineLevel="0" collapsed="false">
      <c r="A157" s="153"/>
      <c r="B157" s="153" t="s">
        <v>349</v>
      </c>
      <c r="I157" s="70" t="n">
        <f aca="false">+I64</f>
        <v>0</v>
      </c>
      <c r="J157" s="70" t="n">
        <f aca="false">+J64</f>
        <v>0</v>
      </c>
      <c r="K157" s="70" t="n">
        <f aca="false">+K64</f>
        <v>0</v>
      </c>
      <c r="L157" s="70" t="n">
        <f aca="false">+L64</f>
        <v>0</v>
      </c>
      <c r="M157" s="70" t="n">
        <f aca="false">+M64</f>
        <v>0</v>
      </c>
      <c r="N157" s="70" t="n">
        <f aca="false">+N64</f>
        <v>0</v>
      </c>
      <c r="O157" s="70" t="n">
        <f aca="false">+O64</f>
        <v>0</v>
      </c>
      <c r="P157" s="70" t="n">
        <f aca="false">+P64</f>
        <v>0</v>
      </c>
      <c r="Q157" s="70" t="n">
        <f aca="false">+Q64</f>
        <v>0</v>
      </c>
      <c r="R157" s="70" t="n">
        <f aca="false">+R64</f>
        <v>0</v>
      </c>
      <c r="S157" s="70" t="n">
        <f aca="false">+S64</f>
        <v>0</v>
      </c>
      <c r="T157" s="70" t="n">
        <f aca="false">+T64</f>
        <v>0</v>
      </c>
      <c r="U157" s="70" t="n">
        <f aca="false">+U64</f>
        <v>0</v>
      </c>
      <c r="V157" s="70" t="n">
        <f aca="false">+V64</f>
        <v>0</v>
      </c>
      <c r="W157" s="70" t="n">
        <f aca="false">+W64</f>
        <v>0</v>
      </c>
      <c r="X157" s="70" t="n">
        <f aca="false">+X64</f>
        <v>0</v>
      </c>
      <c r="Y157" s="70" t="n">
        <f aca="false">+Y64</f>
        <v>0</v>
      </c>
      <c r="Z157" s="70" t="n">
        <f aca="false">+Z64</f>
        <v>0</v>
      </c>
      <c r="AA157" s="70" t="n">
        <f aca="false">+AA64</f>
        <v>0</v>
      </c>
      <c r="AB157" s="70" t="n">
        <f aca="false">+AB64</f>
        <v>0</v>
      </c>
      <c r="AC157" s="70" t="n">
        <f aca="false">+AC64</f>
        <v>0</v>
      </c>
    </row>
    <row r="158" customFormat="false" ht="11.25" hidden="false" customHeight="false" outlineLevel="0" collapsed="false">
      <c r="A158" s="153"/>
      <c r="B158" s="153" t="s">
        <v>477</v>
      </c>
      <c r="I158" s="70" t="n">
        <f aca="false">+I67</f>
        <v>0</v>
      </c>
      <c r="J158" s="70" t="n">
        <f aca="false">+J67</f>
        <v>0</v>
      </c>
      <c r="K158" s="70" t="n">
        <f aca="false">+K67</f>
        <v>0</v>
      </c>
      <c r="L158" s="70" t="n">
        <f aca="false">+L67</f>
        <v>0</v>
      </c>
      <c r="M158" s="70" t="n">
        <f aca="false">+M67</f>
        <v>0</v>
      </c>
      <c r="N158" s="70" t="n">
        <f aca="false">+N67</f>
        <v>0</v>
      </c>
      <c r="O158" s="70" t="n">
        <f aca="false">+O67</f>
        <v>0</v>
      </c>
      <c r="P158" s="70" t="n">
        <f aca="false">+P67</f>
        <v>0</v>
      </c>
      <c r="Q158" s="70" t="n">
        <f aca="false">+Q67</f>
        <v>0</v>
      </c>
      <c r="R158" s="70" t="n">
        <f aca="false">+R67</f>
        <v>0</v>
      </c>
      <c r="S158" s="70" t="n">
        <f aca="false">+S67</f>
        <v>0</v>
      </c>
      <c r="T158" s="70" t="n">
        <f aca="false">+T67</f>
        <v>0</v>
      </c>
      <c r="U158" s="70" t="n">
        <f aca="false">+U67</f>
        <v>0</v>
      </c>
      <c r="V158" s="70" t="n">
        <f aca="false">+V67</f>
        <v>0</v>
      </c>
      <c r="W158" s="70" t="n">
        <f aca="false">+W67</f>
        <v>0</v>
      </c>
      <c r="X158" s="70" t="n">
        <f aca="false">+X67</f>
        <v>0</v>
      </c>
      <c r="Y158" s="70" t="n">
        <f aca="false">+Y67</f>
        <v>0</v>
      </c>
      <c r="Z158" s="70" t="n">
        <f aca="false">+Z67</f>
        <v>0</v>
      </c>
      <c r="AA158" s="70" t="n">
        <f aca="false">+AA67</f>
        <v>0</v>
      </c>
      <c r="AB158" s="70" t="n">
        <f aca="false">+AB67</f>
        <v>0</v>
      </c>
      <c r="AC158" s="70" t="n">
        <f aca="false">+AC67</f>
        <v>0</v>
      </c>
    </row>
    <row r="159" customFormat="false" ht="11.25" hidden="false" customHeight="false" outlineLevel="0" collapsed="false">
      <c r="A159" s="153"/>
      <c r="B159" s="153" t="s">
        <v>417</v>
      </c>
      <c r="E159" s="231" t="n">
        <v>0</v>
      </c>
      <c r="F159" s="231" t="n">
        <v>853.341</v>
      </c>
      <c r="G159" s="231" t="n">
        <v>3370.264</v>
      </c>
      <c r="H159" s="231" t="n">
        <v>3411.233</v>
      </c>
      <c r="I159" s="189" t="n">
        <f aca="false">+I71</f>
        <v>0</v>
      </c>
      <c r="J159" s="189" t="n">
        <f aca="false">+J71</f>
        <v>0</v>
      </c>
      <c r="K159" s="189" t="n">
        <f aca="false">+K71</f>
        <v>0</v>
      </c>
      <c r="L159" s="189" t="n">
        <f aca="false">+L71</f>
        <v>0</v>
      </c>
      <c r="M159" s="189" t="n">
        <f aca="false">+M71</f>
        <v>0</v>
      </c>
      <c r="N159" s="189" t="n">
        <f aca="false">+N71</f>
        <v>0</v>
      </c>
      <c r="O159" s="189" t="n">
        <f aca="false">+O71</f>
        <v>25.811</v>
      </c>
      <c r="P159" s="189" t="n">
        <f aca="false">+P71</f>
        <v>5.512</v>
      </c>
      <c r="Q159" s="189" t="n">
        <f aca="false">+Q71</f>
        <v>16.2</v>
      </c>
      <c r="R159" s="189" t="n">
        <f aca="false">+R71</f>
        <v>0</v>
      </c>
      <c r="S159" s="189" t="n">
        <f aca="false">+S71</f>
        <v>0</v>
      </c>
      <c r="T159" s="189" t="n">
        <f aca="false">+T71</f>
        <v>0</v>
      </c>
      <c r="U159" s="189" t="n">
        <f aca="false">+U71</f>
        <v>0</v>
      </c>
      <c r="V159" s="189" t="n">
        <f aca="false">+V71</f>
        <v>0</v>
      </c>
      <c r="W159" s="189" t="n">
        <f aca="false">+W71</f>
        <v>0</v>
      </c>
      <c r="X159" s="189" t="n">
        <f aca="false">+X71</f>
        <v>0</v>
      </c>
      <c r="Y159" s="189" t="n">
        <f aca="false">+Y71</f>
        <v>0</v>
      </c>
      <c r="Z159" s="189" t="n">
        <f aca="false">+Z71</f>
        <v>0</v>
      </c>
      <c r="AA159" s="189" t="n">
        <f aca="false">+AA71</f>
        <v>0</v>
      </c>
      <c r="AB159" s="189" t="n">
        <f aca="false">+AB71</f>
        <v>0</v>
      </c>
      <c r="AC159" s="189" t="n">
        <f aca="false">+AC71</f>
        <v>0</v>
      </c>
    </row>
    <row r="160" customFormat="false" ht="11.25" hidden="false" customHeight="false" outlineLevel="0" collapsed="false">
      <c r="A160" s="153"/>
      <c r="I160" s="137"/>
      <c r="J160" s="137"/>
      <c r="K160" s="137"/>
      <c r="L160" s="137"/>
      <c r="M160" s="137"/>
      <c r="N160" s="137"/>
      <c r="O160" s="137"/>
      <c r="P160" s="137"/>
      <c r="Q160" s="137"/>
      <c r="R160" s="137"/>
      <c r="S160" s="137"/>
      <c r="T160" s="137"/>
      <c r="U160" s="137"/>
      <c r="V160" s="137"/>
      <c r="W160" s="137"/>
      <c r="X160" s="137"/>
      <c r="Y160" s="137"/>
      <c r="Z160" s="137"/>
      <c r="AA160" s="137"/>
      <c r="AB160" s="137"/>
      <c r="AC160" s="137"/>
    </row>
    <row r="161" customFormat="false" ht="11.25" hidden="false" customHeight="false" outlineLevel="0" collapsed="false">
      <c r="A161" s="153"/>
      <c r="I161" s="137"/>
      <c r="J161" s="137"/>
      <c r="K161" s="137"/>
      <c r="L161" s="137"/>
      <c r="M161" s="137"/>
      <c r="N161" s="137"/>
      <c r="O161" s="137"/>
      <c r="P161" s="137"/>
      <c r="Q161" s="137"/>
      <c r="R161" s="137"/>
      <c r="S161" s="137"/>
      <c r="T161" s="137"/>
      <c r="U161" s="137"/>
      <c r="V161" s="137"/>
      <c r="W161" s="137"/>
      <c r="X161" s="137"/>
      <c r="Y161" s="137"/>
      <c r="Z161" s="137"/>
      <c r="AA161" s="137"/>
      <c r="AB161" s="137"/>
      <c r="AC161" s="137"/>
    </row>
    <row r="162" customFormat="false" ht="11.25" hidden="false" customHeight="false" outlineLevel="0" collapsed="false">
      <c r="A162" s="153"/>
      <c r="B162" s="153" t="s">
        <v>478</v>
      </c>
      <c r="I162" s="137"/>
      <c r="J162" s="137"/>
      <c r="K162" s="137"/>
      <c r="L162" s="137"/>
      <c r="M162" s="137"/>
      <c r="N162" s="137"/>
      <c r="O162" s="137"/>
      <c r="P162" s="137"/>
      <c r="Q162" s="137"/>
      <c r="R162" s="137"/>
      <c r="S162" s="137"/>
      <c r="T162" s="137"/>
      <c r="U162" s="137"/>
      <c r="V162" s="137"/>
      <c r="W162" s="137"/>
      <c r="X162" s="137"/>
      <c r="Y162" s="137"/>
      <c r="Z162" s="137"/>
      <c r="AA162" s="137"/>
      <c r="AB162" s="137"/>
      <c r="AC162" s="137"/>
    </row>
    <row r="163" customFormat="false" ht="11.25" hidden="false" customHeight="false" outlineLevel="0" collapsed="false">
      <c r="A163" s="153"/>
      <c r="B163" s="67" t="s">
        <v>479</v>
      </c>
      <c r="E163" s="141" t="n">
        <v>0</v>
      </c>
      <c r="F163" s="141" t="n">
        <v>0</v>
      </c>
      <c r="G163" s="141" t="n">
        <v>0</v>
      </c>
      <c r="H163" s="141" t="n">
        <v>0</v>
      </c>
      <c r="I163" s="141" t="n">
        <v>0</v>
      </c>
      <c r="J163" s="141" t="n">
        <v>0</v>
      </c>
      <c r="K163" s="141" t="n">
        <v>0</v>
      </c>
      <c r="L163" s="141" t="n">
        <v>0</v>
      </c>
      <c r="M163" s="141" t="n">
        <v>0</v>
      </c>
      <c r="N163" s="141" t="n">
        <v>0</v>
      </c>
      <c r="O163" s="141" t="n">
        <v>0</v>
      </c>
      <c r="P163" s="141" t="n">
        <v>0</v>
      </c>
      <c r="Q163" s="141" t="n">
        <v>0</v>
      </c>
      <c r="R163" s="141" t="n">
        <v>0</v>
      </c>
      <c r="S163" s="141" t="n">
        <v>0</v>
      </c>
      <c r="T163" s="141" t="n">
        <v>0</v>
      </c>
      <c r="U163" s="141" t="n">
        <v>0</v>
      </c>
      <c r="V163" s="141" t="n">
        <v>0</v>
      </c>
      <c r="W163" s="141" t="n">
        <v>0</v>
      </c>
      <c r="X163" s="141" t="n">
        <v>0</v>
      </c>
      <c r="Y163" s="141" t="n">
        <v>0</v>
      </c>
      <c r="Z163" s="141" t="n">
        <v>0</v>
      </c>
      <c r="AA163" s="141" t="n">
        <v>0</v>
      </c>
      <c r="AB163" s="141" t="n">
        <v>0</v>
      </c>
      <c r="AC163" s="141" t="n">
        <v>0</v>
      </c>
    </row>
    <row r="164" customFormat="false" ht="11.25" hidden="false" customHeight="false" outlineLevel="0" collapsed="false">
      <c r="A164" s="153"/>
      <c r="B164" s="43" t="s">
        <v>480</v>
      </c>
      <c r="E164" s="88"/>
      <c r="F164" s="88"/>
      <c r="G164" s="88"/>
      <c r="H164" s="88"/>
      <c r="I164" s="88" t="n">
        <f aca="false">+I103</f>
        <v>0</v>
      </c>
      <c r="J164" s="88" t="n">
        <f aca="false">+J103</f>
        <v>0</v>
      </c>
      <c r="K164" s="88" t="n">
        <f aca="false">+K103</f>
        <v>0</v>
      </c>
      <c r="L164" s="88" t="n">
        <f aca="false">+L103</f>
        <v>0</v>
      </c>
      <c r="M164" s="88" t="n">
        <f aca="false">+M103</f>
        <v>0</v>
      </c>
      <c r="N164" s="88" t="n">
        <f aca="false">+N103</f>
        <v>0</v>
      </c>
      <c r="O164" s="88" t="n">
        <f aca="false">+O103</f>
        <v>0</v>
      </c>
      <c r="P164" s="88" t="n">
        <f aca="false">+P103</f>
        <v>0</v>
      </c>
      <c r="Q164" s="88" t="n">
        <f aca="false">+Q103</f>
        <v>0</v>
      </c>
      <c r="R164" s="88" t="n">
        <f aca="false">+R103</f>
        <v>0</v>
      </c>
      <c r="S164" s="88" t="n">
        <f aca="false">+S103</f>
        <v>0</v>
      </c>
      <c r="T164" s="88" t="n">
        <f aca="false">+T103</f>
        <v>0</v>
      </c>
      <c r="U164" s="88" t="n">
        <f aca="false">+U103</f>
        <v>0</v>
      </c>
      <c r="V164" s="88" t="n">
        <f aca="false">+V103</f>
        <v>0</v>
      </c>
      <c r="W164" s="88" t="n">
        <f aca="false">+W103</f>
        <v>0</v>
      </c>
      <c r="X164" s="88" t="n">
        <f aca="false">+X103</f>
        <v>0</v>
      </c>
      <c r="Y164" s="88" t="n">
        <f aca="false">+Y103</f>
        <v>0</v>
      </c>
      <c r="Z164" s="88" t="n">
        <f aca="false">+Z103</f>
        <v>0</v>
      </c>
      <c r="AA164" s="88" t="n">
        <f aca="false">+AA103</f>
        <v>0</v>
      </c>
      <c r="AB164" s="88" t="n">
        <f aca="false">+AB103</f>
        <v>0</v>
      </c>
      <c r="AC164" s="88" t="n">
        <f aca="false">+AC103</f>
        <v>0</v>
      </c>
    </row>
    <row r="165" customFormat="false" ht="11.25" hidden="false" customHeight="false" outlineLevel="0" collapsed="false">
      <c r="A165" s="153"/>
      <c r="B165" s="43" t="s">
        <v>481</v>
      </c>
      <c r="E165" s="143" t="n">
        <f aca="false">+E163</f>
        <v>0</v>
      </c>
      <c r="F165" s="143" t="n">
        <f aca="false">+F163</f>
        <v>0</v>
      </c>
      <c r="G165" s="143" t="n">
        <f aca="false">+G163</f>
        <v>0</v>
      </c>
      <c r="H165" s="143" t="n">
        <f aca="false">+H163</f>
        <v>0</v>
      </c>
      <c r="I165" s="143" t="n">
        <f aca="false">+I164+I163</f>
        <v>0</v>
      </c>
      <c r="J165" s="143" t="n">
        <f aca="false">+J164+J163</f>
        <v>0</v>
      </c>
      <c r="K165" s="143" t="n">
        <f aca="false">+K164+K163</f>
        <v>0</v>
      </c>
      <c r="L165" s="143" t="n">
        <f aca="false">+L164+L163</f>
        <v>0</v>
      </c>
      <c r="M165" s="143" t="n">
        <f aca="false">+M164+M163</f>
        <v>0</v>
      </c>
      <c r="N165" s="143" t="n">
        <f aca="false">+N164+N163</f>
        <v>0</v>
      </c>
      <c r="O165" s="143" t="n">
        <f aca="false">+O164+O163</f>
        <v>0</v>
      </c>
      <c r="P165" s="143" t="n">
        <f aca="false">+P164+P163</f>
        <v>0</v>
      </c>
      <c r="Q165" s="143" t="n">
        <f aca="false">+Q164+Q163</f>
        <v>0</v>
      </c>
      <c r="R165" s="143" t="n">
        <f aca="false">+R164+R163</f>
        <v>0</v>
      </c>
      <c r="S165" s="143" t="n">
        <f aca="false">+S164+S163</f>
        <v>0</v>
      </c>
      <c r="T165" s="143" t="n">
        <f aca="false">+T164+T163</f>
        <v>0</v>
      </c>
      <c r="U165" s="143" t="n">
        <f aca="false">+U164+U163</f>
        <v>0</v>
      </c>
      <c r="V165" s="143" t="n">
        <f aca="false">+V164+V163</f>
        <v>0</v>
      </c>
      <c r="W165" s="143" t="n">
        <f aca="false">+W164+W163</f>
        <v>0</v>
      </c>
      <c r="X165" s="143" t="n">
        <f aca="false">+X164+X163</f>
        <v>0</v>
      </c>
      <c r="Y165" s="143" t="n">
        <f aca="false">+Y164+Y163</f>
        <v>0</v>
      </c>
      <c r="Z165" s="143" t="n">
        <f aca="false">+Z164+Z163</f>
        <v>0</v>
      </c>
      <c r="AA165" s="143" t="n">
        <f aca="false">+AA164+AA163</f>
        <v>0</v>
      </c>
      <c r="AB165" s="143" t="n">
        <f aca="false">+AB164+AB163</f>
        <v>0</v>
      </c>
      <c r="AC165" s="143" t="n">
        <f aca="false">+AC164+AC163</f>
        <v>0</v>
      </c>
    </row>
    <row r="166" customFormat="false" ht="11.25" hidden="false" customHeight="false" outlineLevel="0" collapsed="false">
      <c r="A166" s="153"/>
      <c r="B166" s="43" t="s">
        <v>358</v>
      </c>
      <c r="E166" s="141" t="n">
        <v>0</v>
      </c>
      <c r="F166" s="141" t="n">
        <v>0</v>
      </c>
      <c r="G166" s="141" t="n">
        <v>0</v>
      </c>
      <c r="H166" s="141"/>
      <c r="I166" s="203" t="n">
        <f aca="false">+I140</f>
        <v>0</v>
      </c>
      <c r="J166" s="203" t="n">
        <f aca="false">+J140</f>
        <v>0</v>
      </c>
      <c r="K166" s="203" t="n">
        <f aca="false">+K140</f>
        <v>0</v>
      </c>
      <c r="L166" s="203" t="n">
        <f aca="false">+L140</f>
        <v>0</v>
      </c>
      <c r="M166" s="203" t="n">
        <f aca="false">+M140</f>
        <v>0</v>
      </c>
      <c r="N166" s="203" t="n">
        <f aca="false">+N140</f>
        <v>0</v>
      </c>
      <c r="O166" s="203" t="n">
        <f aca="false">+O140</f>
        <v>4.37940610692124</v>
      </c>
      <c r="P166" s="203" t="n">
        <f aca="false">+P140</f>
        <v>4.73479130132525</v>
      </c>
      <c r="Q166" s="203" t="n">
        <f aca="false">+Q140</f>
        <v>7.10183406065871</v>
      </c>
      <c r="R166" s="203" t="n">
        <f aca="false">+R140</f>
        <v>6.06029350365411</v>
      </c>
      <c r="S166" s="203" t="n">
        <f aca="false">+S140</f>
        <v>5.13462160166333</v>
      </c>
      <c r="T166" s="203" t="n">
        <f aca="false">+T140</f>
        <v>4.31369340045704</v>
      </c>
      <c r="U166" s="203" t="n">
        <f aca="false">+U140</f>
        <v>3.61604708594512</v>
      </c>
      <c r="V166" s="203" t="n">
        <f aca="false">+V140</f>
        <v>2.96902765639283</v>
      </c>
      <c r="W166" s="203" t="n">
        <f aca="false">+W140</f>
        <v>2.43484435655219</v>
      </c>
      <c r="X166" s="203" t="n">
        <f aca="false">+X140</f>
        <v>1.9752031273748</v>
      </c>
      <c r="Y166" s="203" t="n">
        <f aca="false">+Y140</f>
        <v>1.55663930896327</v>
      </c>
      <c r="Z166" s="203" t="n">
        <f aca="false">+Z140</f>
        <v>1.14351365103143</v>
      </c>
      <c r="AA166" s="203" t="n">
        <f aca="false">+AA140</f>
        <v>0.874427280159617</v>
      </c>
      <c r="AB166" s="203" t="n">
        <f aca="false">+AB140</f>
        <v>0.672671998471635</v>
      </c>
      <c r="AC166" s="203" t="n">
        <f aca="false">+AC140</f>
        <v>0.555985560429433</v>
      </c>
    </row>
    <row r="167" customFormat="false" ht="11.25" hidden="false" customHeight="false" outlineLevel="0" collapsed="false">
      <c r="A167" s="153"/>
      <c r="B167" s="43" t="s">
        <v>482</v>
      </c>
      <c r="E167" s="203"/>
      <c r="F167" s="203"/>
      <c r="G167" s="203"/>
      <c r="H167" s="203"/>
      <c r="I167" s="203" t="n">
        <f aca="false">+I108</f>
        <v>0</v>
      </c>
      <c r="J167" s="203" t="n">
        <f aca="false">+J108</f>
        <v>0</v>
      </c>
      <c r="K167" s="203" t="n">
        <f aca="false">+K108</f>
        <v>0</v>
      </c>
      <c r="L167" s="203" t="n">
        <f aca="false">+L108</f>
        <v>0</v>
      </c>
      <c r="M167" s="203" t="n">
        <f aca="false">+M108</f>
        <v>0</v>
      </c>
      <c r="N167" s="203" t="n">
        <f aca="false">+N108</f>
        <v>0</v>
      </c>
      <c r="O167" s="203" t="n">
        <f aca="false">+O108</f>
        <v>0</v>
      </c>
      <c r="P167" s="203" t="n">
        <f aca="false">+P108</f>
        <v>0</v>
      </c>
      <c r="Q167" s="203" t="n">
        <f aca="false">+Q108</f>
        <v>0</v>
      </c>
      <c r="R167" s="203" t="n">
        <f aca="false">+R108</f>
        <v>0</v>
      </c>
      <c r="S167" s="203" t="n">
        <f aca="false">+S108</f>
        <v>0</v>
      </c>
      <c r="T167" s="203" t="n">
        <f aca="false">+T108</f>
        <v>0</v>
      </c>
      <c r="U167" s="203" t="n">
        <f aca="false">+U108</f>
        <v>0</v>
      </c>
      <c r="V167" s="203" t="n">
        <f aca="false">+V108</f>
        <v>0</v>
      </c>
      <c r="W167" s="203" t="n">
        <f aca="false">+W108</f>
        <v>0</v>
      </c>
      <c r="X167" s="203" t="n">
        <f aca="false">+X108</f>
        <v>0</v>
      </c>
      <c r="Y167" s="203" t="n">
        <f aca="false">+Y108</f>
        <v>0</v>
      </c>
      <c r="Z167" s="203" t="n">
        <f aca="false">+Z108</f>
        <v>0</v>
      </c>
      <c r="AA167" s="203" t="n">
        <f aca="false">+AA108</f>
        <v>0</v>
      </c>
      <c r="AB167" s="203" t="n">
        <f aca="false">+AB108</f>
        <v>0</v>
      </c>
      <c r="AC167" s="203" t="n">
        <f aca="false">+AC108</f>
        <v>0</v>
      </c>
    </row>
    <row r="168" customFormat="false" ht="11.25" hidden="false" customHeight="false" outlineLevel="0" collapsed="false">
      <c r="A168" s="153"/>
      <c r="E168" s="88"/>
      <c r="F168" s="88"/>
      <c r="G168" s="88"/>
      <c r="H168" s="88"/>
      <c r="I168" s="88"/>
      <c r="J168" s="88"/>
      <c r="K168" s="88"/>
      <c r="L168" s="88"/>
      <c r="M168" s="88"/>
      <c r="N168" s="88"/>
      <c r="O168" s="88"/>
      <c r="P168" s="88"/>
      <c r="Q168" s="88"/>
      <c r="R168" s="88"/>
      <c r="S168" s="88"/>
      <c r="T168" s="88"/>
      <c r="U168" s="88"/>
      <c r="V168" s="88"/>
      <c r="W168" s="88"/>
      <c r="X168" s="88"/>
      <c r="Y168" s="88"/>
      <c r="Z168" s="88"/>
      <c r="AA168" s="88"/>
      <c r="AB168" s="88"/>
      <c r="AC168" s="88"/>
    </row>
    <row r="169" customFormat="false" ht="11.25" hidden="false" customHeight="false" outlineLevel="0" collapsed="false">
      <c r="A169" s="153"/>
      <c r="B169" s="153" t="s">
        <v>483</v>
      </c>
      <c r="E169" s="88"/>
      <c r="F169" s="88"/>
      <c r="G169" s="88"/>
      <c r="H169" s="88"/>
      <c r="I169" s="88"/>
      <c r="J169" s="88"/>
      <c r="K169" s="88"/>
      <c r="L169" s="88"/>
      <c r="M169" s="88"/>
      <c r="N169" s="88"/>
      <c r="O169" s="88"/>
      <c r="P169" s="88"/>
      <c r="Q169" s="88"/>
      <c r="R169" s="88"/>
      <c r="S169" s="88"/>
      <c r="T169" s="88"/>
      <c r="U169" s="88"/>
      <c r="V169" s="88"/>
      <c r="W169" s="88"/>
      <c r="X169" s="88"/>
      <c r="Y169" s="88"/>
      <c r="Z169" s="88"/>
      <c r="AA169" s="88"/>
      <c r="AB169" s="88"/>
      <c r="AC169" s="88"/>
    </row>
    <row r="170" customFormat="false" ht="11.25" hidden="false" customHeight="false" outlineLevel="0" collapsed="false">
      <c r="A170" s="153"/>
      <c r="B170" s="67" t="s">
        <v>479</v>
      </c>
      <c r="E170" s="141" t="n">
        <v>0</v>
      </c>
      <c r="F170" s="141" t="n">
        <v>0</v>
      </c>
      <c r="G170" s="141" t="n">
        <v>0</v>
      </c>
      <c r="H170" s="141" t="n">
        <v>0</v>
      </c>
      <c r="I170" s="141" t="n">
        <v>0</v>
      </c>
      <c r="J170" s="141" t="n">
        <v>0</v>
      </c>
      <c r="K170" s="141" t="n">
        <v>0</v>
      </c>
      <c r="L170" s="141" t="n">
        <v>0</v>
      </c>
      <c r="M170" s="141" t="n">
        <v>0</v>
      </c>
      <c r="N170" s="141" t="n">
        <v>0</v>
      </c>
      <c r="O170" s="141" t="n">
        <v>0</v>
      </c>
      <c r="P170" s="141" t="n">
        <v>0</v>
      </c>
      <c r="Q170" s="141" t="n">
        <v>0</v>
      </c>
      <c r="R170" s="141" t="n">
        <v>0</v>
      </c>
      <c r="S170" s="141" t="n">
        <v>0</v>
      </c>
      <c r="T170" s="141" t="n">
        <v>0</v>
      </c>
      <c r="U170" s="141" t="n">
        <v>0</v>
      </c>
      <c r="V170" s="141" t="n">
        <v>0</v>
      </c>
      <c r="W170" s="141" t="n">
        <v>0</v>
      </c>
      <c r="X170" s="141" t="n">
        <v>0</v>
      </c>
      <c r="Y170" s="141" t="n">
        <v>0</v>
      </c>
      <c r="Z170" s="141" t="n">
        <v>0</v>
      </c>
      <c r="AA170" s="141" t="n">
        <v>0</v>
      </c>
      <c r="AB170" s="141" t="n">
        <v>0</v>
      </c>
      <c r="AC170" s="141" t="n">
        <v>0</v>
      </c>
    </row>
    <row r="171" customFormat="false" ht="11.25" hidden="false" customHeight="false" outlineLevel="0" collapsed="false">
      <c r="A171" s="153"/>
      <c r="B171" s="43" t="s">
        <v>480</v>
      </c>
      <c r="E171" s="88"/>
      <c r="F171" s="88"/>
      <c r="G171" s="88"/>
      <c r="H171" s="88"/>
      <c r="I171" s="88" t="n">
        <f aca="false">+I120</f>
        <v>0</v>
      </c>
      <c r="J171" s="88" t="n">
        <f aca="false">+J120</f>
        <v>0</v>
      </c>
      <c r="K171" s="88" t="n">
        <f aca="false">+K120</f>
        <v>0</v>
      </c>
      <c r="L171" s="88" t="n">
        <f aca="false">+L120</f>
        <v>0</v>
      </c>
      <c r="M171" s="88" t="n">
        <f aca="false">+M120</f>
        <v>0</v>
      </c>
      <c r="N171" s="88" t="n">
        <f aca="false">+N120</f>
        <v>0</v>
      </c>
      <c r="O171" s="88" t="n">
        <f aca="false">+O120</f>
        <v>0</v>
      </c>
      <c r="P171" s="88" t="n">
        <f aca="false">+P120</f>
        <v>0</v>
      </c>
      <c r="Q171" s="88" t="n">
        <f aca="false">+Q120</f>
        <v>0</v>
      </c>
      <c r="R171" s="88" t="n">
        <f aca="false">+R120</f>
        <v>0</v>
      </c>
      <c r="S171" s="88" t="n">
        <f aca="false">+S120</f>
        <v>0</v>
      </c>
      <c r="T171" s="88" t="n">
        <f aca="false">+T120</f>
        <v>0</v>
      </c>
      <c r="U171" s="88" t="n">
        <f aca="false">+U120</f>
        <v>0</v>
      </c>
      <c r="V171" s="88" t="n">
        <f aca="false">+V120</f>
        <v>0</v>
      </c>
      <c r="W171" s="88" t="n">
        <f aca="false">+W120</f>
        <v>0</v>
      </c>
      <c r="X171" s="88" t="n">
        <f aca="false">+X120</f>
        <v>0</v>
      </c>
      <c r="Y171" s="88" t="n">
        <f aca="false">+Y120</f>
        <v>0</v>
      </c>
      <c r="Z171" s="88" t="n">
        <f aca="false">+Z120</f>
        <v>0</v>
      </c>
      <c r="AA171" s="88" t="n">
        <f aca="false">+AA120</f>
        <v>0</v>
      </c>
      <c r="AB171" s="88" t="n">
        <f aca="false">+AB120</f>
        <v>0</v>
      </c>
      <c r="AC171" s="88" t="n">
        <f aca="false">+AC120</f>
        <v>0</v>
      </c>
    </row>
    <row r="172" customFormat="false" ht="11.25" hidden="false" customHeight="false" outlineLevel="0" collapsed="false">
      <c r="B172" s="43" t="s">
        <v>484</v>
      </c>
      <c r="E172" s="143" t="n">
        <f aca="false">+E170</f>
        <v>0</v>
      </c>
      <c r="F172" s="143" t="n">
        <f aca="false">+F170</f>
        <v>0</v>
      </c>
      <c r="G172" s="143" t="n">
        <f aca="false">+G170</f>
        <v>0</v>
      </c>
      <c r="H172" s="143" t="n">
        <f aca="false">+H170</f>
        <v>0</v>
      </c>
      <c r="I172" s="143" t="n">
        <f aca="false">+I171+I170</f>
        <v>0</v>
      </c>
      <c r="J172" s="143" t="n">
        <f aca="false">+J171+J170</f>
        <v>0</v>
      </c>
      <c r="K172" s="143" t="n">
        <f aca="false">+K171+K170</f>
        <v>0</v>
      </c>
      <c r="L172" s="143" t="n">
        <f aca="false">+L171+L170</f>
        <v>0</v>
      </c>
      <c r="M172" s="143" t="n">
        <f aca="false">+M171+M170</f>
        <v>0</v>
      </c>
      <c r="N172" s="143" t="n">
        <f aca="false">+N171+N170</f>
        <v>0</v>
      </c>
      <c r="O172" s="143" t="n">
        <f aca="false">+O171+O170</f>
        <v>0</v>
      </c>
      <c r="P172" s="143" t="n">
        <f aca="false">+P171+P170</f>
        <v>0</v>
      </c>
      <c r="Q172" s="143" t="n">
        <f aca="false">+Q171+Q170</f>
        <v>0</v>
      </c>
      <c r="R172" s="143" t="n">
        <f aca="false">+R171+R170</f>
        <v>0</v>
      </c>
      <c r="S172" s="143" t="n">
        <f aca="false">+S171+S170</f>
        <v>0</v>
      </c>
      <c r="T172" s="143" t="n">
        <f aca="false">+T171+T170</f>
        <v>0</v>
      </c>
      <c r="U172" s="143" t="n">
        <f aca="false">+U171+U170</f>
        <v>0</v>
      </c>
      <c r="V172" s="143" t="n">
        <f aca="false">+V171+V170</f>
        <v>0</v>
      </c>
      <c r="W172" s="143" t="n">
        <f aca="false">+W171+W170</f>
        <v>0</v>
      </c>
      <c r="X172" s="143" t="n">
        <f aca="false">+X171+X170</f>
        <v>0</v>
      </c>
      <c r="Y172" s="143" t="n">
        <f aca="false">+Y171+Y170</f>
        <v>0</v>
      </c>
      <c r="Z172" s="143" t="n">
        <f aca="false">+Z171+Z170</f>
        <v>0</v>
      </c>
      <c r="AA172" s="143" t="n">
        <f aca="false">+AA171+AA170</f>
        <v>0</v>
      </c>
      <c r="AB172" s="143" t="n">
        <f aca="false">+AB171+AB170</f>
        <v>0</v>
      </c>
      <c r="AC172" s="143" t="n">
        <f aca="false">+AC171+AC170</f>
        <v>0</v>
      </c>
    </row>
    <row r="173" customFormat="false" ht="11.25" hidden="false" customHeight="false" outlineLevel="0" collapsed="false">
      <c r="B173" s="43" t="s">
        <v>485</v>
      </c>
      <c r="E173" s="141" t="n">
        <v>0</v>
      </c>
      <c r="F173" s="141" t="n">
        <v>0</v>
      </c>
      <c r="G173" s="141" t="n">
        <v>0</v>
      </c>
      <c r="H173" s="141" t="n">
        <v>0</v>
      </c>
      <c r="I173" s="141" t="n">
        <f aca="false">+I166</f>
        <v>0</v>
      </c>
      <c r="J173" s="141" t="n">
        <f aca="false">+J166</f>
        <v>0</v>
      </c>
      <c r="K173" s="141" t="n">
        <f aca="false">+K166</f>
        <v>0</v>
      </c>
      <c r="L173" s="141" t="n">
        <f aca="false">+L166</f>
        <v>0</v>
      </c>
      <c r="M173" s="141" t="n">
        <f aca="false">+M166</f>
        <v>0</v>
      </c>
      <c r="N173" s="141" t="n">
        <f aca="false">+N166</f>
        <v>0</v>
      </c>
      <c r="O173" s="141" t="n">
        <f aca="false">+O166</f>
        <v>4.37940610692124</v>
      </c>
      <c r="P173" s="141" t="n">
        <f aca="false">+P166</f>
        <v>4.73479130132525</v>
      </c>
      <c r="Q173" s="141" t="n">
        <f aca="false">+Q166</f>
        <v>7.10183406065871</v>
      </c>
      <c r="R173" s="141" t="n">
        <f aca="false">+R166</f>
        <v>6.06029350365411</v>
      </c>
      <c r="S173" s="141" t="n">
        <f aca="false">+S166</f>
        <v>5.13462160166333</v>
      </c>
      <c r="T173" s="141" t="n">
        <f aca="false">+T166</f>
        <v>4.31369340045704</v>
      </c>
      <c r="U173" s="141" t="n">
        <f aca="false">+U166</f>
        <v>3.61604708594512</v>
      </c>
      <c r="V173" s="141" t="n">
        <f aca="false">+V166</f>
        <v>2.96902765639283</v>
      </c>
      <c r="W173" s="141" t="n">
        <f aca="false">+W166</f>
        <v>2.43484435655219</v>
      </c>
      <c r="X173" s="141" t="n">
        <f aca="false">+X166</f>
        <v>1.9752031273748</v>
      </c>
      <c r="Y173" s="141" t="n">
        <f aca="false">+Y166</f>
        <v>1.55663930896327</v>
      </c>
      <c r="Z173" s="141" t="n">
        <f aca="false">+Z166</f>
        <v>1.14351365103143</v>
      </c>
      <c r="AA173" s="141" t="n">
        <f aca="false">+AA166</f>
        <v>0.874427280159617</v>
      </c>
      <c r="AB173" s="141" t="n">
        <f aca="false">+AB166</f>
        <v>0.672671998471635</v>
      </c>
      <c r="AC173" s="141" t="n">
        <f aca="false">+AC166</f>
        <v>0.555985560429433</v>
      </c>
    </row>
    <row r="174" customFormat="false" ht="11.25" hidden="false" customHeight="false" outlineLevel="0" collapsed="false">
      <c r="B174" s="43" t="s">
        <v>486</v>
      </c>
      <c r="E174" s="203"/>
      <c r="F174" s="203"/>
      <c r="G174" s="203"/>
      <c r="H174" s="203"/>
      <c r="I174" s="203" t="n">
        <f aca="false">+I125</f>
        <v>0</v>
      </c>
      <c r="J174" s="203" t="n">
        <f aca="false">+J125</f>
        <v>0</v>
      </c>
      <c r="K174" s="203" t="n">
        <f aca="false">+K125</f>
        <v>0</v>
      </c>
      <c r="L174" s="203" t="n">
        <f aca="false">+L125</f>
        <v>0</v>
      </c>
      <c r="M174" s="203" t="n">
        <f aca="false">+M125</f>
        <v>0</v>
      </c>
      <c r="N174" s="203" t="n">
        <f aca="false">+N125</f>
        <v>0</v>
      </c>
      <c r="O174" s="203" t="n">
        <f aca="false">+O125</f>
        <v>0</v>
      </c>
      <c r="P174" s="203" t="n">
        <f aca="false">+P125</f>
        <v>0</v>
      </c>
      <c r="Q174" s="203" t="n">
        <f aca="false">+Q125</f>
        <v>0</v>
      </c>
      <c r="R174" s="203" t="n">
        <f aca="false">+R125</f>
        <v>0</v>
      </c>
      <c r="S174" s="203" t="n">
        <f aca="false">+S125</f>
        <v>0</v>
      </c>
      <c r="T174" s="203" t="n">
        <f aca="false">+T125</f>
        <v>0</v>
      </c>
      <c r="U174" s="203" t="n">
        <f aca="false">+U125</f>
        <v>0</v>
      </c>
      <c r="V174" s="203" t="n">
        <f aca="false">+V125</f>
        <v>0</v>
      </c>
      <c r="W174" s="203" t="n">
        <f aca="false">+W125</f>
        <v>0</v>
      </c>
      <c r="X174" s="203" t="n">
        <f aca="false">+X125</f>
        <v>0</v>
      </c>
      <c r="Y174" s="203" t="n">
        <f aca="false">+Y125</f>
        <v>0</v>
      </c>
      <c r="Z174" s="203" t="n">
        <f aca="false">+Z125</f>
        <v>0</v>
      </c>
      <c r="AA174" s="203" t="n">
        <f aca="false">+AA125</f>
        <v>0</v>
      </c>
      <c r="AB174" s="203" t="n">
        <f aca="false">+AB125</f>
        <v>0</v>
      </c>
      <c r="AC174" s="203" t="n">
        <f aca="false">+AC125</f>
        <v>0</v>
      </c>
    </row>
    <row r="175" customFormat="false" ht="11.25" hidden="false" customHeight="false" outlineLevel="0" collapsed="false">
      <c r="B175" s="43"/>
      <c r="E175" s="232"/>
      <c r="F175" s="232"/>
      <c r="G175" s="232"/>
      <c r="H175" s="232"/>
      <c r="I175" s="140"/>
      <c r="J175" s="140"/>
      <c r="K175" s="140"/>
      <c r="L175" s="140"/>
      <c r="M175" s="140"/>
      <c r="N175" s="140"/>
      <c r="O175" s="140"/>
      <c r="P175" s="140"/>
      <c r="Q175" s="140"/>
      <c r="R175" s="140"/>
      <c r="S175" s="140"/>
      <c r="T175" s="140"/>
      <c r="U175" s="140"/>
      <c r="V175" s="140"/>
      <c r="W175" s="140"/>
      <c r="X175" s="140"/>
      <c r="Y175" s="140"/>
      <c r="Z175" s="140"/>
      <c r="AA175" s="140"/>
      <c r="AB175" s="140"/>
      <c r="AC175" s="140"/>
    </row>
    <row r="176" customFormat="false" ht="12" hidden="false" customHeight="false" outlineLevel="0" collapsed="false">
      <c r="A176" s="105"/>
      <c r="B176" s="233"/>
      <c r="C176" s="105"/>
      <c r="D176" s="105"/>
      <c r="E176" s="234"/>
      <c r="F176" s="234"/>
      <c r="G176" s="234"/>
      <c r="H176" s="234"/>
      <c r="I176" s="106"/>
      <c r="J176" s="106"/>
      <c r="K176" s="106"/>
      <c r="L176" s="106"/>
      <c r="M176" s="106"/>
      <c r="N176" s="106"/>
      <c r="O176" s="106"/>
      <c r="P176" s="106"/>
      <c r="Q176" s="106"/>
      <c r="R176" s="106"/>
      <c r="S176" s="106"/>
      <c r="T176" s="106"/>
      <c r="U176" s="106"/>
      <c r="V176" s="106"/>
      <c r="W176" s="106"/>
      <c r="X176" s="106"/>
      <c r="Y176" s="106"/>
      <c r="Z176" s="106"/>
      <c r="AA176" s="106"/>
      <c r="AB176" s="106"/>
      <c r="AC176" s="106"/>
    </row>
    <row r="177" customFormat="false" ht="12.75" hidden="false" customHeight="false" outlineLevel="0" collapsed="false">
      <c r="B177" s="43"/>
      <c r="E177" s="5"/>
      <c r="F177" s="5"/>
      <c r="G177" s="5"/>
      <c r="H177" s="5"/>
      <c r="I177" s="137"/>
      <c r="J177" s="137"/>
      <c r="K177" s="137"/>
      <c r="L177" s="137"/>
      <c r="M177" s="137"/>
      <c r="N177" s="137"/>
      <c r="O177" s="137"/>
      <c r="P177" s="137"/>
      <c r="Q177" s="137"/>
      <c r="R177" s="137"/>
      <c r="S177" s="137"/>
      <c r="T177" s="137"/>
      <c r="U177" s="137"/>
      <c r="V177" s="137"/>
      <c r="W177" s="137"/>
      <c r="X177" s="137"/>
      <c r="Y177" s="137"/>
      <c r="Z177" s="137"/>
      <c r="AA177" s="137"/>
      <c r="AB177" s="137"/>
      <c r="AC177" s="137"/>
    </row>
    <row r="178" customFormat="false" ht="12.75" hidden="false" customHeight="false" outlineLevel="0" collapsed="false">
      <c r="A178" s="153" t="s">
        <v>487</v>
      </c>
      <c r="I178" s="81" t="str">
        <f aca="false">+I$3</f>
        <v>6 M/1999 </v>
      </c>
      <c r="J178" s="81" t="n">
        <f aca="false">+J$3</f>
        <v>2000</v>
      </c>
      <c r="K178" s="81" t="n">
        <f aca="false">+K$3</f>
        <v>2001</v>
      </c>
      <c r="L178" s="81" t="n">
        <f aca="false">+L$3</f>
        <v>2002</v>
      </c>
      <c r="M178" s="81" t="n">
        <f aca="false">+M$3</f>
        <v>2003</v>
      </c>
      <c r="N178" s="81" t="n">
        <f aca="false">+N$3</f>
        <v>2004</v>
      </c>
      <c r="O178" s="81" t="n">
        <f aca="false">+O$3</f>
        <v>2005</v>
      </c>
      <c r="P178" s="81" t="n">
        <f aca="false">+P$3</f>
        <v>2006</v>
      </c>
      <c r="Q178" s="81" t="n">
        <f aca="false">+Q$3</f>
        <v>2007</v>
      </c>
      <c r="R178" s="81" t="n">
        <f aca="false">+R$3</f>
        <v>2008</v>
      </c>
      <c r="S178" s="81" t="n">
        <f aca="false">+S$3</f>
        <v>2009</v>
      </c>
      <c r="T178" s="81" t="n">
        <f aca="false">+T$3</f>
        <v>2010</v>
      </c>
      <c r="U178" s="81" t="n">
        <f aca="false">+U$3</f>
        <v>2011</v>
      </c>
      <c r="V178" s="81" t="n">
        <f aca="false">+V$3</f>
        <v>2012</v>
      </c>
      <c r="W178" s="81" t="n">
        <f aca="false">+W$3</f>
        <v>2013</v>
      </c>
      <c r="X178" s="81" t="n">
        <f aca="false">+X$3</f>
        <v>2014</v>
      </c>
      <c r="Y178" s="81" t="n">
        <f aca="false">+Y$3</f>
        <v>2015</v>
      </c>
      <c r="Z178" s="81" t="n">
        <f aca="false">+Z$3</f>
        <v>2016</v>
      </c>
      <c r="AA178" s="81" t="n">
        <f aca="false">+AA$3</f>
        <v>2017</v>
      </c>
      <c r="AB178" s="81" t="n">
        <f aca="false">+AB$3</f>
        <v>2018</v>
      </c>
      <c r="AC178" s="81" t="n">
        <f aca="false">+AC$3</f>
        <v>2019</v>
      </c>
    </row>
    <row r="179" customFormat="false" ht="12" hidden="false" customHeight="false" outlineLevel="0" collapsed="false">
      <c r="A179" s="235" t="s">
        <v>488</v>
      </c>
      <c r="B179" s="43" t="s">
        <v>489</v>
      </c>
      <c r="C179" s="67" t="s">
        <v>157</v>
      </c>
      <c r="D179" s="65" t="s">
        <v>162</v>
      </c>
      <c r="E179" s="67" t="s">
        <v>490</v>
      </c>
    </row>
    <row r="180" customFormat="false" ht="11.25" hidden="false" customHeight="false" outlineLevel="0" collapsed="false">
      <c r="C180" s="67" t="s">
        <v>491</v>
      </c>
      <c r="D180" s="236" t="n">
        <v>0.0556457096591767</v>
      </c>
      <c r="I180" s="237"/>
    </row>
    <row r="181" customFormat="false" ht="11.25" hidden="false" customHeight="false" outlineLevel="0" collapsed="false">
      <c r="C181" s="67" t="s">
        <v>492</v>
      </c>
      <c r="D181" s="236" t="n">
        <v>0.0238165403377389</v>
      </c>
      <c r="F181" s="173"/>
    </row>
    <row r="182" customFormat="false" ht="11.25" hidden="false" customHeight="false" outlineLevel="0" collapsed="false">
      <c r="C182" s="67" t="s">
        <v>128</v>
      </c>
      <c r="I182" s="203" t="n">
        <v>0</v>
      </c>
      <c r="J182" s="203" t="n">
        <v>0</v>
      </c>
      <c r="K182" s="67" t="n">
        <v>0</v>
      </c>
      <c r="L182" s="67" t="n">
        <v>0</v>
      </c>
      <c r="M182" s="67" t="n">
        <v>0</v>
      </c>
      <c r="N182" s="67" t="n">
        <v>0</v>
      </c>
      <c r="O182" s="67" t="n">
        <v>0</v>
      </c>
      <c r="P182" s="67" t="n">
        <v>0</v>
      </c>
      <c r="Q182" s="67" t="n">
        <v>0</v>
      </c>
      <c r="R182" s="67" t="n">
        <v>0</v>
      </c>
      <c r="S182" s="67" t="n">
        <v>0</v>
      </c>
      <c r="T182" s="67" t="n">
        <v>0</v>
      </c>
      <c r="U182" s="67" t="n">
        <v>0</v>
      </c>
      <c r="V182" s="67" t="n">
        <v>0</v>
      </c>
      <c r="W182" s="67" t="n">
        <v>0</v>
      </c>
      <c r="X182" s="67" t="n">
        <v>0</v>
      </c>
      <c r="Y182" s="67" t="n">
        <v>0</v>
      </c>
      <c r="Z182" s="67" t="n">
        <v>0</v>
      </c>
      <c r="AA182" s="67" t="n">
        <v>0</v>
      </c>
      <c r="AB182" s="67" t="n">
        <v>0</v>
      </c>
      <c r="AC182" s="67" t="n">
        <v>0</v>
      </c>
    </row>
    <row r="183" customFormat="false" ht="11.25" hidden="false" customHeight="false" outlineLevel="0" collapsed="false">
      <c r="C183" s="67" t="s">
        <v>493</v>
      </c>
      <c r="E183" s="238" t="n">
        <v>107</v>
      </c>
      <c r="F183" s="238" t="n">
        <v>109.7</v>
      </c>
      <c r="G183" s="238" t="n">
        <v>113.54</v>
      </c>
      <c r="H183" s="238" t="n">
        <v>113.54</v>
      </c>
      <c r="I183" s="237" t="n">
        <f aca="false">+H183*EXP(($D180-($D181^2)/2)*(CFMODEL!$C$329/12)+$D181*I182*SQRT(H860))</f>
        <v>116.726809813766</v>
      </c>
      <c r="J183" s="237" t="n">
        <f aca="false">+I183*EXP(($D180-($D181^2)/2)+$D181*J182)</f>
        <v>123.371279532758</v>
      </c>
      <c r="K183" s="237" t="n">
        <f aca="false">+J183*EXP(($D180-($D181^2)/2)+$D181*K182)</f>
        <v>130.393974082165</v>
      </c>
      <c r="L183" s="237" t="n">
        <f aca="false">+K183*EXP(($D180-($D181^2)/2)+$D181*L182)</f>
        <v>137.816423249673</v>
      </c>
      <c r="M183" s="237" t="n">
        <f aca="false">+L183*EXP(($D180-($D181^2)/2)+$D181*M182)</f>
        <v>145.661382368519</v>
      </c>
      <c r="N183" s="237" t="n">
        <f aca="false">+M183*EXP(($D180-($D181^2)/2)+$D181*N182)</f>
        <v>153.952902079529</v>
      </c>
      <c r="O183" s="237" t="n">
        <f aca="false">+N183*EXP(($D180-($D181^2)/2)+$D181*O182)</f>
        <v>162.716402064241</v>
      </c>
      <c r="P183" s="237" t="n">
        <f aca="false">+O183*EXP(($D180-($D181^2)/2)+$D181*P182)</f>
        <v>171.978748975154</v>
      </c>
      <c r="Q183" s="237" t="n">
        <f aca="false">+P183*EXP(($D180-($D181^2)/2)+$D181*Q182)</f>
        <v>181.768338802022</v>
      </c>
      <c r="R183" s="237" t="n">
        <f aca="false">+Q183*EXP(($D180-($D181^2)/2)+$D181*R182)</f>
        <v>192.115183926707</v>
      </c>
      <c r="S183" s="237" t="n">
        <f aca="false">+R183*EXP(($D180-($D181^2)/2)+$D181*S182)</f>
        <v>203.051005133474</v>
      </c>
      <c r="T183" s="237" t="n">
        <f aca="false">+S183*EXP(($D180-($D181^2)/2)+$D181*T182)</f>
        <v>214.609328856815</v>
      </c>
      <c r="U183" s="237" t="n">
        <f aca="false">+T183*EXP(($D180-($D181^2)/2)+$D181*U182)</f>
        <v>226.825589964932</v>
      </c>
      <c r="V183" s="237" t="n">
        <f aca="false">+U183*EXP(($D180-($D181^2)/2)+$D181*V182)</f>
        <v>239.73724039399</v>
      </c>
      <c r="W183" s="237" t="n">
        <f aca="false">+V183*EXP(($D180-($D181^2)/2)+$D181*W182)</f>
        <v>253.383863966194</v>
      </c>
      <c r="X183" s="237" t="n">
        <f aca="false">+W183*EXP(($D180-($D181^2)/2)+$D181*X182)</f>
        <v>267.807297743668</v>
      </c>
      <c r="Y183" s="237" t="n">
        <f aca="false">+X183*EXP(($D180-($D181^2)/2)+$D181*Y182)</f>
        <v>283.051760290208</v>
      </c>
      <c r="Z183" s="237" t="n">
        <f aca="false">+Y183*EXP(($D180-($D181^2)/2)+$D181*Z182)</f>
        <v>299.163987234099</v>
      </c>
      <c r="AA183" s="237" t="n">
        <f aca="false">+Z183*EXP(($D180-($D181^2)/2)+$D181*AA182)</f>
        <v>316.193374547617</v>
      </c>
      <c r="AB183" s="237" t="n">
        <f aca="false">+AA183*EXP(($D180-($D181^2)/2)+$D181*AB182)</f>
        <v>334.192129982462</v>
      </c>
      <c r="AC183" s="237" t="n">
        <f aca="false">+AB183*EXP(($D180-($D181^2)/2)+$D181*AC182)</f>
        <v>353.215433125389</v>
      </c>
    </row>
    <row r="184" customFormat="false" ht="11.25" hidden="false" customHeight="false" outlineLevel="0" collapsed="false">
      <c r="B184" s="43" t="s">
        <v>494</v>
      </c>
      <c r="I184" s="173" t="n">
        <f aca="false">(I183-H183)/I183</f>
        <v>0.0273014384514606</v>
      </c>
      <c r="J184" s="173" t="n">
        <f aca="false">(J183-I183)/J183</f>
        <v>0.0538575083614023</v>
      </c>
      <c r="K184" s="173" t="n">
        <f aca="false">(K183-J183)/K183</f>
        <v>0.0538575083614023</v>
      </c>
      <c r="L184" s="173" t="n">
        <f aca="false">(L183-K183)/L183</f>
        <v>0.0538575083614023</v>
      </c>
      <c r="M184" s="173" t="n">
        <f aca="false">(M183-L183)/M183</f>
        <v>0.0538575083614023</v>
      </c>
      <c r="N184" s="173" t="n">
        <f aca="false">(N183-M183)/N183</f>
        <v>0.0538575083614023</v>
      </c>
      <c r="O184" s="173" t="n">
        <f aca="false">(O183-N183)/O183</f>
        <v>0.0538575083614022</v>
      </c>
      <c r="P184" s="173" t="n">
        <f aca="false">(P183-O183)/P183</f>
        <v>0.0538575083614023</v>
      </c>
      <c r="Q184" s="173" t="n">
        <f aca="false">(Q183-P183)/Q183</f>
        <v>0.0538575083614023</v>
      </c>
      <c r="R184" s="173" t="n">
        <f aca="false">(R183-Q183)/R183</f>
        <v>0.0538575083614022</v>
      </c>
      <c r="S184" s="173" t="n">
        <f aca="false">(S183-R183)/S183</f>
        <v>0.0538575083614023</v>
      </c>
      <c r="T184" s="173" t="n">
        <f aca="false">(T183-S183)/T183</f>
        <v>0.0538575083614023</v>
      </c>
      <c r="U184" s="173" t="n">
        <f aca="false">(U183-T183)/U183</f>
        <v>0.0538575083614023</v>
      </c>
      <c r="V184" s="173" t="n">
        <f aca="false">(V183-U183)/V183</f>
        <v>0.0538575083614023</v>
      </c>
      <c r="W184" s="173" t="n">
        <f aca="false">(W183-V183)/W183</f>
        <v>0.0538575083614022</v>
      </c>
      <c r="X184" s="173" t="n">
        <f aca="false">(X183-W183)/X183</f>
        <v>0.0538575083614023</v>
      </c>
      <c r="Y184" s="173" t="n">
        <f aca="false">(Y183-X183)/Y183</f>
        <v>0.0538575083614022</v>
      </c>
      <c r="Z184" s="173" t="n">
        <f aca="false">(Z183-Y183)/Z183</f>
        <v>0.0538575083614022</v>
      </c>
      <c r="AA184" s="173" t="n">
        <f aca="false">(AA183-Z183)/AA183</f>
        <v>0.0538575083614023</v>
      </c>
      <c r="AB184" s="173" t="n">
        <f aca="false">(AB183-AA183)/AB183</f>
        <v>0.0538575083614023</v>
      </c>
      <c r="AC184" s="173" t="n">
        <f aca="false">(AC183-AB183)/AC183</f>
        <v>0.0538575083614023</v>
      </c>
    </row>
    <row r="185" customFormat="false" ht="11.25" hidden="false" customHeight="false" outlineLevel="0" collapsed="false">
      <c r="B185" s="67" t="s">
        <v>495</v>
      </c>
      <c r="H185" s="151"/>
      <c r="I185" s="239" t="n">
        <f aca="false">(1+(+I184/12))^(H860)</f>
        <v>1.00113691364915</v>
      </c>
      <c r="J185" s="239" t="n">
        <f aca="false">+I185*(1+J184)</f>
        <v>1.05505565334692</v>
      </c>
      <c r="K185" s="239" t="n">
        <f aca="false">+J185*(1+K184)</f>
        <v>1.1118783220188</v>
      </c>
      <c r="L185" s="239" t="n">
        <f aca="false">+K185*(1+L184)</f>
        <v>1.17176131804379</v>
      </c>
      <c r="M185" s="239" t="n">
        <f aca="false">+L185*(1+M184)</f>
        <v>1.2348694630279</v>
      </c>
      <c r="N185" s="239" t="n">
        <f aca="false">+M185*(1+N184)</f>
        <v>1.30137645545817</v>
      </c>
      <c r="O185" s="239" t="n">
        <f aca="false">+N185*(1+O184)</f>
        <v>1.37146534878934</v>
      </c>
      <c r="P185" s="239" t="n">
        <f aca="false">+O185*(1+P184)</f>
        <v>1.44532905527913</v>
      </c>
      <c r="Q185" s="239" t="n">
        <f aca="false">+P185*(1+Q184)</f>
        <v>1.5231708769588</v>
      </c>
      <c r="R185" s="239" t="n">
        <f aca="false">+Q185*(1+R184)</f>
        <v>1.60520506520046</v>
      </c>
      <c r="S185" s="239" t="n">
        <f aca="false">+R185*(1+S184)</f>
        <v>1.69165741042126</v>
      </c>
      <c r="T185" s="239" t="n">
        <f aca="false">+S185*(1+T184)</f>
        <v>1.78276586354765</v>
      </c>
      <c r="U185" s="239" t="n">
        <f aca="false">+T185*(1+U184)</f>
        <v>1.87878119095009</v>
      </c>
      <c r="V185" s="239" t="n">
        <f aca="false">+U185*(1+V184)</f>
        <v>1.97996766465093</v>
      </c>
      <c r="W185" s="239" t="n">
        <f aca="false">+V185*(1+W184)</f>
        <v>2.08660378970517</v>
      </c>
      <c r="X185" s="239" t="n">
        <f aca="false">+W185*(1+X184)</f>
        <v>2.19898307075615</v>
      </c>
      <c r="Y185" s="239" t="n">
        <f aca="false">+X185*(1+Y184)</f>
        <v>2.31741481987598</v>
      </c>
      <c r="Z185" s="239" t="n">
        <f aca="false">+Y185*(1+Z184)</f>
        <v>2.44222500791429</v>
      </c>
      <c r="AA185" s="239" t="n">
        <f aca="false">+Z185*(1+AA184)</f>
        <v>2.57375716169846</v>
      </c>
      <c r="AB185" s="239" t="n">
        <f aca="false">+AA185*(1+AB184)</f>
        <v>2.71237330955485</v>
      </c>
      <c r="AC185" s="239" t="n">
        <f aca="false">+AB185*(1+AC184)</f>
        <v>2.85845497775345</v>
      </c>
    </row>
    <row r="186" customFormat="false" ht="11.25" hidden="false" customHeight="false" outlineLevel="0" collapsed="false">
      <c r="J186" s="239"/>
      <c r="K186" s="239"/>
      <c r="L186" s="239"/>
      <c r="M186" s="239"/>
      <c r="N186" s="239"/>
      <c r="O186" s="239"/>
      <c r="P186" s="239"/>
      <c r="Q186" s="239"/>
      <c r="R186" s="239"/>
      <c r="S186" s="239"/>
      <c r="T186" s="239"/>
      <c r="U186" s="239"/>
      <c r="V186" s="239"/>
      <c r="W186" s="239"/>
      <c r="X186" s="239"/>
      <c r="Y186" s="239"/>
      <c r="Z186" s="239"/>
      <c r="AA186" s="239"/>
      <c r="AB186" s="239"/>
      <c r="AC186" s="239"/>
    </row>
    <row r="187" customFormat="false" ht="11.25" hidden="false" customHeight="false" outlineLevel="0" collapsed="false">
      <c r="A187" s="235" t="s">
        <v>496</v>
      </c>
      <c r="B187" s="43" t="s">
        <v>497</v>
      </c>
      <c r="H187" s="236" t="n">
        <f aca="false">+D180</f>
        <v>0.0556457096591767</v>
      </c>
      <c r="I187" s="173" t="n">
        <f aca="false">+H187</f>
        <v>0.0556457096591767</v>
      </c>
      <c r="J187" s="173" t="n">
        <f aca="false">+I187</f>
        <v>0.0556457096591767</v>
      </c>
      <c r="K187" s="173" t="n">
        <f aca="false">+J187</f>
        <v>0.0556457096591767</v>
      </c>
      <c r="L187" s="173" t="n">
        <f aca="false">+K187</f>
        <v>0.0556457096591767</v>
      </c>
      <c r="M187" s="173" t="n">
        <f aca="false">+L187</f>
        <v>0.0556457096591767</v>
      </c>
      <c r="N187" s="173" t="n">
        <f aca="false">+M187</f>
        <v>0.0556457096591767</v>
      </c>
      <c r="O187" s="173" t="n">
        <f aca="false">+N187</f>
        <v>0.0556457096591767</v>
      </c>
      <c r="P187" s="173" t="n">
        <f aca="false">+O187</f>
        <v>0.0556457096591767</v>
      </c>
      <c r="Q187" s="173" t="n">
        <f aca="false">+P187</f>
        <v>0.0556457096591767</v>
      </c>
      <c r="R187" s="173" t="n">
        <f aca="false">+Q187</f>
        <v>0.0556457096591767</v>
      </c>
      <c r="S187" s="173" t="n">
        <f aca="false">+R187</f>
        <v>0.0556457096591767</v>
      </c>
      <c r="T187" s="173" t="n">
        <f aca="false">+S187</f>
        <v>0.0556457096591767</v>
      </c>
      <c r="U187" s="173" t="n">
        <f aca="false">+T187</f>
        <v>0.0556457096591767</v>
      </c>
      <c r="V187" s="173" t="n">
        <f aca="false">+U187</f>
        <v>0.0556457096591767</v>
      </c>
      <c r="W187" s="173" t="n">
        <f aca="false">+V187</f>
        <v>0.0556457096591767</v>
      </c>
      <c r="X187" s="173" t="n">
        <f aca="false">+W187</f>
        <v>0.0556457096591767</v>
      </c>
      <c r="Y187" s="173" t="n">
        <f aca="false">+X187</f>
        <v>0.0556457096591767</v>
      </c>
      <c r="Z187" s="173" t="n">
        <f aca="false">+Y187</f>
        <v>0.0556457096591767</v>
      </c>
      <c r="AA187" s="173" t="n">
        <f aca="false">+Z187</f>
        <v>0.0556457096591767</v>
      </c>
      <c r="AB187" s="173" t="n">
        <f aca="false">+AA187</f>
        <v>0.0556457096591767</v>
      </c>
      <c r="AC187" s="173" t="n">
        <f aca="false">+AB187</f>
        <v>0.0556457096591767</v>
      </c>
    </row>
    <row r="188" customFormat="false" ht="11.25" hidden="false" customHeight="false" outlineLevel="0" collapsed="false">
      <c r="B188" s="67" t="s">
        <v>495</v>
      </c>
      <c r="I188" s="239" t="n">
        <f aca="false">(1+(+I187/12))^(H860)</f>
        <v>1.00231588956356</v>
      </c>
      <c r="J188" s="239" t="n">
        <f aca="false">+I188*(1+J187)</f>
        <v>1.058090468541</v>
      </c>
      <c r="K188" s="239" t="n">
        <f aca="false">+J188*(1+K187)</f>
        <v>1.11696866354657</v>
      </c>
      <c r="L188" s="239" t="n">
        <f aca="false">+K188*(1+L187)</f>
        <v>1.17912317749668</v>
      </c>
      <c r="M188" s="239" t="n">
        <f aca="false">+L188*(1+M187)</f>
        <v>1.24473632348407</v>
      </c>
      <c r="N188" s="239" t="n">
        <f aca="false">+M188*(1+N187)</f>
        <v>1.3140005595429</v>
      </c>
      <c r="O188" s="239" t="n">
        <f aca="false">+N188*(1+O187)</f>
        <v>1.38711905317121</v>
      </c>
      <c r="P188" s="239" t="n">
        <f aca="false">+O188*(1+P187)</f>
        <v>1.46430627726669</v>
      </c>
      <c r="Q188" s="239" t="n">
        <f aca="false">+P188*(1+Q187)</f>
        <v>1.54578863922358</v>
      </c>
      <c r="R188" s="239" t="n">
        <f aca="false">+Q188*(1+R187)</f>
        <v>1.63180514503627</v>
      </c>
      <c r="S188" s="239" t="n">
        <f aca="false">+R188*(1+S187)</f>
        <v>1.72260810035731</v>
      </c>
      <c r="T188" s="239" t="n">
        <f aca="false">+S188*(1+T187)</f>
        <v>1.81846385056634</v>
      </c>
      <c r="U188" s="239" t="n">
        <f aca="false">+T188*(1+U187)</f>
        <v>1.91965356202067</v>
      </c>
      <c r="V188" s="239" t="n">
        <f aca="false">+U188*(1+V187)</f>
        <v>2.02647404677907</v>
      </c>
      <c r="W188" s="239" t="n">
        <f aca="false">+V188*(1+W187)</f>
        <v>2.139238633218</v>
      </c>
      <c r="X188" s="239" t="n">
        <f aca="false">+W188*(1+X187)</f>
        <v>2.25827808509374</v>
      </c>
      <c r="Y188" s="239" t="n">
        <f aca="false">+X188*(1+Y187)</f>
        <v>2.38394157174655</v>
      </c>
      <c r="Z188" s="239" t="n">
        <f aca="false">+Y188*(1+Z187)</f>
        <v>2.5165976922924</v>
      </c>
      <c r="AA188" s="239" t="n">
        <f aca="false">+Z188*(1+AA187)</f>
        <v>2.65663555680665</v>
      </c>
      <c r="AB188" s="239" t="n">
        <f aca="false">+AA188*(1+AB187)</f>
        <v>2.80446592767096</v>
      </c>
      <c r="AC188" s="239" t="n">
        <f aca="false">+AB188*(1+AC187)</f>
        <v>2.96052242443119</v>
      </c>
    </row>
    <row r="189" customFormat="false" ht="11.25" hidden="false" customHeight="false" outlineLevel="0" collapsed="false">
      <c r="J189" s="239"/>
      <c r="K189" s="239"/>
      <c r="L189" s="239"/>
      <c r="M189" s="239"/>
      <c r="N189" s="239"/>
      <c r="O189" s="239"/>
      <c r="P189" s="239"/>
      <c r="Q189" s="239"/>
      <c r="R189" s="239"/>
      <c r="S189" s="239"/>
      <c r="T189" s="239"/>
      <c r="U189" s="239"/>
      <c r="V189" s="239"/>
      <c r="W189" s="239"/>
      <c r="X189" s="239"/>
      <c r="Y189" s="239"/>
      <c r="Z189" s="239"/>
      <c r="AA189" s="239"/>
      <c r="AB189" s="239"/>
      <c r="AC189" s="239"/>
    </row>
    <row r="190" customFormat="false" ht="11.25" hidden="false" customHeight="false" outlineLevel="0" collapsed="false">
      <c r="A190" s="235" t="s">
        <v>498</v>
      </c>
      <c r="B190" s="43" t="s">
        <v>499</v>
      </c>
      <c r="H190" s="236" t="n">
        <f aca="false">+H187</f>
        <v>0.0556457096591767</v>
      </c>
      <c r="I190" s="236" t="n">
        <v>0</v>
      </c>
      <c r="J190" s="236" t="n">
        <v>0</v>
      </c>
      <c r="K190" s="236" t="n">
        <v>0</v>
      </c>
      <c r="L190" s="236" t="n">
        <v>0</v>
      </c>
      <c r="M190" s="236" t="n">
        <v>0</v>
      </c>
      <c r="N190" s="236" t="n">
        <v>0</v>
      </c>
      <c r="O190" s="236" t="n">
        <v>0</v>
      </c>
      <c r="P190" s="236" t="n">
        <v>0</v>
      </c>
      <c r="Q190" s="236" t="n">
        <v>0</v>
      </c>
      <c r="R190" s="236" t="n">
        <v>0</v>
      </c>
      <c r="S190" s="236" t="n">
        <v>0</v>
      </c>
      <c r="T190" s="236" t="n">
        <v>0</v>
      </c>
      <c r="U190" s="236" t="n">
        <v>0</v>
      </c>
      <c r="V190" s="236" t="n">
        <v>0</v>
      </c>
      <c r="W190" s="236" t="n">
        <v>0</v>
      </c>
      <c r="X190" s="236" t="n">
        <v>0</v>
      </c>
      <c r="Y190" s="236" t="n">
        <v>0</v>
      </c>
      <c r="Z190" s="236" t="n">
        <v>0</v>
      </c>
      <c r="AA190" s="236" t="n">
        <v>0</v>
      </c>
      <c r="AB190" s="236" t="n">
        <v>0</v>
      </c>
      <c r="AC190" s="236" t="n">
        <v>0</v>
      </c>
    </row>
    <row r="191" customFormat="false" ht="11.25" hidden="false" customHeight="false" outlineLevel="0" collapsed="false">
      <c r="A191" s="65"/>
      <c r="B191" s="67" t="s">
        <v>495</v>
      </c>
      <c r="I191" s="239" t="n">
        <f aca="false">(1+(+I190/12))^(H860)</f>
        <v>1</v>
      </c>
      <c r="J191" s="239" t="n">
        <f aca="false">+I191*(1+J190)</f>
        <v>1</v>
      </c>
      <c r="K191" s="239" t="n">
        <f aca="false">+J191*(1+K190)</f>
        <v>1</v>
      </c>
      <c r="L191" s="239" t="n">
        <f aca="false">+K191*(1+L190)</f>
        <v>1</v>
      </c>
      <c r="M191" s="239" t="n">
        <f aca="false">+L191*(1+M190)</f>
        <v>1</v>
      </c>
      <c r="N191" s="239" t="n">
        <f aca="false">+M191*(1+N190)</f>
        <v>1</v>
      </c>
      <c r="O191" s="239" t="n">
        <f aca="false">+N191*(1+O190)</f>
        <v>1</v>
      </c>
      <c r="P191" s="239" t="n">
        <f aca="false">+O191*(1+P190)</f>
        <v>1</v>
      </c>
      <c r="Q191" s="239" t="n">
        <f aca="false">+P191*(1+Q190)</f>
        <v>1</v>
      </c>
      <c r="R191" s="239" t="n">
        <f aca="false">+Q191*(1+R190)</f>
        <v>1</v>
      </c>
      <c r="S191" s="239" t="n">
        <f aca="false">+R191*(1+S190)</f>
        <v>1</v>
      </c>
      <c r="T191" s="239" t="n">
        <f aca="false">+S191*(1+T190)</f>
        <v>1</v>
      </c>
      <c r="U191" s="239" t="n">
        <f aca="false">+T191*(1+U190)</f>
        <v>1</v>
      </c>
      <c r="V191" s="239" t="n">
        <f aca="false">+U191*(1+V190)</f>
        <v>1</v>
      </c>
      <c r="W191" s="239" t="n">
        <f aca="false">+V191*(1+W190)</f>
        <v>1</v>
      </c>
      <c r="X191" s="239" t="n">
        <f aca="false">+W191*(1+X190)</f>
        <v>1</v>
      </c>
      <c r="Y191" s="239" t="n">
        <f aca="false">+X191*(1+Y190)</f>
        <v>1</v>
      </c>
      <c r="Z191" s="239" t="n">
        <f aca="false">+Y191*(1+Z190)</f>
        <v>1</v>
      </c>
      <c r="AA191" s="239" t="n">
        <f aca="false">+Z191*(1+AA190)</f>
        <v>1</v>
      </c>
      <c r="AB191" s="239" t="n">
        <f aca="false">+AA191*(1+AB190)</f>
        <v>1</v>
      </c>
      <c r="AC191" s="239" t="n">
        <f aca="false">+AB191*(1+AC190)</f>
        <v>1</v>
      </c>
    </row>
    <row r="192" customFormat="false" ht="11.25" hidden="false" customHeight="false" outlineLevel="0" collapsed="false">
      <c r="B192" s="43"/>
      <c r="E192" s="5"/>
      <c r="F192" s="5"/>
      <c r="G192" s="5"/>
      <c r="H192" s="5"/>
      <c r="I192" s="137"/>
      <c r="J192" s="137"/>
      <c r="K192" s="137"/>
      <c r="L192" s="137"/>
      <c r="M192" s="137"/>
      <c r="N192" s="137"/>
      <c r="O192" s="137"/>
      <c r="P192" s="137"/>
      <c r="Q192" s="137"/>
      <c r="R192" s="137"/>
      <c r="S192" s="137"/>
      <c r="T192" s="137"/>
      <c r="U192" s="137"/>
      <c r="V192" s="137"/>
      <c r="W192" s="137"/>
      <c r="X192" s="137"/>
      <c r="Y192" s="137"/>
      <c r="Z192" s="137"/>
      <c r="AA192" s="137"/>
      <c r="AB192" s="137"/>
      <c r="AC192" s="137"/>
    </row>
    <row r="193" customFormat="false" ht="12" hidden="false" customHeight="false" outlineLevel="0" collapsed="false"/>
    <row r="194" customFormat="false" ht="12.75" hidden="false" customHeight="false" outlineLevel="0" collapsed="false">
      <c r="A194" s="79"/>
      <c r="B194" s="79"/>
      <c r="C194" s="79"/>
      <c r="D194" s="79"/>
      <c r="E194" s="79"/>
      <c r="F194" s="79"/>
      <c r="G194" s="79"/>
      <c r="H194" s="79"/>
      <c r="I194" s="79"/>
      <c r="J194" s="79"/>
      <c r="K194" s="79"/>
      <c r="L194" s="79"/>
      <c r="M194" s="79"/>
      <c r="N194" s="79"/>
      <c r="O194" s="79"/>
      <c r="P194" s="79"/>
      <c r="Q194" s="79"/>
      <c r="R194" s="79"/>
      <c r="S194" s="79"/>
      <c r="T194" s="79"/>
      <c r="U194" s="79"/>
      <c r="V194" s="79"/>
      <c r="W194" s="79"/>
      <c r="X194" s="79"/>
      <c r="Y194" s="79"/>
      <c r="Z194" s="79"/>
      <c r="AA194" s="79"/>
      <c r="AB194" s="79"/>
      <c r="AC194" s="79"/>
    </row>
    <row r="195" customFormat="false" ht="12.75" hidden="false" customHeight="false" outlineLevel="0" collapsed="false">
      <c r="A195" s="167" t="s">
        <v>500</v>
      </c>
      <c r="I195" s="81" t="str">
        <f aca="false">+I$3</f>
        <v>6 M/1999 </v>
      </c>
      <c r="J195" s="81" t="n">
        <f aca="false">+J$3</f>
        <v>2000</v>
      </c>
      <c r="K195" s="81" t="n">
        <f aca="false">+K$3</f>
        <v>2001</v>
      </c>
      <c r="L195" s="81" t="n">
        <f aca="false">+L$3</f>
        <v>2002</v>
      </c>
      <c r="M195" s="81" t="n">
        <f aca="false">+M$3</f>
        <v>2003</v>
      </c>
      <c r="N195" s="81" t="n">
        <f aca="false">+N$3</f>
        <v>2004</v>
      </c>
      <c r="O195" s="81" t="n">
        <f aca="false">+O$3</f>
        <v>2005</v>
      </c>
      <c r="P195" s="81" t="n">
        <f aca="false">+P$3</f>
        <v>2006</v>
      </c>
      <c r="Q195" s="81" t="n">
        <f aca="false">+Q$3</f>
        <v>2007</v>
      </c>
      <c r="R195" s="81" t="n">
        <f aca="false">+R$3</f>
        <v>2008</v>
      </c>
      <c r="S195" s="81" t="n">
        <f aca="false">+S$3</f>
        <v>2009</v>
      </c>
      <c r="T195" s="81" t="n">
        <f aca="false">+T$3</f>
        <v>2010</v>
      </c>
      <c r="U195" s="81" t="n">
        <f aca="false">+U$3</f>
        <v>2011</v>
      </c>
      <c r="V195" s="81" t="n">
        <f aca="false">+V$3</f>
        <v>2012</v>
      </c>
      <c r="W195" s="81" t="n">
        <f aca="false">+W$3</f>
        <v>2013</v>
      </c>
      <c r="X195" s="81" t="n">
        <f aca="false">+X$3</f>
        <v>2014</v>
      </c>
      <c r="Y195" s="81" t="n">
        <f aca="false">+Y$3</f>
        <v>2015</v>
      </c>
      <c r="Z195" s="81" t="n">
        <f aca="false">+Z$3</f>
        <v>2016</v>
      </c>
      <c r="AA195" s="81" t="n">
        <f aca="false">+AA$3</f>
        <v>2017</v>
      </c>
      <c r="AB195" s="81" t="n">
        <f aca="false">+AB$3</f>
        <v>2018</v>
      </c>
      <c r="AC195" s="81" t="n">
        <f aca="false">+AC$3</f>
        <v>2019</v>
      </c>
    </row>
    <row r="196" customFormat="false" ht="12" hidden="false" customHeight="false" outlineLevel="0" collapsed="false">
      <c r="A196" s="153" t="s">
        <v>181</v>
      </c>
    </row>
    <row r="197" customFormat="false" ht="11.25" hidden="false" customHeight="false" outlineLevel="0" collapsed="false">
      <c r="A197" s="235" t="s">
        <v>488</v>
      </c>
      <c r="B197" s="35" t="s">
        <v>501</v>
      </c>
      <c r="E197" s="239"/>
      <c r="F197" s="239"/>
      <c r="G197" s="239"/>
      <c r="H197" s="239"/>
      <c r="I197" s="21" t="n">
        <v>0</v>
      </c>
      <c r="J197" s="21" t="n">
        <f aca="false">+PRICCURV!N21</f>
        <v>0</v>
      </c>
      <c r="K197" s="21" t="n">
        <f aca="false">+PRICCURV!O21</f>
        <v>0</v>
      </c>
      <c r="L197" s="21" t="n">
        <f aca="false">+PRICCURV!P21</f>
        <v>0</v>
      </c>
      <c r="M197" s="21" t="n">
        <f aca="false">+PRICCURV!Q21</f>
        <v>0</v>
      </c>
      <c r="N197" s="21" t="n">
        <f aca="false">+PRICCURV!R21</f>
        <v>0</v>
      </c>
      <c r="O197" s="21" t="n">
        <f aca="false">+PRICCURV!S21</f>
        <v>0</v>
      </c>
      <c r="P197" s="21" t="n">
        <f aca="false">+PRICCURV!T21</f>
        <v>0</v>
      </c>
      <c r="Q197" s="21" t="n">
        <f aca="false">+PRICCURV!U21</f>
        <v>0</v>
      </c>
      <c r="R197" s="21" t="n">
        <f aca="false">+PRICCURV!V21</f>
        <v>0</v>
      </c>
      <c r="S197" s="21" t="n">
        <f aca="false">+PRICCURV!W21</f>
        <v>0</v>
      </c>
      <c r="T197" s="21" t="n">
        <f aca="false">+PRICCURV!X21</f>
        <v>0</v>
      </c>
      <c r="U197" s="21" t="n">
        <f aca="false">+PRICCURV!Y21</f>
        <v>0</v>
      </c>
      <c r="V197" s="21" t="n">
        <f aca="false">+PRICCURV!Z21</f>
        <v>0</v>
      </c>
      <c r="W197" s="21" t="n">
        <f aca="false">+PRICCURV!AA21</f>
        <v>0</v>
      </c>
      <c r="X197" s="21" t="n">
        <f aca="false">+PRICCURV!AB21</f>
        <v>0</v>
      </c>
      <c r="Y197" s="21" t="n">
        <f aca="false">+PRICCURV!AC21</f>
        <v>0</v>
      </c>
      <c r="Z197" s="21" t="n">
        <f aca="false">+PRICCURV!AD21</f>
        <v>0</v>
      </c>
      <c r="AA197" s="21" t="n">
        <f aca="false">+PRICCURV!AE21</f>
        <v>0</v>
      </c>
      <c r="AB197" s="21" t="n">
        <f aca="false">+PRICCURV!AF21</f>
        <v>0</v>
      </c>
      <c r="AC197" s="21" t="n">
        <f aca="false">+PRICCURV!AG21</f>
        <v>0</v>
      </c>
      <c r="AD197" s="21"/>
    </row>
    <row r="198" customFormat="false" ht="11.25" hidden="false" customHeight="false" outlineLevel="0" collapsed="false">
      <c r="A198" s="153"/>
    </row>
    <row r="199" customFormat="false" ht="11.25" hidden="false" customHeight="false" outlineLevel="0" collapsed="false">
      <c r="A199" s="235" t="s">
        <v>496</v>
      </c>
      <c r="B199" s="43" t="s">
        <v>502</v>
      </c>
      <c r="D199" s="65"/>
      <c r="M199" s="88" t="n">
        <v>1.20391558232219</v>
      </c>
      <c r="Q199" s="240" t="n">
        <v>-2.19938306671329</v>
      </c>
      <c r="S199" s="240" t="n">
        <v>0.368993694105275</v>
      </c>
      <c r="T199" s="67" t="n">
        <v>1.8478925134623</v>
      </c>
      <c r="U199" s="67" t="n">
        <v>-1.54593666943837</v>
      </c>
    </row>
    <row r="200" customFormat="false" ht="11.25" hidden="false" customHeight="false" outlineLevel="0" collapsed="false">
      <c r="E200" s="241" t="n">
        <v>1.96</v>
      </c>
      <c r="F200" s="241" t="n">
        <v>1.96</v>
      </c>
      <c r="G200" s="241" t="n">
        <v>1.96</v>
      </c>
      <c r="H200" s="241" t="n">
        <f aca="false">+G200</f>
        <v>1.96</v>
      </c>
      <c r="I200" s="242" t="n">
        <v>2.00459986696231</v>
      </c>
      <c r="J200" s="242" t="n">
        <v>2.09686730881189</v>
      </c>
      <c r="K200" s="239" t="n">
        <v>2.19338162354905</v>
      </c>
      <c r="L200" s="239" t="n">
        <v>2.29433828564412</v>
      </c>
      <c r="M200" s="239" t="n">
        <v>2.39994176683895</v>
      </c>
      <c r="N200" s="239" t="n">
        <v>2.5104059502721</v>
      </c>
      <c r="O200" s="239" t="n">
        <v>2.62595456366523</v>
      </c>
      <c r="P200" s="239" t="n">
        <v>2.74682163244827</v>
      </c>
      <c r="Q200" s="239" t="n">
        <v>2.87325195374083</v>
      </c>
      <c r="R200" s="239" t="n">
        <v>3.00550159215006</v>
      </c>
      <c r="S200" s="239" t="n">
        <v>3.14383839838897</v>
      </c>
      <c r="T200" s="239" t="n">
        <v>3.28854255176566</v>
      </c>
      <c r="U200" s="239" t="n">
        <v>3.43990712764219</v>
      </c>
      <c r="V200" s="239" t="n">
        <v>3.5982386910123</v>
      </c>
      <c r="W200" s="239" t="n">
        <v>3.76385791740034</v>
      </c>
      <c r="X200" s="239" t="n">
        <v>3.93710024233875</v>
      </c>
      <c r="Y200" s="239" t="n">
        <v>4.1183165407397</v>
      </c>
      <c r="Z200" s="239" t="n">
        <v>4.30787383753662</v>
      </c>
      <c r="AA200" s="239" t="n">
        <v>4.50615605103518</v>
      </c>
      <c r="AB200" s="239" t="n">
        <v>4.71356477047904</v>
      </c>
      <c r="AC200" s="239" t="n">
        <v>4.93052006940532</v>
      </c>
    </row>
    <row r="201" customFormat="false" ht="11.25" hidden="false" customHeight="false" outlineLevel="0" collapsed="false">
      <c r="E201" s="239"/>
      <c r="F201" s="239"/>
      <c r="G201" s="239"/>
      <c r="H201" s="239"/>
      <c r="I201" s="239"/>
      <c r="J201" s="239"/>
      <c r="K201" s="239"/>
      <c r="L201" s="239"/>
      <c r="M201" s="239"/>
      <c r="N201" s="239"/>
      <c r="O201" s="239"/>
      <c r="P201" s="239"/>
      <c r="Q201" s="239"/>
      <c r="R201" s="239"/>
      <c r="S201" s="239"/>
      <c r="T201" s="239"/>
      <c r="U201" s="239"/>
      <c r="V201" s="239"/>
      <c r="W201" s="239"/>
      <c r="X201" s="239"/>
      <c r="Y201" s="239"/>
      <c r="Z201" s="239"/>
      <c r="AA201" s="239"/>
      <c r="AB201" s="239"/>
      <c r="AC201" s="239"/>
    </row>
    <row r="202" customFormat="false" ht="11.25" hidden="false" customHeight="false" outlineLevel="0" collapsed="false">
      <c r="A202" s="235" t="s">
        <v>498</v>
      </c>
      <c r="B202" s="43" t="s">
        <v>503</v>
      </c>
      <c r="E202" s="239"/>
      <c r="F202" s="239"/>
      <c r="G202" s="239"/>
      <c r="H202" s="239" t="n">
        <f aca="false">+H200</f>
        <v>1.96</v>
      </c>
      <c r="I202" s="239" t="n">
        <f aca="false">+H202*(1+I187)</f>
        <v>2.06906559093199</v>
      </c>
      <c r="J202" s="239" t="n">
        <f aca="false">+I202*(1+J187)</f>
        <v>2.18420021407078</v>
      </c>
      <c r="K202" s="239" t="n">
        <f aca="false">+J202*(1+K187)</f>
        <v>2.30574158502047</v>
      </c>
      <c r="L202" s="239" t="n">
        <f aca="false">+K202*(1+L187)</f>
        <v>2.43404621180961</v>
      </c>
      <c r="M202" s="239" t="n">
        <f aca="false">+L202*(1+M187)</f>
        <v>2.56949044060899</v>
      </c>
      <c r="N202" s="239" t="n">
        <f aca="false">+M202*(1+N187)</f>
        <v>2.71247155963915</v>
      </c>
      <c r="O202" s="239" t="n">
        <f aca="false">+N202*(1+O187)</f>
        <v>2.8634089645056</v>
      </c>
      <c r="P202" s="239" t="n">
        <f aca="false">+O202*(1+P187)</f>
        <v>3.02274538837997</v>
      </c>
      <c r="Q202" s="239" t="n">
        <f aca="false">+P202*(1+Q187)</f>
        <v>3.19094820063537</v>
      </c>
      <c r="R202" s="239" t="n">
        <f aca="false">+Q202*(1+R187)</f>
        <v>3.3685107777454</v>
      </c>
      <c r="S202" s="239" t="n">
        <f aca="false">+R202*(1+S187)</f>
        <v>3.55595395046763</v>
      </c>
      <c r="T202" s="239" t="n">
        <f aca="false">+S202*(1+T187)</f>
        <v>3.75382753155675</v>
      </c>
      <c r="U202" s="239" t="n">
        <f aca="false">+T202*(1+U187)</f>
        <v>3.96271192848838</v>
      </c>
      <c r="V202" s="239" t="n">
        <f aca="false">+U202*(1+V187)</f>
        <v>4.183219845924</v>
      </c>
      <c r="W202" s="239" t="n">
        <f aca="false">+V202*(1+W187)</f>
        <v>4.4159980829108</v>
      </c>
      <c r="X202" s="239" t="n">
        <f aca="false">+W202*(1+X187)</f>
        <v>4.66172943008793</v>
      </c>
      <c r="Y202" s="239" t="n">
        <f aca="false">+X202*(1+Y187)</f>
        <v>4.92113467246425</v>
      </c>
      <c r="Z202" s="239" t="n">
        <f aca="false">+Y202*(1+Z187)</f>
        <v>5.1949747036419</v>
      </c>
      <c r="AA202" s="239" t="n">
        <f aca="false">+Z202*(1+AA187)</f>
        <v>5.48405275768752</v>
      </c>
      <c r="AB202" s="239" t="n">
        <f aca="false">+AA202*(1+AB187)</f>
        <v>5.78921676519741</v>
      </c>
      <c r="AC202" s="239" t="n">
        <f aca="false">+AB202*(1+AC187)</f>
        <v>6.11136184046762</v>
      </c>
    </row>
    <row r="203" customFormat="false" ht="11.25" hidden="false" customHeight="false" outlineLevel="0" collapsed="false">
      <c r="E203" s="239"/>
      <c r="F203" s="239"/>
      <c r="G203" s="239"/>
      <c r="H203" s="239"/>
      <c r="I203" s="239"/>
      <c r="J203" s="239"/>
      <c r="K203" s="239"/>
      <c r="L203" s="239"/>
      <c r="M203" s="239"/>
      <c r="N203" s="239"/>
      <c r="O203" s="239"/>
      <c r="P203" s="239"/>
      <c r="Q203" s="239"/>
      <c r="R203" s="239"/>
      <c r="S203" s="239"/>
      <c r="T203" s="239"/>
      <c r="U203" s="239"/>
      <c r="V203" s="239"/>
      <c r="W203" s="239"/>
      <c r="X203" s="239"/>
      <c r="Y203" s="239"/>
      <c r="Z203" s="239"/>
      <c r="AA203" s="239"/>
      <c r="AB203" s="239"/>
      <c r="AC203" s="239"/>
    </row>
    <row r="204" customFormat="false" ht="11.25" hidden="false" customHeight="false" outlineLevel="0" collapsed="false">
      <c r="A204" s="235" t="s">
        <v>504</v>
      </c>
      <c r="B204" s="43" t="s">
        <v>505</v>
      </c>
      <c r="E204" s="239"/>
      <c r="F204" s="239"/>
      <c r="G204" s="239"/>
      <c r="H204" s="239" t="n">
        <f aca="false">+H202</f>
        <v>1.96</v>
      </c>
      <c r="I204" s="239" t="n">
        <f aca="false">+H204*(1+I190)</f>
        <v>1.96</v>
      </c>
      <c r="J204" s="239" t="n">
        <f aca="false">+I204*(1+J190)</f>
        <v>1.96</v>
      </c>
      <c r="K204" s="239" t="n">
        <f aca="false">+J204*(1+K190)</f>
        <v>1.96</v>
      </c>
      <c r="L204" s="239" t="n">
        <f aca="false">+K204*(1+L190)</f>
        <v>1.96</v>
      </c>
      <c r="M204" s="239" t="n">
        <f aca="false">+L204*(1+M190)</f>
        <v>1.96</v>
      </c>
      <c r="N204" s="239" t="n">
        <f aca="false">+M204*(1+N190)</f>
        <v>1.96</v>
      </c>
      <c r="O204" s="239" t="n">
        <f aca="false">+N204*(1+O190)</f>
        <v>1.96</v>
      </c>
      <c r="P204" s="239" t="n">
        <f aca="false">+O204*(1+P190)</f>
        <v>1.96</v>
      </c>
      <c r="Q204" s="239" t="n">
        <f aca="false">+P204*(1+Q190)</f>
        <v>1.96</v>
      </c>
      <c r="R204" s="239" t="n">
        <f aca="false">+Q204*(1+R190)</f>
        <v>1.96</v>
      </c>
      <c r="S204" s="239" t="n">
        <f aca="false">+R204*(1+S190)</f>
        <v>1.96</v>
      </c>
      <c r="T204" s="239" t="n">
        <f aca="false">+S204*(1+T190)</f>
        <v>1.96</v>
      </c>
      <c r="U204" s="239" t="n">
        <f aca="false">+T204*(1+U190)</f>
        <v>1.96</v>
      </c>
      <c r="V204" s="239" t="n">
        <f aca="false">+U204*(1+V190)</f>
        <v>1.96</v>
      </c>
      <c r="W204" s="239" t="n">
        <f aca="false">+V204*(1+W190)</f>
        <v>1.96</v>
      </c>
      <c r="X204" s="239" t="n">
        <f aca="false">+W204*(1+X190)</f>
        <v>1.96</v>
      </c>
      <c r="Y204" s="239" t="n">
        <f aca="false">+X204*(1+Y190)</f>
        <v>1.96</v>
      </c>
      <c r="Z204" s="239" t="n">
        <f aca="false">+Y204*(1+Z190)</f>
        <v>1.96</v>
      </c>
      <c r="AA204" s="239" t="n">
        <f aca="false">+Z204*(1+AA190)</f>
        <v>1.96</v>
      </c>
      <c r="AB204" s="239" t="n">
        <f aca="false">+AA204*(1+AB190)</f>
        <v>1.96</v>
      </c>
      <c r="AC204" s="239" t="n">
        <f aca="false">+AB204*(1+AC190)</f>
        <v>1.96</v>
      </c>
    </row>
    <row r="205" customFormat="false" ht="11.25" hidden="false" customHeight="false" outlineLevel="0" collapsed="false">
      <c r="E205" s="239"/>
      <c r="F205" s="239"/>
      <c r="G205" s="239"/>
      <c r="H205" s="239"/>
      <c r="I205" s="239"/>
      <c r="J205" s="239"/>
      <c r="K205" s="239"/>
      <c r="L205" s="239"/>
      <c r="M205" s="239"/>
      <c r="N205" s="239"/>
      <c r="O205" s="239"/>
      <c r="P205" s="239"/>
      <c r="Q205" s="239"/>
      <c r="R205" s="239"/>
      <c r="S205" s="239"/>
      <c r="T205" s="239"/>
      <c r="U205" s="239"/>
      <c r="V205" s="239"/>
      <c r="W205" s="239"/>
      <c r="X205" s="239"/>
      <c r="Y205" s="239"/>
      <c r="Z205" s="239"/>
      <c r="AA205" s="239"/>
      <c r="AB205" s="239"/>
      <c r="AC205" s="239"/>
    </row>
    <row r="206" customFormat="false" ht="11.25" hidden="false" customHeight="false" outlineLevel="0" collapsed="false">
      <c r="A206" s="235" t="s">
        <v>506</v>
      </c>
      <c r="B206" s="43" t="s">
        <v>507</v>
      </c>
      <c r="E206" s="239"/>
      <c r="F206" s="239"/>
      <c r="G206" s="239"/>
      <c r="H206" s="239" t="n">
        <f aca="false">+H197</f>
        <v>0</v>
      </c>
      <c r="I206" s="241" t="n">
        <f aca="false">+I197</f>
        <v>0</v>
      </c>
      <c r="J206" s="241" t="n">
        <f aca="false">+J197</f>
        <v>0</v>
      </c>
      <c r="K206" s="241" t="n">
        <f aca="false">+K197</f>
        <v>0</v>
      </c>
      <c r="L206" s="241" t="n">
        <f aca="false">+L197</f>
        <v>0</v>
      </c>
      <c r="M206" s="241" t="n">
        <f aca="false">+M197</f>
        <v>0</v>
      </c>
      <c r="N206" s="241" t="n">
        <f aca="false">+N197</f>
        <v>0</v>
      </c>
      <c r="O206" s="241" t="n">
        <f aca="false">+O197</f>
        <v>0</v>
      </c>
      <c r="P206" s="241" t="n">
        <f aca="false">+P197</f>
        <v>0</v>
      </c>
      <c r="Q206" s="241" t="n">
        <f aca="false">+Q197</f>
        <v>0</v>
      </c>
      <c r="R206" s="241" t="n">
        <f aca="false">+R197</f>
        <v>0</v>
      </c>
      <c r="S206" s="241" t="n">
        <f aca="false">+S197</f>
        <v>0</v>
      </c>
      <c r="T206" s="241" t="n">
        <f aca="false">+T197</f>
        <v>0</v>
      </c>
      <c r="U206" s="241" t="n">
        <f aca="false">+U197</f>
        <v>0</v>
      </c>
      <c r="V206" s="241" t="n">
        <f aca="false">+V197</f>
        <v>0</v>
      </c>
      <c r="W206" s="241" t="n">
        <f aca="false">+W197</f>
        <v>0</v>
      </c>
      <c r="X206" s="241" t="n">
        <f aca="false">+X197</f>
        <v>0</v>
      </c>
      <c r="Y206" s="241" t="n">
        <f aca="false">+Y197</f>
        <v>0</v>
      </c>
      <c r="Z206" s="241" t="n">
        <f aca="false">+Z197</f>
        <v>0</v>
      </c>
      <c r="AA206" s="241" t="n">
        <f aca="false">+AA197</f>
        <v>0</v>
      </c>
      <c r="AB206" s="241" t="n">
        <f aca="false">+AB197</f>
        <v>0</v>
      </c>
      <c r="AC206" s="241" t="n">
        <f aca="false">+AC197</f>
        <v>0</v>
      </c>
    </row>
    <row r="207" customFormat="false" ht="11.25" hidden="false" customHeight="false" outlineLevel="0" collapsed="false">
      <c r="A207" s="235"/>
      <c r="B207" s="43"/>
      <c r="E207" s="239"/>
      <c r="F207" s="239"/>
      <c r="G207" s="239"/>
      <c r="H207" s="243"/>
      <c r="I207" s="244"/>
      <c r="J207" s="244"/>
      <c r="K207" s="244"/>
      <c r="L207" s="244"/>
      <c r="M207" s="244"/>
      <c r="N207" s="244"/>
      <c r="O207" s="244"/>
      <c r="P207" s="244"/>
      <c r="Q207" s="244"/>
      <c r="R207" s="244"/>
      <c r="S207" s="244"/>
      <c r="T207" s="244"/>
      <c r="U207" s="244"/>
      <c r="V207" s="244"/>
      <c r="W207" s="244"/>
      <c r="X207" s="244"/>
      <c r="Y207" s="244"/>
      <c r="Z207" s="244"/>
      <c r="AA207" s="244"/>
      <c r="AB207" s="244"/>
      <c r="AC207" s="244"/>
    </row>
    <row r="208" customFormat="false" ht="11.25" hidden="false" customHeight="false" outlineLevel="0" collapsed="false">
      <c r="A208" s="235" t="s">
        <v>508</v>
      </c>
      <c r="B208" s="43" t="s">
        <v>206</v>
      </c>
      <c r="E208" s="239"/>
      <c r="F208" s="239"/>
      <c r="G208" s="239"/>
      <c r="H208" s="239"/>
      <c r="I208" s="238" t="n">
        <v>0</v>
      </c>
      <c r="J208" s="238" t="n">
        <v>0</v>
      </c>
      <c r="K208" s="238" t="n">
        <v>0</v>
      </c>
      <c r="L208" s="238" t="n">
        <v>0</v>
      </c>
      <c r="M208" s="238" t="n">
        <v>0</v>
      </c>
      <c r="N208" s="238" t="n">
        <v>0</v>
      </c>
      <c r="O208" s="238" t="n">
        <v>0</v>
      </c>
      <c r="P208" s="238" t="n">
        <v>0</v>
      </c>
      <c r="Q208" s="238" t="n">
        <v>0</v>
      </c>
      <c r="R208" s="238" t="n">
        <v>0</v>
      </c>
      <c r="S208" s="238" t="n">
        <v>0</v>
      </c>
      <c r="T208" s="238" t="n">
        <v>0</v>
      </c>
      <c r="U208" s="238" t="n">
        <v>0</v>
      </c>
      <c r="V208" s="238" t="n">
        <v>0</v>
      </c>
      <c r="W208" s="238" t="n">
        <v>0</v>
      </c>
      <c r="X208" s="238" t="n">
        <v>0</v>
      </c>
      <c r="Y208" s="238" t="n">
        <v>0</v>
      </c>
      <c r="Z208" s="238" t="n">
        <v>0</v>
      </c>
      <c r="AA208" s="238" t="n">
        <v>0</v>
      </c>
      <c r="AB208" s="238" t="n">
        <v>0</v>
      </c>
      <c r="AC208" s="238" t="n">
        <v>0</v>
      </c>
    </row>
    <row r="209" customFormat="false" ht="12" hidden="false" customHeight="false" outlineLevel="0" collapsed="false">
      <c r="E209" s="239"/>
      <c r="F209" s="239"/>
      <c r="G209" s="239"/>
      <c r="H209" s="239"/>
      <c r="I209" s="239"/>
      <c r="J209" s="239"/>
      <c r="K209" s="239"/>
      <c r="L209" s="239"/>
      <c r="M209" s="239"/>
      <c r="N209" s="239"/>
      <c r="O209" s="239"/>
      <c r="P209" s="239"/>
      <c r="Q209" s="239"/>
      <c r="R209" s="239"/>
      <c r="S209" s="239"/>
      <c r="T209" s="239"/>
      <c r="U209" s="239"/>
      <c r="V209" s="239"/>
      <c r="W209" s="239"/>
      <c r="X209" s="239"/>
      <c r="Y209" s="239"/>
      <c r="Z209" s="239"/>
      <c r="AA209" s="239"/>
      <c r="AB209" s="239"/>
      <c r="AC209" s="239"/>
    </row>
    <row r="210" customFormat="false" ht="12" hidden="false" customHeight="false" outlineLevel="0" collapsed="false">
      <c r="A210" s="130"/>
      <c r="B210" s="130"/>
      <c r="C210" s="130"/>
      <c r="D210" s="130"/>
      <c r="E210" s="130"/>
      <c r="F210" s="130"/>
      <c r="G210" s="130"/>
      <c r="H210" s="130"/>
      <c r="I210" s="130"/>
      <c r="J210" s="130"/>
      <c r="K210" s="130"/>
      <c r="L210" s="130"/>
      <c r="M210" s="130"/>
      <c r="N210" s="130"/>
      <c r="O210" s="130"/>
      <c r="P210" s="130"/>
      <c r="Q210" s="130"/>
      <c r="R210" s="130"/>
      <c r="S210" s="130"/>
      <c r="T210" s="130"/>
      <c r="U210" s="130"/>
      <c r="V210" s="130"/>
      <c r="W210" s="130"/>
      <c r="X210" s="130"/>
      <c r="Y210" s="130"/>
      <c r="Z210" s="130"/>
      <c r="AA210" s="130"/>
      <c r="AB210" s="130"/>
      <c r="AC210" s="130"/>
    </row>
    <row r="211" customFormat="false" ht="11.25" hidden="false" customHeight="false" outlineLevel="0" collapsed="false">
      <c r="A211" s="4" t="s">
        <v>509</v>
      </c>
    </row>
    <row r="212" customFormat="false" ht="11.25" hidden="false" customHeight="false" outlineLevel="0" collapsed="false">
      <c r="A212" s="235" t="s">
        <v>488</v>
      </c>
      <c r="B212" s="43" t="s">
        <v>510</v>
      </c>
      <c r="I212" s="245" t="n">
        <v>0</v>
      </c>
      <c r="J212" s="245" t="n">
        <f aca="false">+PRICCURV!N37</f>
        <v>0</v>
      </c>
      <c r="K212" s="245" t="n">
        <f aca="false">+PRICCURV!O37</f>
        <v>0</v>
      </c>
      <c r="L212" s="245" t="n">
        <f aca="false">+PRICCURV!P37</f>
        <v>0</v>
      </c>
      <c r="M212" s="245" t="n">
        <f aca="false">+PRICCURV!Q37</f>
        <v>0</v>
      </c>
      <c r="N212" s="245" t="n">
        <f aca="false">+PRICCURV!R37</f>
        <v>0</v>
      </c>
      <c r="O212" s="245" t="n">
        <f aca="false">+PRICCURV!S37</f>
        <v>0</v>
      </c>
      <c r="P212" s="245" t="n">
        <f aca="false">+PRICCURV!T37</f>
        <v>0</v>
      </c>
      <c r="Q212" s="245" t="n">
        <f aca="false">+PRICCURV!U37</f>
        <v>0</v>
      </c>
      <c r="R212" s="245" t="n">
        <f aca="false">+PRICCURV!V37</f>
        <v>0</v>
      </c>
      <c r="S212" s="245" t="n">
        <f aca="false">+PRICCURV!W37</f>
        <v>0</v>
      </c>
      <c r="T212" s="245" t="n">
        <f aca="false">+PRICCURV!X37</f>
        <v>0</v>
      </c>
      <c r="U212" s="245" t="n">
        <f aca="false">+PRICCURV!Y37</f>
        <v>0</v>
      </c>
      <c r="V212" s="245" t="n">
        <f aca="false">+PRICCURV!Z37</f>
        <v>0</v>
      </c>
      <c r="W212" s="245" t="n">
        <f aca="false">+PRICCURV!AA37</f>
        <v>0</v>
      </c>
      <c r="X212" s="245" t="n">
        <f aca="false">+PRICCURV!AB37</f>
        <v>0</v>
      </c>
      <c r="Y212" s="245" t="n">
        <f aca="false">+PRICCURV!AC37</f>
        <v>0</v>
      </c>
      <c r="Z212" s="245" t="n">
        <f aca="false">+PRICCURV!AD37</f>
        <v>0</v>
      </c>
      <c r="AA212" s="245" t="n">
        <f aca="false">+PRICCURV!AE37</f>
        <v>0</v>
      </c>
      <c r="AB212" s="245" t="n">
        <f aca="false">+PRICCURV!AF37</f>
        <v>0</v>
      </c>
      <c r="AC212" s="245" t="n">
        <f aca="false">+PRICCURV!AG37</f>
        <v>0</v>
      </c>
    </row>
    <row r="213" customFormat="false" ht="11.25" hidden="false" customHeight="false" outlineLevel="0" collapsed="false">
      <c r="A213" s="4"/>
    </row>
    <row r="214" customFormat="false" ht="11.25" hidden="false" customHeight="false" outlineLevel="0" collapsed="false">
      <c r="A214" s="235" t="s">
        <v>496</v>
      </c>
      <c r="B214" s="43" t="s">
        <v>502</v>
      </c>
      <c r="D214" s="65"/>
    </row>
    <row r="215" customFormat="false" ht="11.25" hidden="false" customHeight="false" outlineLevel="0" collapsed="false">
      <c r="E215" s="238" t="n">
        <v>1.75</v>
      </c>
      <c r="F215" s="238" t="n">
        <f aca="false">+E215</f>
        <v>1.75</v>
      </c>
      <c r="G215" s="238" t="n">
        <f aca="false">+F215</f>
        <v>1.75</v>
      </c>
      <c r="H215" s="238" t="n">
        <f aca="false">+I212</f>
        <v>0</v>
      </c>
      <c r="I215" s="237" t="n">
        <v>0</v>
      </c>
      <c r="J215" s="237" t="n">
        <v>0</v>
      </c>
      <c r="K215" s="237" t="n">
        <v>0</v>
      </c>
      <c r="L215" s="237" t="n">
        <v>0</v>
      </c>
      <c r="M215" s="237" t="n">
        <v>0</v>
      </c>
      <c r="N215" s="237" t="n">
        <v>0</v>
      </c>
      <c r="O215" s="237" t="n">
        <v>0</v>
      </c>
      <c r="P215" s="237" t="n">
        <v>0</v>
      </c>
      <c r="Q215" s="237" t="n">
        <v>0</v>
      </c>
      <c r="R215" s="237" t="n">
        <v>0</v>
      </c>
      <c r="S215" s="237" t="n">
        <v>0</v>
      </c>
      <c r="T215" s="237" t="n">
        <v>0</v>
      </c>
      <c r="U215" s="237" t="n">
        <v>0</v>
      </c>
      <c r="V215" s="237" t="n">
        <v>0</v>
      </c>
      <c r="W215" s="237" t="n">
        <v>0</v>
      </c>
      <c r="X215" s="237" t="n">
        <v>0</v>
      </c>
      <c r="Y215" s="237" t="n">
        <v>0</v>
      </c>
      <c r="Z215" s="237" t="n">
        <v>0</v>
      </c>
      <c r="AA215" s="237" t="n">
        <v>0</v>
      </c>
      <c r="AB215" s="237" t="n">
        <v>0</v>
      </c>
      <c r="AC215" s="237" t="n">
        <v>0</v>
      </c>
    </row>
    <row r="216" customFormat="false" ht="11.25" hidden="false" customHeight="false" outlineLevel="0" collapsed="false">
      <c r="H216" s="237"/>
      <c r="I216" s="237"/>
      <c r="J216" s="237"/>
      <c r="K216" s="237"/>
      <c r="L216" s="237"/>
      <c r="M216" s="237"/>
      <c r="N216" s="237"/>
      <c r="O216" s="237"/>
      <c r="P216" s="237"/>
      <c r="Q216" s="237"/>
      <c r="R216" s="237"/>
      <c r="S216" s="237"/>
      <c r="T216" s="237"/>
      <c r="U216" s="237"/>
      <c r="V216" s="237"/>
      <c r="W216" s="237"/>
      <c r="X216" s="237"/>
      <c r="Y216" s="237"/>
      <c r="Z216" s="237"/>
      <c r="AA216" s="237"/>
      <c r="AB216" s="237"/>
      <c r="AC216" s="237"/>
    </row>
    <row r="217" customFormat="false" ht="11.25" hidden="false" customHeight="false" outlineLevel="0" collapsed="false">
      <c r="A217" s="235" t="s">
        <v>498</v>
      </c>
      <c r="B217" s="43" t="s">
        <v>503</v>
      </c>
      <c r="H217" s="237" t="n">
        <f aca="false">+H215</f>
        <v>0</v>
      </c>
      <c r="I217" s="237" t="n">
        <f aca="false">+H217*(1+I187)</f>
        <v>0</v>
      </c>
      <c r="J217" s="237" t="n">
        <f aca="false">+I217*(1+J187)</f>
        <v>0</v>
      </c>
      <c r="K217" s="237" t="n">
        <f aca="false">+J217*(1+K187)</f>
        <v>0</v>
      </c>
      <c r="L217" s="237" t="n">
        <f aca="false">+K217*(1+L187)</f>
        <v>0</v>
      </c>
      <c r="M217" s="237" t="n">
        <f aca="false">+L217*(1+M187)</f>
        <v>0</v>
      </c>
      <c r="N217" s="237" t="n">
        <f aca="false">+M217*(1+N187)</f>
        <v>0</v>
      </c>
      <c r="O217" s="237" t="n">
        <f aca="false">+N217*(1+O187)</f>
        <v>0</v>
      </c>
      <c r="P217" s="237" t="n">
        <f aca="false">+O217*(1+P187)</f>
        <v>0</v>
      </c>
      <c r="Q217" s="237" t="n">
        <f aca="false">+P217*(1+Q187)</f>
        <v>0</v>
      </c>
      <c r="R217" s="237" t="n">
        <f aca="false">+Q217*(1+R187)</f>
        <v>0</v>
      </c>
      <c r="S217" s="237" t="n">
        <f aca="false">+R217*(1+S187)</f>
        <v>0</v>
      </c>
      <c r="T217" s="237" t="n">
        <f aca="false">+S217*(1+T187)</f>
        <v>0</v>
      </c>
      <c r="U217" s="237" t="n">
        <f aca="false">+T217*(1+U187)</f>
        <v>0</v>
      </c>
      <c r="V217" s="237" t="n">
        <f aca="false">+U217*(1+V187)</f>
        <v>0</v>
      </c>
      <c r="W217" s="237" t="n">
        <f aca="false">+V217*(1+W187)</f>
        <v>0</v>
      </c>
      <c r="X217" s="237" t="n">
        <f aca="false">+W217*(1+X187)</f>
        <v>0</v>
      </c>
      <c r="Y217" s="237" t="n">
        <f aca="false">+X217*(1+Y187)</f>
        <v>0</v>
      </c>
      <c r="Z217" s="237" t="n">
        <f aca="false">+Y217*(1+Z187)</f>
        <v>0</v>
      </c>
      <c r="AA217" s="237" t="n">
        <f aca="false">+Z217*(1+AA187)</f>
        <v>0</v>
      </c>
      <c r="AB217" s="237" t="n">
        <f aca="false">+AA217*(1+AB187)</f>
        <v>0</v>
      </c>
      <c r="AC217" s="237" t="n">
        <f aca="false">+AB217*(1+AC187)</f>
        <v>0</v>
      </c>
    </row>
    <row r="218" customFormat="false" ht="11.25" hidden="false" customHeight="false" outlineLevel="0" collapsed="false">
      <c r="H218" s="237"/>
      <c r="I218" s="237"/>
      <c r="J218" s="237"/>
      <c r="K218" s="237"/>
      <c r="L218" s="237"/>
      <c r="M218" s="237"/>
      <c r="N218" s="237"/>
      <c r="O218" s="237"/>
      <c r="P218" s="237"/>
      <c r="Q218" s="237"/>
      <c r="R218" s="237"/>
      <c r="S218" s="237"/>
      <c r="T218" s="237"/>
      <c r="U218" s="237"/>
      <c r="V218" s="237"/>
      <c r="W218" s="237"/>
      <c r="X218" s="237"/>
      <c r="Y218" s="237"/>
      <c r="Z218" s="237"/>
      <c r="AA218" s="237"/>
      <c r="AB218" s="237"/>
      <c r="AC218" s="237"/>
    </row>
    <row r="219" customFormat="false" ht="11.25" hidden="false" customHeight="false" outlineLevel="0" collapsed="false">
      <c r="A219" s="235" t="s">
        <v>504</v>
      </c>
      <c r="B219" s="43" t="s">
        <v>505</v>
      </c>
      <c r="H219" s="237" t="n">
        <f aca="false">+H217</f>
        <v>0</v>
      </c>
      <c r="I219" s="237" t="n">
        <f aca="false">+H219*(1+I190)</f>
        <v>0</v>
      </c>
      <c r="J219" s="237" t="n">
        <f aca="false">+I219*(1+J190)</f>
        <v>0</v>
      </c>
      <c r="K219" s="237" t="n">
        <f aca="false">+J219*(1+K190)</f>
        <v>0</v>
      </c>
      <c r="L219" s="237" t="n">
        <f aca="false">+K219*(1+L190)</f>
        <v>0</v>
      </c>
      <c r="M219" s="237" t="n">
        <f aca="false">+L219*(1+M190)</f>
        <v>0</v>
      </c>
      <c r="N219" s="237" t="n">
        <f aca="false">+M219*(1+N190)</f>
        <v>0</v>
      </c>
      <c r="O219" s="237" t="n">
        <f aca="false">+N219*(1+O190)</f>
        <v>0</v>
      </c>
      <c r="P219" s="237" t="n">
        <f aca="false">+O219*(1+P190)</f>
        <v>0</v>
      </c>
      <c r="Q219" s="237" t="n">
        <f aca="false">+P219*(1+Q190)</f>
        <v>0</v>
      </c>
      <c r="R219" s="237" t="n">
        <f aca="false">+Q219*(1+R190)</f>
        <v>0</v>
      </c>
      <c r="S219" s="237" t="n">
        <f aca="false">+R219*(1+S190)</f>
        <v>0</v>
      </c>
      <c r="T219" s="237" t="n">
        <f aca="false">+S219*(1+T190)</f>
        <v>0</v>
      </c>
      <c r="U219" s="237" t="n">
        <f aca="false">+T219*(1+U190)</f>
        <v>0</v>
      </c>
      <c r="V219" s="237" t="n">
        <f aca="false">+U219*(1+V190)</f>
        <v>0</v>
      </c>
      <c r="W219" s="237" t="n">
        <f aca="false">+V219*(1+W190)</f>
        <v>0</v>
      </c>
      <c r="X219" s="237" t="n">
        <f aca="false">+W219*(1+X190)</f>
        <v>0</v>
      </c>
      <c r="Y219" s="237" t="n">
        <f aca="false">+X219*(1+Y190)</f>
        <v>0</v>
      </c>
      <c r="Z219" s="237" t="n">
        <f aca="false">+Y219*(1+Z190)</f>
        <v>0</v>
      </c>
      <c r="AA219" s="237" t="n">
        <f aca="false">+Z219*(1+AA190)</f>
        <v>0</v>
      </c>
      <c r="AB219" s="237" t="n">
        <f aca="false">+AA219*(1+AB190)</f>
        <v>0</v>
      </c>
      <c r="AC219" s="237" t="n">
        <f aca="false">+AB219*(1+AC190)</f>
        <v>0</v>
      </c>
    </row>
    <row r="220" customFormat="false" ht="11.25" hidden="false" customHeight="false" outlineLevel="0" collapsed="false">
      <c r="H220" s="237"/>
      <c r="I220" s="237"/>
      <c r="J220" s="237"/>
      <c r="K220" s="237"/>
      <c r="L220" s="237"/>
      <c r="M220" s="237"/>
      <c r="N220" s="237"/>
      <c r="O220" s="237"/>
      <c r="P220" s="237"/>
      <c r="Q220" s="237"/>
      <c r="R220" s="237"/>
      <c r="S220" s="237"/>
      <c r="T220" s="237"/>
      <c r="U220" s="237"/>
      <c r="V220" s="237"/>
      <c r="W220" s="237"/>
      <c r="X220" s="237"/>
      <c r="Y220" s="237"/>
      <c r="Z220" s="237"/>
      <c r="AA220" s="237"/>
      <c r="AB220" s="237"/>
      <c r="AC220" s="237"/>
    </row>
    <row r="221" customFormat="false" ht="11.25" hidden="false" customHeight="false" outlineLevel="0" collapsed="false">
      <c r="A221" s="235" t="s">
        <v>506</v>
      </c>
      <c r="B221" s="43" t="s">
        <v>507</v>
      </c>
      <c r="H221" s="237" t="n">
        <f aca="false">+H219</f>
        <v>0</v>
      </c>
      <c r="I221" s="238" t="n">
        <f aca="false">+I212</f>
        <v>0</v>
      </c>
      <c r="J221" s="238" t="n">
        <f aca="false">+J212</f>
        <v>0</v>
      </c>
      <c r="K221" s="238" t="n">
        <f aca="false">+K212</f>
        <v>0</v>
      </c>
      <c r="L221" s="238" t="n">
        <f aca="false">+L212</f>
        <v>0</v>
      </c>
      <c r="M221" s="238" t="n">
        <f aca="false">+M212</f>
        <v>0</v>
      </c>
      <c r="N221" s="238" t="n">
        <f aca="false">+N212</f>
        <v>0</v>
      </c>
      <c r="O221" s="238" t="n">
        <f aca="false">+O212</f>
        <v>0</v>
      </c>
      <c r="P221" s="238" t="n">
        <f aca="false">+P212</f>
        <v>0</v>
      </c>
      <c r="Q221" s="238" t="n">
        <f aca="false">+Q212</f>
        <v>0</v>
      </c>
      <c r="R221" s="238" t="n">
        <f aca="false">+R212</f>
        <v>0</v>
      </c>
      <c r="S221" s="238" t="n">
        <f aca="false">+S212</f>
        <v>0</v>
      </c>
      <c r="T221" s="238" t="n">
        <f aca="false">+T212</f>
        <v>0</v>
      </c>
      <c r="U221" s="238" t="n">
        <f aca="false">+U212</f>
        <v>0</v>
      </c>
      <c r="V221" s="238" t="n">
        <f aca="false">+V212</f>
        <v>0</v>
      </c>
      <c r="W221" s="238" t="n">
        <f aca="false">+W212</f>
        <v>0</v>
      </c>
      <c r="X221" s="238" t="n">
        <f aca="false">+X212</f>
        <v>0</v>
      </c>
      <c r="Y221" s="238" t="n">
        <f aca="false">+Y212</f>
        <v>0</v>
      </c>
      <c r="Z221" s="238" t="n">
        <f aca="false">+Z212</f>
        <v>0</v>
      </c>
      <c r="AA221" s="238" t="n">
        <f aca="false">+AA212</f>
        <v>0</v>
      </c>
      <c r="AB221" s="238" t="n">
        <f aca="false">+AB212</f>
        <v>0</v>
      </c>
      <c r="AC221" s="238" t="n">
        <f aca="false">+AC212</f>
        <v>0</v>
      </c>
    </row>
    <row r="222" customFormat="false" ht="11.25" hidden="false" customHeight="false" outlineLevel="0" collapsed="false">
      <c r="A222" s="235"/>
      <c r="B222" s="43"/>
      <c r="H222" s="237"/>
      <c r="I222" s="246"/>
      <c r="J222" s="246"/>
      <c r="K222" s="246"/>
      <c r="L222" s="246"/>
      <c r="M222" s="246"/>
      <c r="N222" s="246"/>
      <c r="O222" s="246"/>
      <c r="P222" s="246"/>
      <c r="Q222" s="246"/>
      <c r="R222" s="246"/>
      <c r="S222" s="246"/>
      <c r="T222" s="246"/>
      <c r="U222" s="246"/>
      <c r="V222" s="246"/>
      <c r="W222" s="246"/>
      <c r="X222" s="246"/>
      <c r="Y222" s="246"/>
      <c r="Z222" s="246"/>
      <c r="AA222" s="246"/>
      <c r="AB222" s="246"/>
      <c r="AC222" s="246"/>
    </row>
    <row r="223" customFormat="false" ht="11.25" hidden="false" customHeight="false" outlineLevel="0" collapsed="false">
      <c r="A223" s="235" t="s">
        <v>508</v>
      </c>
      <c r="B223" s="43" t="str">
        <f aca="false">B236</f>
        <v>Other:</v>
      </c>
      <c r="H223" s="237"/>
      <c r="I223" s="238" t="n">
        <v>0</v>
      </c>
      <c r="J223" s="238" t="n">
        <v>0</v>
      </c>
      <c r="K223" s="238" t="n">
        <v>0</v>
      </c>
      <c r="L223" s="238" t="n">
        <v>0</v>
      </c>
      <c r="M223" s="238" t="n">
        <v>0</v>
      </c>
      <c r="N223" s="238" t="n">
        <v>0</v>
      </c>
      <c r="O223" s="238" t="n">
        <v>0</v>
      </c>
      <c r="P223" s="238" t="n">
        <v>0</v>
      </c>
      <c r="Q223" s="238" t="n">
        <v>0</v>
      </c>
      <c r="R223" s="238" t="n">
        <v>0</v>
      </c>
      <c r="S223" s="238" t="n">
        <v>0</v>
      </c>
      <c r="T223" s="238" t="n">
        <v>0</v>
      </c>
      <c r="U223" s="238" t="n">
        <v>0</v>
      </c>
      <c r="V223" s="238" t="n">
        <v>0</v>
      </c>
      <c r="W223" s="238" t="n">
        <v>0</v>
      </c>
      <c r="X223" s="238" t="n">
        <v>0</v>
      </c>
      <c r="Y223" s="238" t="n">
        <v>0</v>
      </c>
      <c r="Z223" s="238" t="n">
        <v>0</v>
      </c>
      <c r="AA223" s="238" t="n">
        <v>0</v>
      </c>
      <c r="AB223" s="238" t="n">
        <v>0</v>
      </c>
      <c r="AC223" s="238" t="n">
        <v>0</v>
      </c>
    </row>
    <row r="224" customFormat="false" ht="12" hidden="false" customHeight="false" outlineLevel="0" collapsed="false"/>
    <row r="225" customFormat="false" ht="12" hidden="false" customHeight="false" outlineLevel="0" collapsed="false">
      <c r="A225" s="130"/>
      <c r="B225" s="130"/>
      <c r="C225" s="130"/>
      <c r="D225" s="130"/>
      <c r="E225" s="130"/>
      <c r="F225" s="130"/>
      <c r="G225" s="130"/>
      <c r="H225" s="130"/>
      <c r="I225" s="130"/>
      <c r="J225" s="130"/>
      <c r="K225" s="130"/>
      <c r="L225" s="130"/>
      <c r="M225" s="130"/>
      <c r="N225" s="130"/>
      <c r="O225" s="130"/>
      <c r="P225" s="130"/>
      <c r="Q225" s="130"/>
      <c r="R225" s="130"/>
      <c r="S225" s="130"/>
      <c r="T225" s="130"/>
      <c r="U225" s="130"/>
      <c r="V225" s="130"/>
      <c r="W225" s="130"/>
      <c r="X225" s="130"/>
      <c r="Y225" s="130"/>
      <c r="Z225" s="130"/>
      <c r="AA225" s="130"/>
      <c r="AB225" s="130"/>
      <c r="AC225" s="130"/>
    </row>
    <row r="226" customFormat="false" ht="11.25" hidden="false" customHeight="false" outlineLevel="0" collapsed="false">
      <c r="A226" s="153" t="s">
        <v>511</v>
      </c>
    </row>
    <row r="227" customFormat="false" ht="11.25" hidden="false" customHeight="false" outlineLevel="0" collapsed="false">
      <c r="A227" s="235" t="s">
        <v>488</v>
      </c>
      <c r="B227" s="43" t="s">
        <v>512</v>
      </c>
      <c r="E227" s="67" t="s">
        <v>513</v>
      </c>
      <c r="G227" s="26" t="n">
        <v>0.79</v>
      </c>
      <c r="I227" s="245" t="n">
        <f aca="false">+I212*$G227</f>
        <v>0</v>
      </c>
      <c r="J227" s="245" t="n">
        <f aca="false">+J212*$G227</f>
        <v>0</v>
      </c>
      <c r="K227" s="245" t="n">
        <f aca="false">+K212*$G227</f>
        <v>0</v>
      </c>
      <c r="L227" s="245" t="n">
        <f aca="false">+L212*$G227</f>
        <v>0</v>
      </c>
      <c r="M227" s="245" t="n">
        <f aca="false">+M212*$G227</f>
        <v>0</v>
      </c>
      <c r="N227" s="245" t="n">
        <f aca="false">+N212*$G227</f>
        <v>0</v>
      </c>
      <c r="O227" s="245" t="n">
        <f aca="false">+O212*$G227</f>
        <v>0</v>
      </c>
      <c r="P227" s="245" t="n">
        <f aca="false">+P212*$G227</f>
        <v>0</v>
      </c>
      <c r="Q227" s="245" t="n">
        <f aca="false">+Q212*$G227</f>
        <v>0</v>
      </c>
      <c r="R227" s="245" t="n">
        <f aca="false">+R212*$G227</f>
        <v>0</v>
      </c>
      <c r="S227" s="245" t="n">
        <f aca="false">+S212*$G227</f>
        <v>0</v>
      </c>
      <c r="T227" s="245" t="n">
        <f aca="false">+T212*$G227</f>
        <v>0</v>
      </c>
      <c r="U227" s="245" t="n">
        <f aca="false">+U212*$G227</f>
        <v>0</v>
      </c>
      <c r="V227" s="245" t="n">
        <f aca="false">+V212*$G227</f>
        <v>0</v>
      </c>
      <c r="W227" s="245" t="n">
        <f aca="false">+W212*$G227</f>
        <v>0</v>
      </c>
      <c r="X227" s="245" t="n">
        <f aca="false">+X212*$G227</f>
        <v>0</v>
      </c>
      <c r="Y227" s="245" t="n">
        <f aca="false">+Y212*$G227</f>
        <v>0</v>
      </c>
      <c r="Z227" s="245" t="n">
        <f aca="false">+Z212*$G227</f>
        <v>0</v>
      </c>
      <c r="AA227" s="245" t="n">
        <f aca="false">+AA212*$G227</f>
        <v>0</v>
      </c>
      <c r="AB227" s="245" t="n">
        <f aca="false">+AB212*$G227</f>
        <v>0</v>
      </c>
      <c r="AC227" s="245" t="n">
        <f aca="false">+AC212*$G227</f>
        <v>0</v>
      </c>
    </row>
    <row r="228" customFormat="false" ht="11.25" hidden="false" customHeight="false" outlineLevel="0" collapsed="false">
      <c r="A228" s="4"/>
    </row>
    <row r="229" customFormat="false" ht="11.25" hidden="false" customHeight="false" outlineLevel="0" collapsed="false">
      <c r="A229" s="235" t="s">
        <v>496</v>
      </c>
      <c r="B229" s="43" t="s">
        <v>502</v>
      </c>
      <c r="D229" s="65"/>
    </row>
    <row r="230" customFormat="false" ht="11.25" hidden="false" customHeight="false" outlineLevel="0" collapsed="false">
      <c r="E230" s="238" t="n">
        <v>1.75</v>
      </c>
      <c r="F230" s="238" t="n">
        <f aca="false">+E230</f>
        <v>1.75</v>
      </c>
      <c r="G230" s="238" t="n">
        <f aca="false">+F230</f>
        <v>1.75</v>
      </c>
      <c r="H230" s="238" t="n">
        <f aca="false">+I227</f>
        <v>0</v>
      </c>
      <c r="I230" s="237" t="n">
        <v>0</v>
      </c>
      <c r="J230" s="237" t="n">
        <v>0</v>
      </c>
      <c r="K230" s="237" t="n">
        <v>0</v>
      </c>
      <c r="L230" s="237" t="n">
        <v>0</v>
      </c>
      <c r="M230" s="237" t="n">
        <v>0</v>
      </c>
      <c r="N230" s="237" t="n">
        <v>0</v>
      </c>
      <c r="O230" s="237" t="n">
        <v>0</v>
      </c>
      <c r="P230" s="237" t="n">
        <v>0</v>
      </c>
      <c r="Q230" s="237" t="n">
        <v>0</v>
      </c>
      <c r="R230" s="237" t="n">
        <v>0</v>
      </c>
      <c r="S230" s="237" t="n">
        <v>0</v>
      </c>
      <c r="T230" s="237" t="n">
        <v>0</v>
      </c>
      <c r="U230" s="237" t="n">
        <v>0</v>
      </c>
      <c r="V230" s="237" t="n">
        <v>0</v>
      </c>
      <c r="W230" s="237" t="n">
        <v>0</v>
      </c>
      <c r="X230" s="237" t="n">
        <v>0</v>
      </c>
      <c r="Y230" s="237" t="n">
        <v>0</v>
      </c>
      <c r="Z230" s="237" t="n">
        <v>0</v>
      </c>
      <c r="AA230" s="237" t="n">
        <v>0</v>
      </c>
      <c r="AB230" s="237" t="n">
        <v>0</v>
      </c>
      <c r="AC230" s="237" t="n">
        <v>0</v>
      </c>
    </row>
    <row r="231" customFormat="false" ht="11.25" hidden="false" customHeight="false" outlineLevel="0" collapsed="false">
      <c r="H231" s="237"/>
      <c r="I231" s="237"/>
      <c r="J231" s="237"/>
      <c r="K231" s="237"/>
      <c r="L231" s="237"/>
      <c r="M231" s="237"/>
      <c r="N231" s="237"/>
      <c r="O231" s="237"/>
      <c r="P231" s="237"/>
      <c r="Q231" s="237"/>
      <c r="R231" s="237"/>
      <c r="S231" s="237"/>
      <c r="T231" s="237"/>
      <c r="U231" s="237"/>
      <c r="V231" s="237"/>
      <c r="W231" s="237"/>
      <c r="X231" s="237"/>
      <c r="Y231" s="237"/>
      <c r="Z231" s="237"/>
      <c r="AA231" s="237"/>
      <c r="AB231" s="237"/>
      <c r="AC231" s="237"/>
    </row>
    <row r="232" customFormat="false" ht="11.25" hidden="false" customHeight="false" outlineLevel="0" collapsed="false">
      <c r="A232" s="235" t="s">
        <v>498</v>
      </c>
      <c r="B232" s="43" t="s">
        <v>503</v>
      </c>
      <c r="H232" s="237" t="n">
        <f aca="false">+H230</f>
        <v>0</v>
      </c>
      <c r="I232" s="237" t="n">
        <f aca="false">+H232*(1+I187)</f>
        <v>0</v>
      </c>
      <c r="J232" s="237" t="n">
        <f aca="false">+I232*(1+J187)</f>
        <v>0</v>
      </c>
      <c r="K232" s="237" t="n">
        <f aca="false">+J232*(1+K187)</f>
        <v>0</v>
      </c>
      <c r="L232" s="237" t="n">
        <f aca="false">+K232*(1+L187)</f>
        <v>0</v>
      </c>
      <c r="M232" s="237" t="n">
        <f aca="false">+L232*(1+M187)</f>
        <v>0</v>
      </c>
      <c r="N232" s="237" t="n">
        <f aca="false">+M232*(1+N187)</f>
        <v>0</v>
      </c>
      <c r="O232" s="237" t="n">
        <f aca="false">+N232*(1+O187)</f>
        <v>0</v>
      </c>
      <c r="P232" s="237" t="n">
        <f aca="false">+O232*(1+P187)</f>
        <v>0</v>
      </c>
      <c r="Q232" s="237" t="n">
        <f aca="false">+P232*(1+Q187)</f>
        <v>0</v>
      </c>
      <c r="R232" s="237" t="n">
        <f aca="false">+Q232*(1+R187)</f>
        <v>0</v>
      </c>
      <c r="S232" s="237" t="n">
        <f aca="false">+R232*(1+S187)</f>
        <v>0</v>
      </c>
      <c r="T232" s="237" t="n">
        <f aca="false">+S232*(1+T187)</f>
        <v>0</v>
      </c>
      <c r="U232" s="237" t="n">
        <f aca="false">+T232*(1+U187)</f>
        <v>0</v>
      </c>
      <c r="V232" s="237" t="n">
        <f aca="false">+U232*(1+V187)</f>
        <v>0</v>
      </c>
      <c r="W232" s="237" t="n">
        <f aca="false">+V232*(1+W187)</f>
        <v>0</v>
      </c>
      <c r="X232" s="237" t="n">
        <f aca="false">+W232*(1+X187)</f>
        <v>0</v>
      </c>
      <c r="Y232" s="237" t="n">
        <f aca="false">+X232*(1+Y187)</f>
        <v>0</v>
      </c>
      <c r="Z232" s="237" t="n">
        <f aca="false">+Y232*(1+Z187)</f>
        <v>0</v>
      </c>
      <c r="AA232" s="237" t="n">
        <f aca="false">+Z232*(1+AA187)</f>
        <v>0</v>
      </c>
      <c r="AB232" s="237" t="n">
        <f aca="false">+AA232*(1+AB187)</f>
        <v>0</v>
      </c>
      <c r="AC232" s="237" t="n">
        <f aca="false">+AB232*(1+AC187)</f>
        <v>0</v>
      </c>
    </row>
    <row r="233" customFormat="false" ht="11.25" hidden="false" customHeight="false" outlineLevel="0" collapsed="false">
      <c r="H233" s="237"/>
      <c r="I233" s="237"/>
      <c r="J233" s="237"/>
      <c r="K233" s="237"/>
      <c r="L233" s="237"/>
      <c r="M233" s="237"/>
      <c r="N233" s="237"/>
      <c r="O233" s="237"/>
      <c r="P233" s="237"/>
      <c r="Q233" s="237"/>
      <c r="R233" s="237"/>
      <c r="S233" s="237"/>
      <c r="T233" s="237"/>
      <c r="U233" s="237"/>
      <c r="V233" s="237"/>
      <c r="W233" s="237"/>
      <c r="X233" s="237"/>
      <c r="Y233" s="237"/>
      <c r="Z233" s="237"/>
      <c r="AA233" s="237"/>
      <c r="AB233" s="237"/>
      <c r="AC233" s="237"/>
    </row>
    <row r="234" customFormat="false" ht="11.25" hidden="false" customHeight="false" outlineLevel="0" collapsed="false">
      <c r="A234" s="235" t="s">
        <v>504</v>
      </c>
      <c r="B234" s="43" t="s">
        <v>505</v>
      </c>
      <c r="H234" s="237" t="n">
        <f aca="false">+H232</f>
        <v>0</v>
      </c>
      <c r="I234" s="237" t="n">
        <f aca="false">+H234*(1+I190)</f>
        <v>0</v>
      </c>
      <c r="J234" s="237" t="n">
        <f aca="false">+I234*(1+J190)</f>
        <v>0</v>
      </c>
      <c r="K234" s="237" t="n">
        <f aca="false">+J234*(1+K190)</f>
        <v>0</v>
      </c>
      <c r="L234" s="237" t="n">
        <f aca="false">+K234*(1+L190)</f>
        <v>0</v>
      </c>
      <c r="M234" s="237" t="n">
        <f aca="false">+L234*(1+M190)</f>
        <v>0</v>
      </c>
      <c r="N234" s="237" t="n">
        <f aca="false">+M234*(1+N190)</f>
        <v>0</v>
      </c>
      <c r="O234" s="237" t="n">
        <f aca="false">+N234*(1+O190)</f>
        <v>0</v>
      </c>
      <c r="P234" s="237" t="n">
        <f aca="false">+O234*(1+P190)</f>
        <v>0</v>
      </c>
      <c r="Q234" s="237" t="n">
        <f aca="false">+P234*(1+Q190)</f>
        <v>0</v>
      </c>
      <c r="R234" s="237" t="n">
        <f aca="false">+Q234*(1+R190)</f>
        <v>0</v>
      </c>
      <c r="S234" s="237" t="n">
        <f aca="false">+R234*(1+S190)</f>
        <v>0</v>
      </c>
      <c r="T234" s="237" t="n">
        <f aca="false">+S234*(1+T190)</f>
        <v>0</v>
      </c>
      <c r="U234" s="237" t="n">
        <f aca="false">+T234*(1+U190)</f>
        <v>0</v>
      </c>
      <c r="V234" s="237" t="n">
        <f aca="false">+U234*(1+V190)</f>
        <v>0</v>
      </c>
      <c r="W234" s="237" t="n">
        <f aca="false">+V234*(1+W190)</f>
        <v>0</v>
      </c>
      <c r="X234" s="237" t="n">
        <f aca="false">+W234*(1+X190)</f>
        <v>0</v>
      </c>
      <c r="Y234" s="237" t="n">
        <f aca="false">+X234*(1+Y190)</f>
        <v>0</v>
      </c>
      <c r="Z234" s="237" t="n">
        <f aca="false">+Y234*(1+Z190)</f>
        <v>0</v>
      </c>
      <c r="AA234" s="237" t="n">
        <f aca="false">+Z234*(1+AA190)</f>
        <v>0</v>
      </c>
      <c r="AB234" s="237" t="n">
        <f aca="false">+AA234*(1+AB190)</f>
        <v>0</v>
      </c>
      <c r="AC234" s="237" t="n">
        <f aca="false">+AB234*(1+AC190)</f>
        <v>0</v>
      </c>
    </row>
    <row r="235" customFormat="false" ht="11.25" hidden="false" customHeight="false" outlineLevel="0" collapsed="false">
      <c r="H235" s="237"/>
      <c r="I235" s="237"/>
      <c r="J235" s="237"/>
      <c r="K235" s="237"/>
      <c r="L235" s="237"/>
      <c r="M235" s="237"/>
      <c r="N235" s="237"/>
      <c r="O235" s="237"/>
      <c r="P235" s="237"/>
      <c r="Q235" s="237"/>
      <c r="R235" s="237"/>
      <c r="S235" s="237"/>
      <c r="T235" s="237"/>
      <c r="U235" s="237"/>
      <c r="V235" s="237"/>
      <c r="W235" s="237"/>
      <c r="X235" s="237"/>
      <c r="Y235" s="237"/>
      <c r="Z235" s="237"/>
      <c r="AA235" s="237"/>
      <c r="AB235" s="237"/>
      <c r="AC235" s="237"/>
    </row>
    <row r="236" customFormat="false" ht="11.25" hidden="false" customHeight="false" outlineLevel="0" collapsed="false">
      <c r="A236" s="235" t="s">
        <v>506</v>
      </c>
      <c r="B236" s="43" t="s">
        <v>206</v>
      </c>
      <c r="H236" s="237" t="n">
        <f aca="false">+H234</f>
        <v>0</v>
      </c>
      <c r="I236" s="238" t="n">
        <v>0</v>
      </c>
      <c r="J236" s="238" t="n">
        <v>0</v>
      </c>
      <c r="K236" s="238" t="n">
        <v>0</v>
      </c>
      <c r="L236" s="238" t="n">
        <v>0</v>
      </c>
      <c r="M236" s="238" t="n">
        <v>0</v>
      </c>
      <c r="N236" s="238" t="n">
        <v>0</v>
      </c>
      <c r="O236" s="238" t="n">
        <v>0</v>
      </c>
      <c r="P236" s="238" t="n">
        <v>0</v>
      </c>
      <c r="Q236" s="238" t="n">
        <v>0</v>
      </c>
      <c r="R236" s="238" t="n">
        <v>0</v>
      </c>
      <c r="S236" s="238" t="n">
        <v>0</v>
      </c>
      <c r="T236" s="238" t="n">
        <v>0</v>
      </c>
      <c r="U236" s="238" t="n">
        <v>0</v>
      </c>
      <c r="V236" s="238" t="n">
        <v>0</v>
      </c>
      <c r="W236" s="238" t="n">
        <v>0</v>
      </c>
      <c r="X236" s="238" t="n">
        <v>0</v>
      </c>
      <c r="Y236" s="238" t="n">
        <v>0</v>
      </c>
      <c r="Z236" s="238" t="n">
        <v>0</v>
      </c>
      <c r="AA236" s="238" t="n">
        <v>0</v>
      </c>
      <c r="AB236" s="238" t="n">
        <v>0</v>
      </c>
      <c r="AC236" s="238" t="n">
        <v>0</v>
      </c>
    </row>
    <row r="237" customFormat="false" ht="11.25" hidden="false" customHeight="false" outlineLevel="0" collapsed="false">
      <c r="A237" s="153"/>
    </row>
    <row r="238" customFormat="false" ht="12" hidden="false" customHeight="false" outlineLevel="0" collapsed="false">
      <c r="A238" s="80"/>
      <c r="B238" s="80"/>
      <c r="C238" s="80"/>
      <c r="D238" s="80"/>
      <c r="E238" s="80"/>
      <c r="F238" s="80"/>
      <c r="G238" s="80"/>
      <c r="H238" s="80"/>
      <c r="I238" s="80"/>
      <c r="J238" s="80"/>
      <c r="K238" s="80"/>
      <c r="L238" s="80"/>
      <c r="M238" s="80"/>
      <c r="N238" s="80"/>
      <c r="O238" s="80"/>
      <c r="P238" s="80"/>
      <c r="Q238" s="80"/>
      <c r="R238" s="80"/>
      <c r="S238" s="80"/>
      <c r="T238" s="80"/>
      <c r="U238" s="80"/>
      <c r="V238" s="80"/>
      <c r="W238" s="80"/>
      <c r="X238" s="80"/>
      <c r="Y238" s="80"/>
      <c r="Z238" s="80"/>
      <c r="AA238" s="80"/>
      <c r="AB238" s="80"/>
      <c r="AC238" s="80"/>
    </row>
    <row r="239" customFormat="false" ht="12.75" hidden="false" customHeight="false" outlineLevel="0" collapsed="false">
      <c r="A239" s="79"/>
      <c r="B239" s="79"/>
      <c r="C239" s="79"/>
      <c r="D239" s="79"/>
      <c r="E239" s="79"/>
      <c r="F239" s="79"/>
      <c r="G239" s="79"/>
      <c r="H239" s="79"/>
      <c r="I239" s="79"/>
      <c r="J239" s="79"/>
      <c r="K239" s="79"/>
      <c r="L239" s="79"/>
      <c r="M239" s="79"/>
      <c r="N239" s="79"/>
      <c r="O239" s="79"/>
      <c r="P239" s="79"/>
      <c r="Q239" s="79"/>
      <c r="R239" s="79"/>
      <c r="S239" s="79"/>
      <c r="T239" s="79"/>
      <c r="U239" s="79"/>
      <c r="V239" s="79"/>
      <c r="W239" s="79"/>
      <c r="X239" s="79"/>
      <c r="Y239" s="79"/>
      <c r="Z239" s="79"/>
      <c r="AA239" s="79"/>
      <c r="AB239" s="79"/>
      <c r="AC239" s="79"/>
    </row>
    <row r="240" customFormat="false" ht="12.75" hidden="false" customHeight="false" outlineLevel="0" collapsed="false">
      <c r="A240" s="4" t="s">
        <v>172</v>
      </c>
      <c r="B240" s="35"/>
      <c r="C240" s="35"/>
      <c r="D240" s="35"/>
      <c r="E240" s="81" t="str">
        <f aca="false">+E3</f>
        <v>1996 </v>
      </c>
      <c r="F240" s="81" t="str">
        <f aca="false">+F3</f>
        <v>1997 </v>
      </c>
      <c r="G240" s="81" t="str">
        <f aca="false">+G3</f>
        <v>1998 </v>
      </c>
      <c r="H240" s="81" t="str">
        <f aca="false">+H3</f>
        <v>6 M/1999 </v>
      </c>
      <c r="I240" s="81" t="str">
        <f aca="false">+I$3</f>
        <v>6 M/1999 </v>
      </c>
      <c r="J240" s="81" t="n">
        <f aca="false">+J$3</f>
        <v>2000</v>
      </c>
      <c r="K240" s="81" t="n">
        <f aca="false">+K$3</f>
        <v>2001</v>
      </c>
      <c r="L240" s="81" t="n">
        <f aca="false">+L$3</f>
        <v>2002</v>
      </c>
      <c r="M240" s="81" t="n">
        <f aca="false">+M$3</f>
        <v>2003</v>
      </c>
      <c r="N240" s="81" t="n">
        <f aca="false">+N$3</f>
        <v>2004</v>
      </c>
      <c r="O240" s="81" t="n">
        <f aca="false">+O$3</f>
        <v>2005</v>
      </c>
      <c r="P240" s="81" t="n">
        <f aca="false">+P$3</f>
        <v>2006</v>
      </c>
      <c r="Q240" s="81" t="n">
        <f aca="false">+Q$3</f>
        <v>2007</v>
      </c>
      <c r="R240" s="81" t="n">
        <f aca="false">+R$3</f>
        <v>2008</v>
      </c>
      <c r="S240" s="81" t="n">
        <f aca="false">+S$3</f>
        <v>2009</v>
      </c>
      <c r="T240" s="81" t="n">
        <f aca="false">+T$3</f>
        <v>2010</v>
      </c>
      <c r="U240" s="81" t="n">
        <f aca="false">+U$3</f>
        <v>2011</v>
      </c>
      <c r="V240" s="81" t="n">
        <f aca="false">+V$3</f>
        <v>2012</v>
      </c>
      <c r="W240" s="81" t="n">
        <f aca="false">+W$3</f>
        <v>2013</v>
      </c>
      <c r="X240" s="81" t="n">
        <f aca="false">+X$3</f>
        <v>2014</v>
      </c>
      <c r="Y240" s="81" t="n">
        <f aca="false">+Y$3</f>
        <v>2015</v>
      </c>
      <c r="Z240" s="81" t="n">
        <f aca="false">+Z$3</f>
        <v>2016</v>
      </c>
      <c r="AA240" s="81" t="n">
        <f aca="false">+AA$3</f>
        <v>2017</v>
      </c>
      <c r="AB240" s="81" t="n">
        <f aca="false">+AB$3</f>
        <v>2018</v>
      </c>
      <c r="AC240" s="81" t="n">
        <f aca="false">+AC$3</f>
        <v>2019</v>
      </c>
    </row>
    <row r="241" customFormat="false" ht="12" hidden="false" customHeight="false" outlineLevel="0" collapsed="false">
      <c r="A241" s="4"/>
      <c r="B241" s="35"/>
      <c r="C241" s="35"/>
      <c r="D241" s="35"/>
      <c r="E241" s="108"/>
      <c r="F241" s="108"/>
      <c r="G241" s="108"/>
      <c r="H241" s="247"/>
      <c r="I241" s="247"/>
      <c r="J241" s="108"/>
      <c r="K241" s="108"/>
      <c r="L241" s="108"/>
      <c r="M241" s="108"/>
      <c r="N241" s="108"/>
      <c r="O241" s="108"/>
      <c r="P241" s="108"/>
      <c r="Q241" s="108"/>
      <c r="R241" s="108"/>
      <c r="S241" s="108"/>
      <c r="T241" s="108"/>
      <c r="U241" s="108"/>
      <c r="V241" s="108"/>
      <c r="W241" s="108"/>
      <c r="X241" s="108"/>
      <c r="Y241" s="108"/>
      <c r="Z241" s="108"/>
      <c r="AA241" s="108"/>
      <c r="AB241" s="108"/>
      <c r="AC241" s="108"/>
    </row>
    <row r="242" customFormat="false" ht="12.75" hidden="false" customHeight="false" outlineLevel="0" collapsed="false">
      <c r="A242" s="107" t="str">
        <f aca="false">+C10</f>
        <v>PDP</v>
      </c>
      <c r="B242" s="35"/>
      <c r="C242" s="35"/>
      <c r="D242" s="35"/>
      <c r="E242" s="248" t="s">
        <v>514</v>
      </c>
      <c r="F242" s="249" t="n">
        <v>0.24</v>
      </c>
      <c r="G242" s="248"/>
      <c r="H242" s="250"/>
      <c r="I242" s="250"/>
      <c r="J242" s="250"/>
      <c r="K242" s="250"/>
      <c r="L242" s="250"/>
      <c r="M242" s="250"/>
      <c r="N242" s="250"/>
      <c r="O242" s="250"/>
      <c r="P242" s="250"/>
      <c r="Q242" s="250"/>
      <c r="R242" s="250"/>
      <c r="S242" s="250"/>
      <c r="T242" s="250"/>
      <c r="U242" s="250"/>
      <c r="V242" s="250"/>
      <c r="W242" s="250"/>
      <c r="X242" s="250"/>
      <c r="Y242" s="250"/>
      <c r="Z242" s="250"/>
      <c r="AA242" s="250"/>
      <c r="AB242" s="250"/>
      <c r="AC242" s="250"/>
    </row>
    <row r="243" customFormat="false" ht="11.25" hidden="false" customHeight="false" outlineLevel="0" collapsed="false">
      <c r="A243" s="251" t="s">
        <v>174</v>
      </c>
      <c r="B243" s="43" t="s">
        <v>515</v>
      </c>
      <c r="C243" s="35"/>
      <c r="D243" s="35"/>
      <c r="E243" s="252" t="s">
        <v>516</v>
      </c>
      <c r="F243" s="253" t="n">
        <v>400</v>
      </c>
      <c r="G243" s="252"/>
      <c r="I243" s="45" t="n">
        <f aca="false">(((($F$243-($F$243/EXP($F$242)))*365)/2)/$F$242)*(1/1000)</f>
        <v>64.9006922589234</v>
      </c>
      <c r="J243" s="45" t="n">
        <f aca="false">((($F$243-($F$243/EXP($F$242)))*365)/$F$242)*(1/1000)</f>
        <v>129.801384517847</v>
      </c>
      <c r="K243" s="45" t="n">
        <f aca="false">+J243/EXP($F$242)</f>
        <v>102.105385466751</v>
      </c>
      <c r="L243" s="45" t="n">
        <f aca="false">+K243/EXP($F$242)</f>
        <v>80.3189409730863</v>
      </c>
      <c r="M243" s="45" t="n">
        <f aca="false">+L243/EXP($F$242)</f>
        <v>63.1811167407896</v>
      </c>
      <c r="N243" s="45" t="n">
        <f aca="false">+M243/EXP($F$242)</f>
        <v>49.7000267216036</v>
      </c>
      <c r="O243" s="45" t="n">
        <f aca="false">+N243/EXP($F$242)</f>
        <v>39.0954257149656</v>
      </c>
      <c r="P243" s="45" t="n">
        <f aca="false">+O243/EXP($F$242)</f>
        <v>30.7535511076497</v>
      </c>
      <c r="Q243" s="45" t="n">
        <f aca="false">+P243/EXP($F$242)</f>
        <v>24.1916001280114</v>
      </c>
      <c r="R243" s="45" t="n">
        <f aca="false">+Q243/EXP($F$242)</f>
        <v>19.029786664475</v>
      </c>
      <c r="S243" s="45" t="n">
        <f aca="false">+R243/EXP($F$242)</f>
        <v>14.9693603804288</v>
      </c>
      <c r="T243" s="45" t="n">
        <f aca="false">+S243/EXP($F$242)</f>
        <v>11.7753159375911</v>
      </c>
      <c r="U243" s="45" t="n">
        <f aca="false">+T243/EXP($F$242)</f>
        <v>9.26279158937017</v>
      </c>
      <c r="V243" s="45" t="n">
        <f aca="false">+U243/EXP($F$242)</f>
        <v>7.28636993545152</v>
      </c>
      <c r="W243" s="45" t="n">
        <f aca="false">+V243/EXP($F$242)</f>
        <v>5.73166159726387</v>
      </c>
      <c r="X243" s="45" t="n">
        <f aca="false">+W243/EXP($F$242)</f>
        <v>4.50868470261298</v>
      </c>
      <c r="Y243" s="45" t="n">
        <f aca="false">+X243/EXP($F$242)</f>
        <v>3.54665700383994</v>
      </c>
      <c r="Z243" s="45" t="n">
        <f aca="false">+Y243/EXP($F$242)</f>
        <v>2.78989921286732</v>
      </c>
      <c r="AA243" s="45" t="n">
        <f aca="false">+Z243/EXP($F$242)</f>
        <v>2.19461245040908</v>
      </c>
      <c r="AB243" s="45" t="n">
        <f aca="false">+AA243/EXP($F$242)</f>
        <v>1.72634329773532</v>
      </c>
      <c r="AC243" s="45" t="n">
        <f aca="false">+AB243/EXP($F$242)</f>
        <v>1.35798973576412</v>
      </c>
    </row>
    <row r="244" customFormat="false" ht="11.25" hidden="false" customHeight="false" outlineLevel="0" collapsed="false">
      <c r="A244" s="251"/>
      <c r="B244" s="43" t="s">
        <v>517</v>
      </c>
      <c r="C244" s="35"/>
      <c r="D244" s="35"/>
      <c r="I244" s="26" t="n">
        <v>1</v>
      </c>
      <c r="J244" s="26" t="n">
        <f aca="false">I244</f>
        <v>1</v>
      </c>
      <c r="K244" s="26" t="n">
        <f aca="false">J244</f>
        <v>1</v>
      </c>
      <c r="L244" s="26" t="n">
        <f aca="false">K244</f>
        <v>1</v>
      </c>
      <c r="M244" s="26" t="n">
        <f aca="false">L244</f>
        <v>1</v>
      </c>
      <c r="N244" s="26" t="n">
        <f aca="false">M244</f>
        <v>1</v>
      </c>
      <c r="O244" s="26" t="n">
        <f aca="false">N244</f>
        <v>1</v>
      </c>
      <c r="P244" s="26" t="n">
        <f aca="false">O244</f>
        <v>1</v>
      </c>
      <c r="Q244" s="26" t="n">
        <f aca="false">P244</f>
        <v>1</v>
      </c>
      <c r="R244" s="26" t="n">
        <f aca="false">Q244</f>
        <v>1</v>
      </c>
      <c r="S244" s="26" t="n">
        <f aca="false">R244</f>
        <v>1</v>
      </c>
      <c r="T244" s="26" t="n">
        <f aca="false">S244</f>
        <v>1</v>
      </c>
      <c r="U244" s="26" t="n">
        <f aca="false">T244</f>
        <v>1</v>
      </c>
      <c r="V244" s="26" t="n">
        <f aca="false">U244</f>
        <v>1</v>
      </c>
      <c r="W244" s="26" t="n">
        <f aca="false">V244</f>
        <v>1</v>
      </c>
      <c r="X244" s="26" t="n">
        <f aca="false">W244</f>
        <v>1</v>
      </c>
      <c r="Y244" s="26" t="n">
        <f aca="false">X244</f>
        <v>1</v>
      </c>
      <c r="Z244" s="26" t="n">
        <f aca="false">Y244</f>
        <v>1</v>
      </c>
      <c r="AA244" s="26" t="n">
        <f aca="false">Z244</f>
        <v>1</v>
      </c>
      <c r="AB244" s="26" t="n">
        <f aca="false">AA244</f>
        <v>1</v>
      </c>
      <c r="AC244" s="26" t="n">
        <f aca="false">AB244</f>
        <v>1</v>
      </c>
    </row>
    <row r="245" customFormat="false" ht="11.25" hidden="false" customHeight="false" outlineLevel="0" collapsed="false">
      <c r="A245" s="251"/>
      <c r="B245" s="43" t="s">
        <v>518</v>
      </c>
      <c r="C245" s="35"/>
      <c r="D245" s="35"/>
      <c r="I245" s="120" t="n">
        <f aca="false">+I243*I244</f>
        <v>64.9006922589234</v>
      </c>
      <c r="J245" s="120" t="n">
        <f aca="false">+J243*J244</f>
        <v>129.801384517847</v>
      </c>
      <c r="K245" s="120" t="n">
        <f aca="false">+K243*K244</f>
        <v>102.105385466751</v>
      </c>
      <c r="L245" s="120" t="n">
        <f aca="false">+L243*L244</f>
        <v>80.3189409730863</v>
      </c>
      <c r="M245" s="120" t="n">
        <f aca="false">+M243*M244</f>
        <v>63.1811167407896</v>
      </c>
      <c r="N245" s="120" t="n">
        <f aca="false">+N243*N244</f>
        <v>49.7000267216036</v>
      </c>
      <c r="O245" s="120" t="n">
        <f aca="false">+O243*O244</f>
        <v>39.0954257149656</v>
      </c>
      <c r="P245" s="120" t="n">
        <f aca="false">+P243*P244</f>
        <v>30.7535511076497</v>
      </c>
      <c r="Q245" s="120" t="n">
        <f aca="false">+Q243*Q244</f>
        <v>24.1916001280114</v>
      </c>
      <c r="R245" s="120" t="n">
        <f aca="false">+R243*R244</f>
        <v>19.029786664475</v>
      </c>
      <c r="S245" s="120" t="n">
        <f aca="false">+S243*S244</f>
        <v>14.9693603804288</v>
      </c>
      <c r="T245" s="120" t="n">
        <f aca="false">+T243*T244</f>
        <v>11.7753159375911</v>
      </c>
      <c r="U245" s="120" t="n">
        <f aca="false">+U243*U244</f>
        <v>9.26279158937017</v>
      </c>
      <c r="V245" s="120" t="n">
        <f aca="false">+V243*V244</f>
        <v>7.28636993545152</v>
      </c>
      <c r="W245" s="120" t="n">
        <f aca="false">+W243*W244</f>
        <v>5.73166159726387</v>
      </c>
      <c r="X245" s="120" t="n">
        <f aca="false">+X243*X244</f>
        <v>4.50868470261298</v>
      </c>
      <c r="Y245" s="120" t="n">
        <f aca="false">+Y243*Y244</f>
        <v>3.54665700383994</v>
      </c>
      <c r="Z245" s="120" t="n">
        <f aca="false">+Z243*Z244</f>
        <v>2.78989921286732</v>
      </c>
      <c r="AA245" s="120" t="n">
        <f aca="false">+AA243*AA244</f>
        <v>2.19461245040908</v>
      </c>
      <c r="AB245" s="120" t="n">
        <f aca="false">+AB243*AB244</f>
        <v>1.72634329773532</v>
      </c>
      <c r="AC245" s="120" t="n">
        <f aca="false">+AC243*AC244</f>
        <v>1.35798973576412</v>
      </c>
    </row>
    <row r="246" customFormat="false" ht="12.75" hidden="false" customHeight="false" outlineLevel="0" collapsed="false">
      <c r="A246" s="107"/>
      <c r="B246" s="35" t="s">
        <v>176</v>
      </c>
      <c r="C246" s="35"/>
      <c r="D246" s="35"/>
      <c r="I246" s="26" t="n">
        <v>1</v>
      </c>
      <c r="J246" s="26" t="n">
        <f aca="false">I246</f>
        <v>1</v>
      </c>
      <c r="K246" s="26" t="n">
        <f aca="false">J246</f>
        <v>1</v>
      </c>
      <c r="L246" s="26" t="n">
        <f aca="false">K246</f>
        <v>1</v>
      </c>
      <c r="M246" s="26" t="n">
        <f aca="false">L246</f>
        <v>1</v>
      </c>
      <c r="N246" s="26" t="n">
        <f aca="false">M246</f>
        <v>1</v>
      </c>
      <c r="O246" s="26" t="n">
        <f aca="false">N246</f>
        <v>1</v>
      </c>
      <c r="P246" s="26" t="n">
        <f aca="false">O246</f>
        <v>1</v>
      </c>
      <c r="Q246" s="26" t="n">
        <f aca="false">P246</f>
        <v>1</v>
      </c>
      <c r="R246" s="26" t="n">
        <f aca="false">Q246</f>
        <v>1</v>
      </c>
      <c r="S246" s="26" t="n">
        <f aca="false">R246</f>
        <v>1</v>
      </c>
      <c r="T246" s="26" t="n">
        <f aca="false">S246</f>
        <v>1</v>
      </c>
      <c r="U246" s="26" t="n">
        <f aca="false">T246</f>
        <v>1</v>
      </c>
      <c r="V246" s="26" t="n">
        <f aca="false">U246</f>
        <v>1</v>
      </c>
      <c r="W246" s="26" t="n">
        <f aca="false">V246</f>
        <v>1</v>
      </c>
      <c r="X246" s="26" t="n">
        <f aca="false">W246</f>
        <v>1</v>
      </c>
      <c r="Y246" s="26" t="n">
        <f aca="false">X246</f>
        <v>1</v>
      </c>
      <c r="Z246" s="26" t="n">
        <f aca="false">Y246</f>
        <v>1</v>
      </c>
      <c r="AA246" s="26" t="n">
        <f aca="false">Z246</f>
        <v>1</v>
      </c>
      <c r="AB246" s="26" t="n">
        <f aca="false">AA246</f>
        <v>1</v>
      </c>
      <c r="AC246" s="26" t="n">
        <f aca="false">AB246</f>
        <v>1</v>
      </c>
    </row>
    <row r="247" customFormat="false" ht="11.25" hidden="false" customHeight="false" outlineLevel="0" collapsed="false">
      <c r="B247" s="43" t="s">
        <v>519</v>
      </c>
      <c r="C247" s="35"/>
      <c r="D247" s="35"/>
      <c r="E247" s="254" t="n">
        <v>0</v>
      </c>
      <c r="F247" s="254" t="n">
        <v>0</v>
      </c>
      <c r="G247" s="254" t="n">
        <v>0</v>
      </c>
      <c r="H247" s="254" t="n">
        <v>0</v>
      </c>
      <c r="I247" s="120" t="n">
        <f aca="false">+I245*I246</f>
        <v>64.9006922589234</v>
      </c>
      <c r="J247" s="120" t="n">
        <f aca="false">+J245*J246</f>
        <v>129.801384517847</v>
      </c>
      <c r="K247" s="120" t="n">
        <f aca="false">+K245*K246</f>
        <v>102.105385466751</v>
      </c>
      <c r="L247" s="120" t="n">
        <f aca="false">+L245*L246</f>
        <v>80.3189409730863</v>
      </c>
      <c r="M247" s="120" t="n">
        <f aca="false">+M245*M246</f>
        <v>63.1811167407896</v>
      </c>
      <c r="N247" s="120" t="n">
        <f aca="false">+N245*N246</f>
        <v>49.7000267216036</v>
      </c>
      <c r="O247" s="120" t="n">
        <f aca="false">+O245*O246</f>
        <v>39.0954257149656</v>
      </c>
      <c r="P247" s="120" t="n">
        <f aca="false">+P245*P246</f>
        <v>30.7535511076497</v>
      </c>
      <c r="Q247" s="120" t="n">
        <f aca="false">+Q245*Q246</f>
        <v>24.1916001280114</v>
      </c>
      <c r="R247" s="120" t="n">
        <f aca="false">+R245*R246</f>
        <v>19.029786664475</v>
      </c>
      <c r="S247" s="120" t="n">
        <f aca="false">+S245*S246</f>
        <v>14.9693603804288</v>
      </c>
      <c r="T247" s="120" t="n">
        <f aca="false">+T245*T246</f>
        <v>11.7753159375911</v>
      </c>
      <c r="U247" s="120" t="n">
        <f aca="false">+U245*U246</f>
        <v>9.26279158937017</v>
      </c>
      <c r="V247" s="120" t="n">
        <f aca="false">+V245*V246</f>
        <v>7.28636993545152</v>
      </c>
      <c r="W247" s="120" t="n">
        <f aca="false">+W245*W246</f>
        <v>5.73166159726387</v>
      </c>
      <c r="X247" s="120" t="n">
        <f aca="false">+X245*X246</f>
        <v>4.50868470261298</v>
      </c>
      <c r="Y247" s="120" t="n">
        <f aca="false">+Y245*Y246</f>
        <v>3.54665700383994</v>
      </c>
      <c r="Z247" s="120" t="n">
        <f aca="false">+Z245*Z246</f>
        <v>2.78989921286732</v>
      </c>
      <c r="AA247" s="120" t="n">
        <f aca="false">+AA245*AA246</f>
        <v>2.19461245040908</v>
      </c>
      <c r="AB247" s="120" t="n">
        <f aca="false">+AB245*AB246</f>
        <v>1.72634329773532</v>
      </c>
      <c r="AC247" s="120" t="n">
        <f aca="false">+AC245*AC246</f>
        <v>1.35798973576412</v>
      </c>
      <c r="AD247" s="67" t="n">
        <f aca="false">SUM(E247:AC247)</f>
        <v>668.227596137436</v>
      </c>
    </row>
    <row r="248" customFormat="false" ht="11.25" hidden="false" customHeight="false" outlineLevel="0" collapsed="false">
      <c r="C248" s="35"/>
      <c r="D248" s="35"/>
    </row>
    <row r="249" customFormat="false" ht="11.25" hidden="false" customHeight="false" outlineLevel="0" collapsed="false">
      <c r="A249" s="109"/>
      <c r="B249" s="43" t="s">
        <v>520</v>
      </c>
      <c r="D249" s="102" t="n">
        <v>5</v>
      </c>
      <c r="E249" s="12"/>
      <c r="F249" s="12"/>
      <c r="G249" s="12"/>
      <c r="H249" s="12"/>
      <c r="I249" s="112" t="n">
        <f aca="false">IF($D249=1,I$212,IF($D249=2,I$215,IF($D249=3,I$217,IF($D249=4,I$219,IF($D249=5,I$221,IF($D249=6,I$223,I$212))))))</f>
        <v>0</v>
      </c>
      <c r="J249" s="112" t="n">
        <f aca="false">IF($D249=1,J$212,IF($D249=2,J$215,IF($D249=3,J$217,IF($D249=4,J$219,IF($D249=5,J$221,IF($D249=6,J$223,J$212))))))</f>
        <v>0</v>
      </c>
      <c r="K249" s="112" t="n">
        <f aca="false">IF($D249=1,K$212,IF($D249=2,K$215,IF($D249=3,K$217,IF($D249=4,K$219,IF($D249=5,K$221,IF($D249=6,K$223,K$212))))))</f>
        <v>0</v>
      </c>
      <c r="L249" s="112" t="n">
        <f aca="false">IF($D249=1,L$212,IF($D249=2,L$215,IF($D249=3,L$217,IF($D249=4,L$219,IF($D249=5,L$221,IF($D249=6,L$223,L$212))))))</f>
        <v>0</v>
      </c>
      <c r="M249" s="112" t="n">
        <f aca="false">IF($D249=1,M$212,IF($D249=2,M$215,IF($D249=3,M$217,IF($D249=4,M$219,IF($D249=5,M$221,IF($D249=6,M$223,M$212))))))</f>
        <v>0</v>
      </c>
      <c r="N249" s="112" t="n">
        <f aca="false">IF($D249=1,N$212,IF($D249=2,N$215,IF($D249=3,N$217,IF($D249=4,N$219,IF($D249=5,N$221,IF($D249=6,N$223,N$212))))))</f>
        <v>0</v>
      </c>
      <c r="O249" s="112" t="n">
        <f aca="false">IF($D249=1,O$212,IF($D249=2,O$215,IF($D249=3,O$217,IF($D249=4,O$219,IF($D249=5,O$221,IF($D249=6,O$223,O$212))))))</f>
        <v>0</v>
      </c>
      <c r="P249" s="112" t="n">
        <f aca="false">IF($D249=1,P$212,IF($D249=2,P$215,IF($D249=3,P$217,IF($D249=4,P$219,IF($D249=5,P$221,IF($D249=6,P$223,P$212))))))</f>
        <v>0</v>
      </c>
      <c r="Q249" s="112" t="n">
        <f aca="false">IF($D249=1,Q$212,IF($D249=2,Q$215,IF($D249=3,Q$217,IF($D249=4,Q$219,IF($D249=5,Q$221,IF($D249=6,Q$223,Q$212))))))</f>
        <v>0</v>
      </c>
      <c r="R249" s="112" t="n">
        <f aca="false">IF($D249=1,R$212,IF($D249=2,R$215,IF($D249=3,R$217,IF($D249=4,R$219,IF($D249=5,R$221,IF($D249=6,R$223,R$212))))))</f>
        <v>0</v>
      </c>
      <c r="S249" s="112" t="n">
        <f aca="false">IF($D249=1,S$212,IF($D249=2,S$215,IF($D249=3,S$217,IF($D249=4,S$219,IF($D249=5,S$221,IF($D249=6,S$223,S$212))))))</f>
        <v>0</v>
      </c>
      <c r="T249" s="112" t="n">
        <f aca="false">IF($D249=1,T$212,IF($D249=2,T$215,IF($D249=3,T$217,IF($D249=4,T$219,IF($D249=5,T$221,IF($D249=6,T$223,T$212))))))</f>
        <v>0</v>
      </c>
      <c r="U249" s="112" t="n">
        <f aca="false">IF($D249=1,U$212,IF($D249=2,U$215,IF($D249=3,U$217,IF($D249=4,U$219,IF($D249=5,U$221,IF($D249=6,U$223,U$212))))))</f>
        <v>0</v>
      </c>
      <c r="V249" s="112" t="n">
        <f aca="false">IF($D249=1,V$212,IF($D249=2,V$215,IF($D249=3,V$217,IF($D249=4,V$219,IF($D249=5,V$221,IF($D249=6,V$223,V$212))))))</f>
        <v>0</v>
      </c>
      <c r="W249" s="112" t="n">
        <f aca="false">IF($D249=1,W$212,IF($D249=2,W$215,IF($D249=3,W$217,IF($D249=4,W$219,IF($D249=5,W$221,IF($D249=6,W$223,W$212))))))</f>
        <v>0</v>
      </c>
      <c r="X249" s="112" t="n">
        <f aca="false">IF($D249=1,X$212,IF($D249=2,X$215,IF($D249=3,X$217,IF($D249=4,X$219,IF($D249=5,X$221,IF($D249=6,X$223,X$212))))))</f>
        <v>0</v>
      </c>
      <c r="Y249" s="112" t="n">
        <f aca="false">IF($D249=1,Y$212,IF($D249=2,Y$215,IF($D249=3,Y$217,IF($D249=4,Y$219,IF($D249=5,Y$221,IF($D249=6,Y$223,Y$212))))))</f>
        <v>0</v>
      </c>
      <c r="Z249" s="112" t="n">
        <f aca="false">IF($D249=1,Z$212,IF($D249=2,Z$215,IF($D249=3,Z$217,IF($D249=4,Z$219,IF($D249=5,Z$221,IF($D249=6,Z$223,Z$212))))))</f>
        <v>0</v>
      </c>
      <c r="AA249" s="112" t="n">
        <f aca="false">IF($D249=1,AA$212,IF($D249=2,AA$215,IF($D249=3,AA$217,IF($D249=4,AA$219,IF($D249=5,AA$221,IF($D249=6,AA$223,AA$212))))))</f>
        <v>0</v>
      </c>
      <c r="AB249" s="112" t="n">
        <f aca="false">IF($D249=1,AB$212,IF($D249=2,AB$215,IF($D249=3,AB$217,IF($D249=4,AB$219,IF($D249=5,AB$221,IF($D249=6,AB$223,AB$212))))))</f>
        <v>0</v>
      </c>
      <c r="AC249" s="112" t="n">
        <f aca="false">IF($D249=1,AC$212,IF($D249=2,AC$215,IF($D249=3,AC$217,IF($D249=4,AC$219,IF($D249=5,AC$221,IF($D249=6,AC$223,AC$212))))))</f>
        <v>0</v>
      </c>
    </row>
    <row r="250" customFormat="false" ht="11.25" hidden="false" customHeight="false" outlineLevel="0" collapsed="false">
      <c r="A250" s="109"/>
      <c r="B250" s="43" t="s">
        <v>179</v>
      </c>
      <c r="D250" s="35"/>
      <c r="E250" s="255"/>
      <c r="F250" s="255"/>
      <c r="G250" s="255"/>
      <c r="H250" s="256"/>
      <c r="I250" s="99" t="n">
        <v>-2.375</v>
      </c>
      <c r="J250" s="99" t="n">
        <f aca="false">I250</f>
        <v>-2.375</v>
      </c>
      <c r="K250" s="99" t="n">
        <f aca="false">J250</f>
        <v>-2.375</v>
      </c>
      <c r="L250" s="99" t="n">
        <f aca="false">K250</f>
        <v>-2.375</v>
      </c>
      <c r="M250" s="99" t="n">
        <f aca="false">L250</f>
        <v>-2.375</v>
      </c>
      <c r="N250" s="99" t="n">
        <f aca="false">M250</f>
        <v>-2.375</v>
      </c>
      <c r="O250" s="99" t="n">
        <f aca="false">N250</f>
        <v>-2.375</v>
      </c>
      <c r="P250" s="99" t="n">
        <f aca="false">O250</f>
        <v>-2.375</v>
      </c>
      <c r="Q250" s="99" t="n">
        <f aca="false">P250</f>
        <v>-2.375</v>
      </c>
      <c r="R250" s="99" t="n">
        <f aca="false">Q250</f>
        <v>-2.375</v>
      </c>
      <c r="S250" s="99" t="n">
        <f aca="false">R250</f>
        <v>-2.375</v>
      </c>
      <c r="T250" s="99" t="n">
        <f aca="false">S250</f>
        <v>-2.375</v>
      </c>
      <c r="U250" s="99" t="n">
        <f aca="false">T250</f>
        <v>-2.375</v>
      </c>
      <c r="V250" s="99" t="n">
        <f aca="false">U250</f>
        <v>-2.375</v>
      </c>
      <c r="W250" s="99" t="n">
        <f aca="false">V250</f>
        <v>-2.375</v>
      </c>
      <c r="X250" s="99" t="n">
        <f aca="false">W250</f>
        <v>-2.375</v>
      </c>
      <c r="Y250" s="99" t="n">
        <f aca="false">X250</f>
        <v>-2.375</v>
      </c>
      <c r="Z250" s="99" t="n">
        <f aca="false">Y250</f>
        <v>-2.375</v>
      </c>
      <c r="AA250" s="99" t="n">
        <f aca="false">Z250</f>
        <v>-2.375</v>
      </c>
      <c r="AB250" s="99" t="n">
        <f aca="false">AA250</f>
        <v>-2.375</v>
      </c>
      <c r="AC250" s="99" t="n">
        <f aca="false">AB250</f>
        <v>-2.375</v>
      </c>
    </row>
    <row r="251" customFormat="false" ht="11.25" hidden="false" customHeight="false" outlineLevel="0" collapsed="false">
      <c r="A251" s="109"/>
      <c r="B251" s="43" t="s">
        <v>180</v>
      </c>
      <c r="D251" s="35"/>
      <c r="E251" s="245" t="n">
        <v>0</v>
      </c>
      <c r="F251" s="245" t="n">
        <v>0</v>
      </c>
      <c r="G251" s="245" t="n">
        <v>15.93</v>
      </c>
      <c r="H251" s="245" t="n">
        <v>16.341</v>
      </c>
      <c r="I251" s="257" t="n">
        <f aca="false">+I249+I250</f>
        <v>-2.375</v>
      </c>
      <c r="J251" s="257" t="n">
        <f aca="false">+J249+J250</f>
        <v>-2.375</v>
      </c>
      <c r="K251" s="257" t="n">
        <f aca="false">+K249+K250</f>
        <v>-2.375</v>
      </c>
      <c r="L251" s="257" t="n">
        <f aca="false">+L249+L250</f>
        <v>-2.375</v>
      </c>
      <c r="M251" s="257" t="n">
        <f aca="false">+M249+M250</f>
        <v>-2.375</v>
      </c>
      <c r="N251" s="257" t="n">
        <f aca="false">+N249+N250</f>
        <v>-2.375</v>
      </c>
      <c r="O251" s="257" t="n">
        <f aca="false">+O249+O250</f>
        <v>-2.375</v>
      </c>
      <c r="P251" s="257" t="n">
        <f aca="false">+P249+P250</f>
        <v>-2.375</v>
      </c>
      <c r="Q251" s="257" t="n">
        <f aca="false">+Q249+Q250</f>
        <v>-2.375</v>
      </c>
      <c r="R251" s="257" t="n">
        <f aca="false">+R249+R250</f>
        <v>-2.375</v>
      </c>
      <c r="S251" s="257" t="n">
        <f aca="false">+S249+S250</f>
        <v>-2.375</v>
      </c>
      <c r="T251" s="257" t="n">
        <f aca="false">+T249+T250</f>
        <v>-2.375</v>
      </c>
      <c r="U251" s="257" t="n">
        <f aca="false">+U249+U250</f>
        <v>-2.375</v>
      </c>
      <c r="V251" s="257" t="n">
        <f aca="false">+V249+V250</f>
        <v>-2.375</v>
      </c>
      <c r="W251" s="257" t="n">
        <f aca="false">+W249+W250</f>
        <v>-2.375</v>
      </c>
      <c r="X251" s="257" t="n">
        <f aca="false">+X249+X250</f>
        <v>-2.375</v>
      </c>
      <c r="Y251" s="257" t="n">
        <f aca="false">+Y249+Y250</f>
        <v>-2.375</v>
      </c>
      <c r="Z251" s="257" t="n">
        <f aca="false">+Z249+Z250</f>
        <v>-2.375</v>
      </c>
      <c r="AA251" s="257" t="n">
        <f aca="false">+AA249+AA250</f>
        <v>-2.375</v>
      </c>
      <c r="AB251" s="257" t="n">
        <f aca="false">+AB249+AB250</f>
        <v>-2.375</v>
      </c>
      <c r="AC251" s="257" t="n">
        <f aca="false">+AC249+AC250</f>
        <v>-2.375</v>
      </c>
    </row>
    <row r="252" customFormat="false" ht="11.25" hidden="false" customHeight="false" outlineLevel="0" collapsed="false">
      <c r="A252" s="109"/>
      <c r="B252" s="35" t="str">
        <f aca="false">+"Oil Revenue ($"&amp;$F$5</f>
        <v>Oil Revenue ($Thousands)</v>
      </c>
      <c r="D252" s="35"/>
      <c r="E252" s="116" t="n">
        <f aca="false">E247*E251*1000/unit</f>
        <v>0</v>
      </c>
      <c r="F252" s="116" t="n">
        <f aca="false">F247*F251*1000/unit</f>
        <v>0</v>
      </c>
      <c r="G252" s="116" t="n">
        <f aca="false">G247*G251*1000/unit</f>
        <v>0</v>
      </c>
      <c r="H252" s="116" t="n">
        <f aca="false">H247*H251*1000/unit</f>
        <v>0</v>
      </c>
      <c r="I252" s="116" t="n">
        <f aca="false">I247*I251*1000/unit</f>
        <v>-154.139144114943</v>
      </c>
      <c r="J252" s="116" t="n">
        <f aca="false">J247*J251*1000/unit</f>
        <v>-308.278288229886</v>
      </c>
      <c r="K252" s="116" t="n">
        <f aca="false">K247*K251*1000/unit</f>
        <v>-242.500290483534</v>
      </c>
      <c r="L252" s="116" t="n">
        <f aca="false">L247*L251*1000/unit</f>
        <v>-190.75748481108</v>
      </c>
      <c r="M252" s="116" t="n">
        <f aca="false">M247*M251*1000/unit</f>
        <v>-150.055152259375</v>
      </c>
      <c r="N252" s="116" t="n">
        <f aca="false">N247*N251*1000/unit</f>
        <v>-118.037563463808</v>
      </c>
      <c r="O252" s="116" t="n">
        <f aca="false">O247*O251*1000/unit</f>
        <v>-92.8516360730432</v>
      </c>
      <c r="P252" s="116" t="n">
        <f aca="false">P247*P251*1000/unit</f>
        <v>-73.039683880668</v>
      </c>
      <c r="Q252" s="116" t="n">
        <f aca="false">Q247*Q251*1000/unit</f>
        <v>-57.4550503040271</v>
      </c>
      <c r="R252" s="116" t="n">
        <f aca="false">R247*R251*1000/unit</f>
        <v>-45.1957433281281</v>
      </c>
      <c r="S252" s="116" t="n">
        <f aca="false">S247*S251*1000/unit</f>
        <v>-35.5522309035183</v>
      </c>
      <c r="T252" s="116" t="n">
        <f aca="false">T247*T251*1000/unit</f>
        <v>-27.9663753517788</v>
      </c>
      <c r="U252" s="116" t="n">
        <f aca="false">U247*U251*1000/unit</f>
        <v>-21.9991300247542</v>
      </c>
      <c r="V252" s="116" t="n">
        <f aca="false">V247*V251*1000/unit</f>
        <v>-17.3051285966974</v>
      </c>
      <c r="W252" s="116" t="n">
        <f aca="false">W247*W251*1000/unit</f>
        <v>-13.6126962935017</v>
      </c>
      <c r="X252" s="116" t="n">
        <f aca="false">X247*X251*1000/unit</f>
        <v>-10.7081261687058</v>
      </c>
      <c r="Y252" s="116" t="n">
        <f aca="false">Y247*Y251*1000/unit</f>
        <v>-8.42331038411986</v>
      </c>
      <c r="Z252" s="116" t="n">
        <f aca="false">Z247*Z251*1000/unit</f>
        <v>-6.62601063055989</v>
      </c>
      <c r="AA252" s="116" t="n">
        <f aca="false">AA247*AA251*1000/unit</f>
        <v>-5.21220456972157</v>
      </c>
      <c r="AB252" s="116" t="n">
        <f aca="false">AB247*AB251*1000/unit</f>
        <v>-4.1000653321214</v>
      </c>
      <c r="AC252" s="116" t="n">
        <f aca="false">AC247*AC251*1000/unit</f>
        <v>-3.22522562243978</v>
      </c>
    </row>
    <row r="253" customFormat="false" ht="11.25" hidden="false" customHeight="false" outlineLevel="0" collapsed="false">
      <c r="A253" s="109"/>
      <c r="B253" s="35"/>
      <c r="D253" s="35"/>
      <c r="E253" s="108"/>
      <c r="F253" s="108"/>
      <c r="G253" s="108"/>
      <c r="H253" s="258"/>
      <c r="I253" s="258"/>
      <c r="J253" s="258"/>
      <c r="K253" s="258"/>
      <c r="L253" s="258"/>
      <c r="M253" s="258"/>
      <c r="N253" s="258"/>
      <c r="O253" s="258"/>
      <c r="P253" s="258"/>
      <c r="Q253" s="258"/>
      <c r="R253" s="258"/>
      <c r="S253" s="258"/>
      <c r="T253" s="258"/>
      <c r="U253" s="258"/>
      <c r="V253" s="258"/>
      <c r="W253" s="258"/>
      <c r="X253" s="258"/>
      <c r="Y253" s="203"/>
      <c r="Z253" s="203"/>
      <c r="AA253" s="203"/>
      <c r="AB253" s="203"/>
      <c r="AC253" s="203"/>
    </row>
    <row r="254" customFormat="false" ht="11.25" hidden="false" customHeight="false" outlineLevel="0" collapsed="false">
      <c r="A254" s="109"/>
      <c r="B254" s="35"/>
      <c r="D254" s="35"/>
      <c r="E254" s="259"/>
      <c r="F254" s="259"/>
      <c r="G254" s="259"/>
      <c r="H254" s="258"/>
      <c r="I254" s="258"/>
      <c r="J254" s="258"/>
      <c r="K254" s="258"/>
      <c r="L254" s="258"/>
      <c r="M254" s="258"/>
      <c r="N254" s="258"/>
      <c r="O254" s="258"/>
      <c r="P254" s="258"/>
      <c r="Q254" s="258"/>
      <c r="R254" s="258"/>
      <c r="S254" s="258"/>
      <c r="T254" s="258"/>
      <c r="U254" s="258"/>
      <c r="V254" s="258"/>
      <c r="W254" s="258"/>
      <c r="X254" s="258"/>
      <c r="Y254" s="203"/>
      <c r="Z254" s="203"/>
      <c r="AA254" s="203"/>
      <c r="AB254" s="203"/>
      <c r="AC254" s="203"/>
    </row>
    <row r="255" customFormat="false" ht="11.25" hidden="false" customHeight="false" outlineLevel="0" collapsed="false">
      <c r="A255" s="109"/>
      <c r="B255" s="35"/>
      <c r="D255" s="35"/>
      <c r="E255" s="248" t="s">
        <v>514</v>
      </c>
      <c r="F255" s="249" t="n">
        <v>0.15</v>
      </c>
      <c r="G255" s="248"/>
      <c r="H255" s="258"/>
      <c r="I255" s="258"/>
      <c r="J255" s="258"/>
      <c r="K255" s="258"/>
      <c r="L255" s="258"/>
      <c r="M255" s="258"/>
      <c r="N255" s="258"/>
      <c r="O255" s="258"/>
      <c r="P255" s="258"/>
      <c r="Q255" s="258"/>
      <c r="R255" s="258"/>
      <c r="S255" s="258"/>
      <c r="T255" s="258"/>
      <c r="U255" s="258"/>
      <c r="V255" s="258"/>
      <c r="W255" s="258"/>
      <c r="X255" s="258"/>
      <c r="Y255" s="203"/>
      <c r="Z255" s="203"/>
      <c r="AA255" s="203"/>
      <c r="AB255" s="203"/>
      <c r="AC255" s="203"/>
    </row>
    <row r="256" customFormat="false" ht="11.25" hidden="false" customHeight="false" outlineLevel="0" collapsed="false">
      <c r="A256" s="109" t="s">
        <v>181</v>
      </c>
      <c r="B256" s="43" t="s">
        <v>521</v>
      </c>
      <c r="D256" s="35"/>
      <c r="E256" s="252" t="s">
        <v>516</v>
      </c>
      <c r="F256" s="253" t="n">
        <v>5500</v>
      </c>
      <c r="G256" s="252"/>
      <c r="H256" s="258"/>
      <c r="I256" s="45" t="n">
        <f aca="false">(((($F$256-($F$256/EXP($F$255)))*365)/2)/$F$255)*(1/1000)</f>
        <v>932.095791088988</v>
      </c>
      <c r="J256" s="45" t="n">
        <f aca="false">((($F$256-($F$256/EXP($F$255)))*365)/$F$255)*(1/1000)</f>
        <v>1864.19158217798</v>
      </c>
      <c r="K256" s="45" t="n">
        <f aca="false">J256/EXP($F$255)</f>
        <v>1604.52456436503</v>
      </c>
      <c r="L256" s="45" t="n">
        <f aca="false">K256/EXP($F$255)</f>
        <v>1381.02709091892</v>
      </c>
      <c r="M256" s="45" t="n">
        <f aca="false">L256/EXP($F$255)</f>
        <v>1188.66103281301</v>
      </c>
      <c r="N256" s="45" t="n">
        <f aca="false">M256/EXP($F$255)</f>
        <v>1023.09003220781</v>
      </c>
      <c r="O256" s="45" t="n">
        <f aca="false">N256/EXP($F$255)</f>
        <v>880.581751322229</v>
      </c>
      <c r="P256" s="45" t="n">
        <f aca="false">O256/EXP($F$255)</f>
        <v>757.923737257389</v>
      </c>
      <c r="Q256" s="45" t="n">
        <f aca="false">P256/EXP($F$255)</f>
        <v>652.351006179325</v>
      </c>
      <c r="R256" s="45" t="n">
        <f aca="false">Q256/EXP($F$255)</f>
        <v>561.483714447457</v>
      </c>
      <c r="S256" s="45" t="n">
        <f aca="false">R256/EXP($F$255)</f>
        <v>483.273511657696</v>
      </c>
      <c r="T256" s="45" t="n">
        <f aca="false">S256/EXP($F$255)</f>
        <v>415.957366278727</v>
      </c>
      <c r="U256" s="45" t="n">
        <f aca="false">T256/EXP($F$255)</f>
        <v>358.01782300886</v>
      </c>
      <c r="V256" s="45" t="n">
        <f aca="false">U256/EXP($F$255)</f>
        <v>308.14879596606</v>
      </c>
      <c r="W256" s="45" t="n">
        <f aca="false">V256/EXP($F$255)</f>
        <v>265.226126613766</v>
      </c>
      <c r="X256" s="45" t="n">
        <f aca="false">W256/EXP($F$255)</f>
        <v>228.28224273279</v>
      </c>
      <c r="Y256" s="45" t="n">
        <f aca="false">X256/EXP($F$255)</f>
        <v>196.484347196314</v>
      </c>
      <c r="Z256" s="45" t="n">
        <f aca="false">Y256/EXP($F$255)</f>
        <v>169.115644874538</v>
      </c>
      <c r="AA256" s="45" t="n">
        <f aca="false">Z256/EXP($F$255)</f>
        <v>145.559184481782</v>
      </c>
      <c r="AB256" s="45" t="n">
        <f aca="false">AA256/EXP($F$255)</f>
        <v>125.283951125396</v>
      </c>
      <c r="AC256" s="45" t="n">
        <f aca="false">AB256/EXP($F$255)</f>
        <v>107.832896051676</v>
      </c>
      <c r="AD256" s="45"/>
    </row>
    <row r="257" customFormat="false" ht="11.25" hidden="false" customHeight="false" outlineLevel="0" collapsed="false">
      <c r="B257" s="43" t="s">
        <v>517</v>
      </c>
      <c r="D257" s="35"/>
      <c r="E257" s="260"/>
      <c r="F257" s="260"/>
      <c r="G257" s="260"/>
      <c r="H257" s="258"/>
      <c r="I257" s="26" t="n">
        <v>1</v>
      </c>
      <c r="J257" s="26" t="n">
        <f aca="false">I257</f>
        <v>1</v>
      </c>
      <c r="K257" s="26" t="n">
        <f aca="false">J257</f>
        <v>1</v>
      </c>
      <c r="L257" s="26" t="n">
        <f aca="false">K257</f>
        <v>1</v>
      </c>
      <c r="M257" s="26" t="n">
        <f aca="false">L257</f>
        <v>1</v>
      </c>
      <c r="N257" s="26" t="n">
        <f aca="false">M257</f>
        <v>1</v>
      </c>
      <c r="O257" s="26" t="n">
        <f aca="false">N257</f>
        <v>1</v>
      </c>
      <c r="P257" s="26" t="n">
        <f aca="false">O257</f>
        <v>1</v>
      </c>
      <c r="Q257" s="26" t="n">
        <f aca="false">P257</f>
        <v>1</v>
      </c>
      <c r="R257" s="26" t="n">
        <f aca="false">Q257</f>
        <v>1</v>
      </c>
      <c r="S257" s="26" t="n">
        <f aca="false">R257</f>
        <v>1</v>
      </c>
      <c r="T257" s="26" t="n">
        <f aca="false">S257</f>
        <v>1</v>
      </c>
      <c r="U257" s="26" t="n">
        <f aca="false">T257</f>
        <v>1</v>
      </c>
      <c r="V257" s="26" t="n">
        <f aca="false">U257</f>
        <v>1</v>
      </c>
      <c r="W257" s="26" t="n">
        <f aca="false">V257</f>
        <v>1</v>
      </c>
      <c r="X257" s="26" t="n">
        <f aca="false">W257</f>
        <v>1</v>
      </c>
      <c r="Y257" s="26" t="n">
        <f aca="false">X257</f>
        <v>1</v>
      </c>
      <c r="Z257" s="26" t="n">
        <f aca="false">Y257</f>
        <v>1</v>
      </c>
      <c r="AA257" s="26" t="n">
        <f aca="false">Z257</f>
        <v>1</v>
      </c>
      <c r="AB257" s="26" t="n">
        <f aca="false">AA257</f>
        <v>1</v>
      </c>
      <c r="AC257" s="26" t="n">
        <f aca="false">AB257</f>
        <v>1</v>
      </c>
    </row>
    <row r="258" customFormat="false" ht="11.25" hidden="false" customHeight="false" outlineLevel="0" collapsed="false">
      <c r="B258" s="43" t="s">
        <v>522</v>
      </c>
      <c r="D258" s="35"/>
      <c r="I258" s="120" t="n">
        <f aca="false">+I256*I257</f>
        <v>932.095791088988</v>
      </c>
      <c r="J258" s="120" t="n">
        <f aca="false">+J256*J257</f>
        <v>1864.19158217798</v>
      </c>
      <c r="K258" s="120" t="n">
        <f aca="false">+K256*K257</f>
        <v>1604.52456436503</v>
      </c>
      <c r="L258" s="120" t="n">
        <f aca="false">+L256*L257</f>
        <v>1381.02709091892</v>
      </c>
      <c r="M258" s="120" t="n">
        <f aca="false">+M256*M257</f>
        <v>1188.66103281301</v>
      </c>
      <c r="N258" s="120" t="n">
        <f aca="false">+N256*N257</f>
        <v>1023.09003220781</v>
      </c>
      <c r="O258" s="120" t="n">
        <f aca="false">+O256*O257</f>
        <v>880.581751322229</v>
      </c>
      <c r="P258" s="120" t="n">
        <f aca="false">+P256*P257</f>
        <v>757.923737257389</v>
      </c>
      <c r="Q258" s="120" t="n">
        <f aca="false">+Q256*Q257</f>
        <v>652.351006179325</v>
      </c>
      <c r="R258" s="120" t="n">
        <f aca="false">+R256*R257</f>
        <v>561.483714447457</v>
      </c>
      <c r="S258" s="120" t="n">
        <f aca="false">+S256*S257</f>
        <v>483.273511657696</v>
      </c>
      <c r="T258" s="120" t="n">
        <f aca="false">+T256*T257</f>
        <v>415.957366278727</v>
      </c>
      <c r="U258" s="120" t="n">
        <f aca="false">+U256*U257</f>
        <v>358.01782300886</v>
      </c>
      <c r="V258" s="120" t="n">
        <f aca="false">+V256*V257</f>
        <v>308.14879596606</v>
      </c>
      <c r="W258" s="120" t="n">
        <f aca="false">+W256*W257</f>
        <v>265.226126613766</v>
      </c>
      <c r="X258" s="120" t="n">
        <f aca="false">+X256*X257</f>
        <v>228.28224273279</v>
      </c>
      <c r="Y258" s="120" t="n">
        <f aca="false">+Y256*Y257</f>
        <v>196.484347196314</v>
      </c>
      <c r="Z258" s="120" t="n">
        <f aca="false">+Z256*Z257</f>
        <v>169.115644874538</v>
      </c>
      <c r="AA258" s="120" t="n">
        <f aca="false">+AA256*AA257</f>
        <v>145.559184481782</v>
      </c>
      <c r="AB258" s="120" t="n">
        <f aca="false">+AB256*AB257</f>
        <v>125.283951125396</v>
      </c>
      <c r="AC258" s="120" t="n">
        <f aca="false">+AC256*AC257</f>
        <v>107.832896051676</v>
      </c>
    </row>
    <row r="259" customFormat="false" ht="11.25" hidden="false" customHeight="false" outlineLevel="0" collapsed="false">
      <c r="A259" s="109"/>
      <c r="B259" s="35" t="s">
        <v>176</v>
      </c>
      <c r="D259" s="35"/>
      <c r="I259" s="26" t="n">
        <v>1</v>
      </c>
      <c r="J259" s="26" t="n">
        <f aca="false">I259</f>
        <v>1</v>
      </c>
      <c r="K259" s="26" t="n">
        <f aca="false">J259</f>
        <v>1</v>
      </c>
      <c r="L259" s="26" t="n">
        <f aca="false">K259</f>
        <v>1</v>
      </c>
      <c r="M259" s="26" t="n">
        <f aca="false">L259</f>
        <v>1</v>
      </c>
      <c r="N259" s="26" t="n">
        <f aca="false">M259</f>
        <v>1</v>
      </c>
      <c r="O259" s="26" t="n">
        <f aca="false">N259</f>
        <v>1</v>
      </c>
      <c r="P259" s="26" t="n">
        <f aca="false">O259</f>
        <v>1</v>
      </c>
      <c r="Q259" s="26" t="n">
        <f aca="false">P259</f>
        <v>1</v>
      </c>
      <c r="R259" s="26" t="n">
        <f aca="false">Q259</f>
        <v>1</v>
      </c>
      <c r="S259" s="26" t="n">
        <f aca="false">R259</f>
        <v>1</v>
      </c>
      <c r="T259" s="26" t="n">
        <f aca="false">S259</f>
        <v>1</v>
      </c>
      <c r="U259" s="26" t="n">
        <f aca="false">T259</f>
        <v>1</v>
      </c>
      <c r="V259" s="26" t="n">
        <f aca="false">U259</f>
        <v>1</v>
      </c>
      <c r="W259" s="26" t="n">
        <f aca="false">V259</f>
        <v>1</v>
      </c>
      <c r="X259" s="26" t="n">
        <f aca="false">W259</f>
        <v>1</v>
      </c>
      <c r="Y259" s="26" t="n">
        <f aca="false">X259</f>
        <v>1</v>
      </c>
      <c r="Z259" s="26" t="n">
        <f aca="false">Y259</f>
        <v>1</v>
      </c>
      <c r="AA259" s="26" t="n">
        <f aca="false">Z259</f>
        <v>1</v>
      </c>
      <c r="AB259" s="26" t="n">
        <f aca="false">AA259</f>
        <v>1</v>
      </c>
      <c r="AC259" s="26" t="n">
        <f aca="false">AB259</f>
        <v>1</v>
      </c>
    </row>
    <row r="260" customFormat="false" ht="11.25" hidden="false" customHeight="false" outlineLevel="0" collapsed="false">
      <c r="B260" s="43" t="s">
        <v>183</v>
      </c>
      <c r="E260" s="254" t="n">
        <v>0</v>
      </c>
      <c r="F260" s="254" t="n">
        <v>0</v>
      </c>
      <c r="G260" s="254" t="n">
        <v>0</v>
      </c>
      <c r="H260" s="254" t="n">
        <v>0</v>
      </c>
      <c r="I260" s="120" t="n">
        <f aca="false">+I258*I259</f>
        <v>932.095791088988</v>
      </c>
      <c r="J260" s="120" t="n">
        <f aca="false">+J258*J259</f>
        <v>1864.19158217798</v>
      </c>
      <c r="K260" s="120" t="n">
        <f aca="false">+K258*K259</f>
        <v>1604.52456436503</v>
      </c>
      <c r="L260" s="120" t="n">
        <f aca="false">+L258*L259</f>
        <v>1381.02709091892</v>
      </c>
      <c r="M260" s="120" t="n">
        <f aca="false">+M258*M259</f>
        <v>1188.66103281301</v>
      </c>
      <c r="N260" s="120" t="n">
        <f aca="false">+N258*N259</f>
        <v>1023.09003220781</v>
      </c>
      <c r="O260" s="120" t="n">
        <f aca="false">+O258*O259</f>
        <v>880.581751322229</v>
      </c>
      <c r="P260" s="120" t="n">
        <f aca="false">+P258*P259</f>
        <v>757.923737257389</v>
      </c>
      <c r="Q260" s="120" t="n">
        <f aca="false">+Q258*Q259</f>
        <v>652.351006179325</v>
      </c>
      <c r="R260" s="120" t="n">
        <f aca="false">+R258*R259</f>
        <v>561.483714447457</v>
      </c>
      <c r="S260" s="120" t="n">
        <f aca="false">+S258*S259</f>
        <v>483.273511657696</v>
      </c>
      <c r="T260" s="120" t="n">
        <f aca="false">+T258*T259</f>
        <v>415.957366278727</v>
      </c>
      <c r="U260" s="120" t="n">
        <f aca="false">+U258*U259</f>
        <v>358.01782300886</v>
      </c>
      <c r="V260" s="120" t="n">
        <f aca="false">+V258*V259</f>
        <v>308.14879596606</v>
      </c>
      <c r="W260" s="120" t="n">
        <f aca="false">+W258*W259</f>
        <v>265.226126613766</v>
      </c>
      <c r="X260" s="120" t="n">
        <f aca="false">+X258*X259</f>
        <v>228.28224273279</v>
      </c>
      <c r="Y260" s="120" t="n">
        <f aca="false">+Y258*Y259</f>
        <v>196.484347196314</v>
      </c>
      <c r="Z260" s="120" t="n">
        <f aca="false">+Z258*Z259</f>
        <v>169.115644874538</v>
      </c>
      <c r="AA260" s="120" t="n">
        <f aca="false">+AA258*AA259</f>
        <v>145.559184481782</v>
      </c>
      <c r="AB260" s="120" t="n">
        <f aca="false">+AB258*AB259</f>
        <v>125.283951125396</v>
      </c>
      <c r="AC260" s="120" t="n">
        <f aca="false">+AC258*AC259</f>
        <v>107.832896051676</v>
      </c>
      <c r="AD260" s="67" t="n">
        <f aca="false">SUM(E260:AC260)</f>
        <v>13649.1121927657</v>
      </c>
    </row>
    <row r="261" customFormat="false" ht="11.25" hidden="false" customHeight="false" outlineLevel="0" collapsed="false">
      <c r="A261" s="109"/>
      <c r="B261" s="43" t="s">
        <v>187</v>
      </c>
      <c r="D261" s="261" t="s">
        <v>157</v>
      </c>
      <c r="E261" s="262" t="s">
        <v>184</v>
      </c>
      <c r="F261" s="262" t="s">
        <v>185</v>
      </c>
      <c r="G261" s="262" t="s">
        <v>186</v>
      </c>
      <c r="H261" s="258"/>
      <c r="I261" s="258"/>
      <c r="J261" s="258"/>
      <c r="K261" s="258"/>
      <c r="L261" s="258"/>
      <c r="M261" s="258"/>
      <c r="N261" s="258"/>
      <c r="O261" s="258"/>
      <c r="P261" s="258"/>
      <c r="Q261" s="258"/>
      <c r="R261" s="258"/>
      <c r="S261" s="258"/>
      <c r="T261" s="258"/>
      <c r="U261" s="258"/>
      <c r="V261" s="258"/>
      <c r="W261" s="258"/>
      <c r="X261" s="258"/>
      <c r="Y261" s="258"/>
      <c r="Z261" s="258"/>
      <c r="AA261" s="258"/>
      <c r="AB261" s="258"/>
      <c r="AC261" s="258"/>
    </row>
    <row r="262" customFormat="false" ht="11.25" hidden="false" customHeight="false" outlineLevel="0" collapsed="false">
      <c r="A262" s="109"/>
      <c r="D262" s="100" t="s">
        <v>162</v>
      </c>
      <c r="E262" s="263"/>
      <c r="F262" s="263"/>
      <c r="G262" s="263"/>
      <c r="H262" s="258"/>
      <c r="I262" s="264" t="n">
        <v>1</v>
      </c>
      <c r="J262" s="264" t="n">
        <v>1</v>
      </c>
      <c r="K262" s="264" t="n">
        <v>1</v>
      </c>
      <c r="L262" s="264" t="n">
        <v>1</v>
      </c>
      <c r="M262" s="264" t="n">
        <v>1</v>
      </c>
      <c r="N262" s="264" t="n">
        <v>1</v>
      </c>
      <c r="O262" s="264" t="n">
        <v>1</v>
      </c>
      <c r="P262" s="264" t="n">
        <v>1</v>
      </c>
      <c r="Q262" s="264" t="n">
        <v>1</v>
      </c>
      <c r="R262" s="264" t="n">
        <v>1</v>
      </c>
      <c r="S262" s="264" t="n">
        <v>1</v>
      </c>
      <c r="T262" s="264" t="n">
        <v>1</v>
      </c>
      <c r="U262" s="264" t="n">
        <v>1</v>
      </c>
      <c r="V262" s="264" t="n">
        <v>1</v>
      </c>
      <c r="W262" s="264" t="n">
        <v>1</v>
      </c>
      <c r="X262" s="264" t="n">
        <v>1</v>
      </c>
      <c r="Y262" s="264" t="n">
        <v>1</v>
      </c>
      <c r="Z262" s="264" t="n">
        <v>1</v>
      </c>
      <c r="AA262" s="264" t="n">
        <v>1</v>
      </c>
      <c r="AB262" s="264" t="n">
        <v>1</v>
      </c>
      <c r="AC262" s="264" t="n">
        <v>1</v>
      </c>
    </row>
    <row r="263" customFormat="false" ht="11.25" hidden="false" customHeight="false" outlineLevel="0" collapsed="false">
      <c r="A263" s="109"/>
      <c r="B263" s="43" t="s">
        <v>188</v>
      </c>
      <c r="E263" s="254" t="n">
        <v>0</v>
      </c>
      <c r="F263" s="254" t="n">
        <v>0</v>
      </c>
      <c r="G263" s="254" t="n">
        <v>0</v>
      </c>
      <c r="H263" s="254" t="n">
        <v>0</v>
      </c>
      <c r="I263" s="116" t="n">
        <f aca="false">+I262*I260</f>
        <v>932.095791088988</v>
      </c>
      <c r="J263" s="116" t="n">
        <f aca="false">+J262*J260</f>
        <v>1864.19158217798</v>
      </c>
      <c r="K263" s="116" t="n">
        <f aca="false">+K262*K260</f>
        <v>1604.52456436503</v>
      </c>
      <c r="L263" s="116" t="n">
        <f aca="false">+L262*L260</f>
        <v>1381.02709091892</v>
      </c>
      <c r="M263" s="116" t="n">
        <f aca="false">+M262*M260</f>
        <v>1188.66103281301</v>
      </c>
      <c r="N263" s="116" t="n">
        <f aca="false">+N262*N260</f>
        <v>1023.09003220781</v>
      </c>
      <c r="O263" s="116" t="n">
        <f aca="false">+O262*O260</f>
        <v>880.581751322229</v>
      </c>
      <c r="P263" s="116" t="n">
        <f aca="false">+P262*P260</f>
        <v>757.923737257389</v>
      </c>
      <c r="Q263" s="116" t="n">
        <f aca="false">+Q262*Q260</f>
        <v>652.351006179325</v>
      </c>
      <c r="R263" s="116" t="n">
        <f aca="false">+R262*R260</f>
        <v>561.483714447457</v>
      </c>
      <c r="S263" s="116" t="n">
        <f aca="false">+S262*S260</f>
        <v>483.273511657696</v>
      </c>
      <c r="T263" s="116" t="n">
        <f aca="false">+T262*T260</f>
        <v>415.957366278727</v>
      </c>
      <c r="U263" s="116" t="n">
        <f aca="false">+U262*U260</f>
        <v>358.01782300886</v>
      </c>
      <c r="V263" s="116" t="n">
        <f aca="false">+V262*V260</f>
        <v>308.14879596606</v>
      </c>
      <c r="W263" s="116" t="n">
        <f aca="false">+W262*W260</f>
        <v>265.226126613766</v>
      </c>
      <c r="X263" s="116" t="n">
        <f aca="false">+X262*X260</f>
        <v>228.28224273279</v>
      </c>
      <c r="Y263" s="116" t="n">
        <f aca="false">+Y262*Y260</f>
        <v>196.484347196314</v>
      </c>
      <c r="Z263" s="116" t="n">
        <f aca="false">+Z262*Z260</f>
        <v>169.115644874538</v>
      </c>
      <c r="AA263" s="116" t="n">
        <f aca="false">+AA262*AA260</f>
        <v>145.559184481782</v>
      </c>
      <c r="AB263" s="116" t="n">
        <f aca="false">+AB262*AB260</f>
        <v>125.283951125396</v>
      </c>
      <c r="AC263" s="116" t="n">
        <f aca="false">+AC262*AC260</f>
        <v>107.832896051676</v>
      </c>
    </row>
    <row r="264" customFormat="false" ht="11.25" hidden="false" customHeight="false" outlineLevel="0" collapsed="false">
      <c r="A264" s="109"/>
      <c r="B264" s="43"/>
      <c r="D264" s="35"/>
      <c r="E264" s="258"/>
      <c r="F264" s="258"/>
      <c r="G264" s="258"/>
      <c r="H264" s="258"/>
      <c r="I264" s="258"/>
      <c r="J264" s="258"/>
      <c r="K264" s="258"/>
      <c r="L264" s="258"/>
      <c r="M264" s="258"/>
      <c r="N264" s="258"/>
      <c r="O264" s="258"/>
      <c r="P264" s="258"/>
      <c r="Q264" s="258"/>
      <c r="R264" s="258"/>
      <c r="S264" s="258"/>
      <c r="T264" s="258"/>
      <c r="U264" s="258"/>
      <c r="V264" s="258"/>
      <c r="W264" s="258"/>
      <c r="X264" s="258"/>
      <c r="Y264" s="258"/>
      <c r="Z264" s="258"/>
      <c r="AA264" s="258"/>
      <c r="AB264" s="258"/>
      <c r="AC264" s="258"/>
    </row>
    <row r="265" customFormat="false" ht="11.25" hidden="false" customHeight="false" outlineLevel="0" collapsed="false">
      <c r="A265" s="109"/>
      <c r="B265" s="43" t="s">
        <v>523</v>
      </c>
      <c r="D265" s="102" t="n">
        <v>5</v>
      </c>
      <c r="E265" s="12"/>
      <c r="F265" s="12"/>
      <c r="G265" s="12"/>
      <c r="H265" s="12"/>
      <c r="I265" s="123" t="n">
        <f aca="false">IF($D265=1,I$197,IF($D265=2,I$200,IF($D265=3,I$202,IF($D265=4,I$204,IF($D265=5,I$206,IF($D265=5,I$208,I$197))))))</f>
        <v>0</v>
      </c>
      <c r="J265" s="123" t="n">
        <f aca="false">IF($D265=1,J$197,IF($D265=2,J$200,IF($D265=3,J$202,IF($D265=4,J$204,IF($D265=5,J$206,IF($D265=5,J$208,J$197))))))</f>
        <v>0</v>
      </c>
      <c r="K265" s="123" t="n">
        <f aca="false">IF($D265=1,K$197,IF($D265=2,K$200,IF($D265=3,K$202,IF($D265=4,K$204,IF($D265=5,K$206,IF($D265=5,K$208,K$197))))))</f>
        <v>0</v>
      </c>
      <c r="L265" s="123" t="n">
        <f aca="false">IF($D265=1,L$197,IF($D265=2,L$200,IF($D265=3,L$202,IF($D265=4,L$204,IF($D265=5,L$206,IF($D265=5,L$208,L$197))))))</f>
        <v>0</v>
      </c>
      <c r="M265" s="123" t="n">
        <f aca="false">IF($D265=1,M$197,IF($D265=2,M$200,IF($D265=3,M$202,IF($D265=4,M$204,IF($D265=5,M$206,IF($D265=5,M$208,M$197))))))</f>
        <v>0</v>
      </c>
      <c r="N265" s="123" t="n">
        <f aca="false">IF($D265=1,N$197,IF($D265=2,N$200,IF($D265=3,N$202,IF($D265=4,N$204,IF($D265=5,N$206,IF($D265=5,N$208,N$197))))))</f>
        <v>0</v>
      </c>
      <c r="O265" s="123" t="n">
        <f aca="false">IF($D265=1,O$197,IF($D265=2,O$200,IF($D265=3,O$202,IF($D265=4,O$204,IF($D265=5,O$206,IF($D265=5,O$208,O$197))))))</f>
        <v>0</v>
      </c>
      <c r="P265" s="123" t="n">
        <f aca="false">IF($D265=1,P$197,IF($D265=2,P$200,IF($D265=3,P$202,IF($D265=4,P$204,IF($D265=5,P$206,IF($D265=5,P$208,P$197))))))</f>
        <v>0</v>
      </c>
      <c r="Q265" s="123" t="n">
        <f aca="false">IF($D265=1,Q$197,IF($D265=2,Q$200,IF($D265=3,Q$202,IF($D265=4,Q$204,IF($D265=5,Q$206,IF($D265=5,Q$208,Q$197))))))</f>
        <v>0</v>
      </c>
      <c r="R265" s="123" t="n">
        <f aca="false">IF($D265=1,R$197,IF($D265=2,R$200,IF($D265=3,R$202,IF($D265=4,R$204,IF($D265=5,R$206,IF($D265=5,R$208,R$197))))))</f>
        <v>0</v>
      </c>
      <c r="S265" s="123" t="n">
        <f aca="false">IF($D265=1,S$197,IF($D265=2,S$200,IF($D265=3,S$202,IF($D265=4,S$204,IF($D265=5,S$206,IF($D265=5,S$208,S$197))))))</f>
        <v>0</v>
      </c>
      <c r="T265" s="123" t="n">
        <f aca="false">IF($D265=1,T$197,IF($D265=2,T$200,IF($D265=3,T$202,IF($D265=4,T$204,IF($D265=5,T$206,IF($D265=5,T$208,T$197))))))</f>
        <v>0</v>
      </c>
      <c r="U265" s="123" t="n">
        <f aca="false">IF($D265=1,U$197,IF($D265=2,U$200,IF($D265=3,U$202,IF($D265=4,U$204,IF($D265=5,U$206,IF($D265=5,U$208,U$197))))))</f>
        <v>0</v>
      </c>
      <c r="V265" s="123" t="n">
        <f aca="false">IF($D265=1,V$197,IF($D265=2,V$200,IF($D265=3,V$202,IF($D265=4,V$204,IF($D265=5,V$206,IF($D265=5,V$208,V$197))))))</f>
        <v>0</v>
      </c>
      <c r="W265" s="123" t="n">
        <f aca="false">IF($D265=1,W$197,IF($D265=2,W$200,IF($D265=3,W$202,IF($D265=4,W$204,IF($D265=5,W$206,IF($D265=5,W$208,W$197))))))</f>
        <v>0</v>
      </c>
      <c r="X265" s="123" t="n">
        <f aca="false">IF($D265=1,X$197,IF($D265=2,X$200,IF($D265=3,X$202,IF($D265=4,X$204,IF($D265=5,X$206,IF($D265=5,X$208,X$197))))))</f>
        <v>0</v>
      </c>
      <c r="Y265" s="123" t="n">
        <f aca="false">IF($D265=1,Y$197,IF($D265=2,Y$200,IF($D265=3,Y$202,IF($D265=4,Y$204,IF($D265=5,Y$206,IF($D265=5,Y$208,Y$197))))))</f>
        <v>0</v>
      </c>
      <c r="Z265" s="123" t="n">
        <f aca="false">IF($D265=1,Z$197,IF($D265=2,Z$200,IF($D265=3,Z$202,IF($D265=4,Z$204,IF($D265=5,Z$206,IF($D265=5,Z$208,Z$197))))))</f>
        <v>0</v>
      </c>
      <c r="AA265" s="123" t="n">
        <f aca="false">IF($D265=1,AA$197,IF($D265=2,AA$200,IF($D265=3,AA$202,IF($D265=4,AA$204,IF($D265=5,AA$206,IF($D265=5,AA$208,AA$197))))))</f>
        <v>0</v>
      </c>
      <c r="AB265" s="123" t="n">
        <f aca="false">IF($D265=1,AB$197,IF($D265=2,AB$200,IF($D265=3,AB$202,IF($D265=4,AB$204,IF($D265=5,AB$206,IF($D265=5,AB$208,AB$197))))))</f>
        <v>0</v>
      </c>
      <c r="AC265" s="123" t="n">
        <f aca="false">IF($D265=1,AC$197,IF($D265=2,AC$200,IF($D265=3,AC$202,IF($D265=4,AC$204,IF($D265=5,AC$206,IF($D265=5,AC$208,AC$197))))))</f>
        <v>0</v>
      </c>
    </row>
    <row r="266" customFormat="false" ht="11.25" hidden="false" customHeight="false" outlineLevel="0" collapsed="false">
      <c r="A266" s="109"/>
      <c r="B266" s="43" t="s">
        <v>179</v>
      </c>
      <c r="D266" s="35"/>
      <c r="E266" s="265"/>
      <c r="F266" s="265"/>
      <c r="G266" s="265"/>
      <c r="H266" s="266"/>
      <c r="I266" s="264" t="n">
        <v>-0.375</v>
      </c>
      <c r="J266" s="264" t="n">
        <f aca="false">I266</f>
        <v>-0.375</v>
      </c>
      <c r="K266" s="264" t="n">
        <f aca="false">J266</f>
        <v>-0.375</v>
      </c>
      <c r="L266" s="264" t="n">
        <f aca="false">K266</f>
        <v>-0.375</v>
      </c>
      <c r="M266" s="264" t="n">
        <f aca="false">L266</f>
        <v>-0.375</v>
      </c>
      <c r="N266" s="264" t="n">
        <f aca="false">M266</f>
        <v>-0.375</v>
      </c>
      <c r="O266" s="264" t="n">
        <f aca="false">N266</f>
        <v>-0.375</v>
      </c>
      <c r="P266" s="264" t="n">
        <f aca="false">O266</f>
        <v>-0.375</v>
      </c>
      <c r="Q266" s="264" t="n">
        <f aca="false">P266</f>
        <v>-0.375</v>
      </c>
      <c r="R266" s="264" t="n">
        <f aca="false">Q266</f>
        <v>-0.375</v>
      </c>
      <c r="S266" s="264" t="n">
        <f aca="false">R266</f>
        <v>-0.375</v>
      </c>
      <c r="T266" s="264" t="n">
        <f aca="false">S266</f>
        <v>-0.375</v>
      </c>
      <c r="U266" s="264" t="n">
        <f aca="false">T266</f>
        <v>-0.375</v>
      </c>
      <c r="V266" s="264" t="n">
        <f aca="false">U266</f>
        <v>-0.375</v>
      </c>
      <c r="W266" s="264" t="n">
        <f aca="false">V266</f>
        <v>-0.375</v>
      </c>
      <c r="X266" s="264" t="n">
        <f aca="false">W266</f>
        <v>-0.375</v>
      </c>
      <c r="Y266" s="264" t="n">
        <f aca="false">X266</f>
        <v>-0.375</v>
      </c>
      <c r="Z266" s="264" t="n">
        <f aca="false">Y266</f>
        <v>-0.375</v>
      </c>
      <c r="AA266" s="264" t="n">
        <f aca="false">Z266</f>
        <v>-0.375</v>
      </c>
      <c r="AB266" s="264" t="n">
        <f aca="false">AA266</f>
        <v>-0.375</v>
      </c>
      <c r="AC266" s="264" t="n">
        <f aca="false">AB266</f>
        <v>-0.375</v>
      </c>
    </row>
    <row r="267" customFormat="false" ht="11.25" hidden="false" customHeight="false" outlineLevel="0" collapsed="false">
      <c r="A267" s="109"/>
      <c r="B267" s="43" t="s">
        <v>190</v>
      </c>
      <c r="D267" s="35"/>
      <c r="E267" s="21" t="n">
        <v>0</v>
      </c>
      <c r="F267" s="21" t="n">
        <v>0</v>
      </c>
      <c r="G267" s="21" t="n">
        <v>2.0177</v>
      </c>
      <c r="H267" s="21" t="n">
        <v>1.8786</v>
      </c>
      <c r="I267" s="267" t="n">
        <f aca="false">+I265+I266</f>
        <v>-0.375</v>
      </c>
      <c r="J267" s="267" t="n">
        <f aca="false">+J265+J266</f>
        <v>-0.375</v>
      </c>
      <c r="K267" s="267" t="n">
        <f aca="false">+K265+K266</f>
        <v>-0.375</v>
      </c>
      <c r="L267" s="267" t="n">
        <f aca="false">+L265+L266</f>
        <v>-0.375</v>
      </c>
      <c r="M267" s="267" t="n">
        <f aca="false">+M265+M266</f>
        <v>-0.375</v>
      </c>
      <c r="N267" s="267" t="n">
        <f aca="false">+N265+N266</f>
        <v>-0.375</v>
      </c>
      <c r="O267" s="267" t="n">
        <f aca="false">+O265+O266</f>
        <v>-0.375</v>
      </c>
      <c r="P267" s="267" t="n">
        <f aca="false">+P265+P266</f>
        <v>-0.375</v>
      </c>
      <c r="Q267" s="267" t="n">
        <f aca="false">+Q265+Q266</f>
        <v>-0.375</v>
      </c>
      <c r="R267" s="267" t="n">
        <f aca="false">+R265+R266</f>
        <v>-0.375</v>
      </c>
      <c r="S267" s="267" t="n">
        <f aca="false">+S265+S266</f>
        <v>-0.375</v>
      </c>
      <c r="T267" s="267" t="n">
        <f aca="false">+T265+T266</f>
        <v>-0.375</v>
      </c>
      <c r="U267" s="267" t="n">
        <f aca="false">+U265+U266</f>
        <v>-0.375</v>
      </c>
      <c r="V267" s="267" t="n">
        <f aca="false">+V265+V266</f>
        <v>-0.375</v>
      </c>
      <c r="W267" s="267" t="n">
        <f aca="false">+W265+W266</f>
        <v>-0.375</v>
      </c>
      <c r="X267" s="267" t="n">
        <f aca="false">+X265+X266</f>
        <v>-0.375</v>
      </c>
      <c r="Y267" s="267" t="n">
        <f aca="false">+Y265+Y266</f>
        <v>-0.375</v>
      </c>
      <c r="Z267" s="267" t="n">
        <f aca="false">+Z265+Z266</f>
        <v>-0.375</v>
      </c>
      <c r="AA267" s="267" t="n">
        <f aca="false">+AA265+AA266</f>
        <v>-0.375</v>
      </c>
      <c r="AB267" s="267" t="n">
        <f aca="false">+AB265+AB266</f>
        <v>-0.375</v>
      </c>
      <c r="AC267" s="267" t="n">
        <f aca="false">+AC265+AC266</f>
        <v>-0.375</v>
      </c>
    </row>
    <row r="268" customFormat="false" ht="11.25" hidden="false" customHeight="false" outlineLevel="0" collapsed="false">
      <c r="A268" s="109"/>
      <c r="B268" s="35" t="str">
        <f aca="false">+"Gas Revenues ($"&amp;$F$5</f>
        <v>Gas Revenues ($Thousands)</v>
      </c>
      <c r="D268" s="35"/>
      <c r="E268" s="116" t="n">
        <f aca="false">E263*1000*E267/unit</f>
        <v>0</v>
      </c>
      <c r="F268" s="116" t="n">
        <f aca="false">F263*1000*F267/unit</f>
        <v>0</v>
      </c>
      <c r="G268" s="116" t="n">
        <f aca="false">G263*1000*G267/unit</f>
        <v>0</v>
      </c>
      <c r="H268" s="116" t="n">
        <f aca="false">H263*1000*H267/unit</f>
        <v>0</v>
      </c>
      <c r="I268" s="116" t="n">
        <f aca="false">I263*1000*I267/unit</f>
        <v>-349.535921658371</v>
      </c>
      <c r="J268" s="116" t="n">
        <f aca="false">J263*1000*J267/unit</f>
        <v>-699.071843316741</v>
      </c>
      <c r="K268" s="116" t="n">
        <f aca="false">K263*1000*K267/unit</f>
        <v>-601.696711636887</v>
      </c>
      <c r="L268" s="116" t="n">
        <f aca="false">L263*1000*L267/unit</f>
        <v>-517.885159094597</v>
      </c>
      <c r="M268" s="116" t="n">
        <f aca="false">M263*1000*M267/unit</f>
        <v>-445.74788730488</v>
      </c>
      <c r="N268" s="116" t="n">
        <f aca="false">N263*1000*N267/unit</f>
        <v>-383.658762077928</v>
      </c>
      <c r="O268" s="116" t="n">
        <f aca="false">O263*1000*O267/unit</f>
        <v>-330.218156745836</v>
      </c>
      <c r="P268" s="116" t="n">
        <f aca="false">P263*1000*P267/unit</f>
        <v>-284.221401471521</v>
      </c>
      <c r="Q268" s="116" t="n">
        <f aca="false">Q263*1000*Q267/unit</f>
        <v>-244.631627317247</v>
      </c>
      <c r="R268" s="116" t="n">
        <f aca="false">R263*1000*R267/unit</f>
        <v>-210.556392917796</v>
      </c>
      <c r="S268" s="116" t="n">
        <f aca="false">S263*1000*S267/unit</f>
        <v>-181.227566871636</v>
      </c>
      <c r="T268" s="116" t="n">
        <f aca="false">T263*1000*T267/unit</f>
        <v>-155.984012354523</v>
      </c>
      <c r="U268" s="116" t="n">
        <f aca="false">U263*1000*U267/unit</f>
        <v>-134.256683628322</v>
      </c>
      <c r="V268" s="116" t="n">
        <f aca="false">V263*1000*V267/unit</f>
        <v>-115.555798487273</v>
      </c>
      <c r="W268" s="116" t="n">
        <f aca="false">W263*1000*W267/unit</f>
        <v>-99.4597974801621</v>
      </c>
      <c r="X268" s="116" t="n">
        <f aca="false">X263*1000*X267/unit</f>
        <v>-85.6058410247964</v>
      </c>
      <c r="Y268" s="116" t="n">
        <f aca="false">Y263*1000*Y267/unit</f>
        <v>-73.6816301986177</v>
      </c>
      <c r="Z268" s="116" t="n">
        <f aca="false">Z263*1000*Z267/unit</f>
        <v>-63.4183668279517</v>
      </c>
      <c r="AA268" s="116" t="n">
        <f aca="false">AA263*1000*AA267/unit</f>
        <v>-54.5846941806683</v>
      </c>
      <c r="AB268" s="116" t="n">
        <f aca="false">AB263*1000*AB267/unit</f>
        <v>-46.9814816720236</v>
      </c>
      <c r="AC268" s="116" t="n">
        <f aca="false">AC263*1000*AC267/unit</f>
        <v>-40.4373360193784</v>
      </c>
    </row>
    <row r="269" customFormat="false" ht="11.25" hidden="false" customHeight="false" outlineLevel="0" collapsed="false">
      <c r="A269" s="109"/>
      <c r="B269" s="35"/>
      <c r="C269" s="151"/>
      <c r="D269" s="35"/>
      <c r="E269" s="258"/>
      <c r="F269" s="258"/>
      <c r="G269" s="258"/>
      <c r="H269" s="258"/>
      <c r="I269" s="258"/>
      <c r="J269" s="258"/>
      <c r="K269" s="258"/>
      <c r="L269" s="258"/>
      <c r="M269" s="258"/>
      <c r="N269" s="258"/>
      <c r="O269" s="258"/>
      <c r="P269" s="258"/>
      <c r="Q269" s="258"/>
      <c r="R269" s="258"/>
      <c r="S269" s="258"/>
      <c r="T269" s="258"/>
      <c r="U269" s="258"/>
      <c r="V269" s="258"/>
      <c r="W269" s="258"/>
      <c r="X269" s="258"/>
      <c r="Y269" s="268"/>
      <c r="Z269" s="268"/>
      <c r="AA269" s="268"/>
      <c r="AB269" s="268"/>
      <c r="AC269" s="268"/>
    </row>
    <row r="270" customFormat="false" ht="11.25" hidden="false" customHeight="false" outlineLevel="0" collapsed="false">
      <c r="A270" s="109" t="s">
        <v>524</v>
      </c>
      <c r="B270" s="35" t="s">
        <v>525</v>
      </c>
      <c r="C270" s="151"/>
      <c r="D270" s="35"/>
      <c r="E270" s="258"/>
      <c r="F270" s="258"/>
      <c r="G270" s="258"/>
      <c r="H270" s="258"/>
      <c r="I270" s="141" t="n">
        <v>0</v>
      </c>
      <c r="J270" s="141" t="n">
        <v>0</v>
      </c>
      <c r="K270" s="141" t="n">
        <v>0</v>
      </c>
      <c r="L270" s="141" t="n">
        <v>0</v>
      </c>
      <c r="M270" s="141" t="n">
        <v>0</v>
      </c>
      <c r="N270" s="141" t="n">
        <v>0</v>
      </c>
      <c r="O270" s="141" t="n">
        <v>0</v>
      </c>
      <c r="P270" s="141" t="n">
        <v>0</v>
      </c>
      <c r="Q270" s="141" t="n">
        <v>0</v>
      </c>
      <c r="R270" s="141" t="n">
        <v>0</v>
      </c>
      <c r="S270" s="141" t="n">
        <v>0</v>
      </c>
      <c r="T270" s="141" t="n">
        <v>0</v>
      </c>
      <c r="U270" s="141" t="n">
        <v>0</v>
      </c>
      <c r="V270" s="141" t="n">
        <v>0</v>
      </c>
      <c r="W270" s="141" t="n">
        <v>0</v>
      </c>
      <c r="X270" s="141" t="n">
        <v>0</v>
      </c>
      <c r="Y270" s="141" t="n">
        <v>0</v>
      </c>
      <c r="Z270" s="141" t="n">
        <v>0</v>
      </c>
      <c r="AA270" s="141" t="n">
        <v>0</v>
      </c>
      <c r="AB270" s="141" t="n">
        <v>0</v>
      </c>
      <c r="AC270" s="141" t="n">
        <v>0</v>
      </c>
    </row>
    <row r="271" customFormat="false" ht="11.25" hidden="false" customHeight="false" outlineLevel="0" collapsed="false">
      <c r="A271" s="109"/>
      <c r="B271" s="43" t="s">
        <v>517</v>
      </c>
      <c r="C271" s="151"/>
      <c r="D271" s="35"/>
      <c r="E271" s="258"/>
      <c r="F271" s="258"/>
      <c r="G271" s="258"/>
      <c r="H271" s="258"/>
      <c r="I271" s="26" t="n">
        <v>1</v>
      </c>
      <c r="J271" s="26" t="n">
        <f aca="false">I271</f>
        <v>1</v>
      </c>
      <c r="K271" s="26" t="n">
        <f aca="false">J271</f>
        <v>1</v>
      </c>
      <c r="L271" s="26" t="n">
        <f aca="false">K271</f>
        <v>1</v>
      </c>
      <c r="M271" s="26" t="n">
        <f aca="false">L271</f>
        <v>1</v>
      </c>
      <c r="N271" s="26" t="n">
        <f aca="false">M271</f>
        <v>1</v>
      </c>
      <c r="O271" s="26" t="n">
        <f aca="false">N271</f>
        <v>1</v>
      </c>
      <c r="P271" s="26" t="n">
        <f aca="false">O271</f>
        <v>1</v>
      </c>
      <c r="Q271" s="26" t="n">
        <f aca="false">P271</f>
        <v>1</v>
      </c>
      <c r="R271" s="26" t="n">
        <f aca="false">Q271</f>
        <v>1</v>
      </c>
      <c r="S271" s="26" t="n">
        <f aca="false">R271</f>
        <v>1</v>
      </c>
      <c r="T271" s="26" t="n">
        <f aca="false">S271</f>
        <v>1</v>
      </c>
      <c r="U271" s="26" t="n">
        <f aca="false">T271</f>
        <v>1</v>
      </c>
      <c r="V271" s="26" t="n">
        <f aca="false">U271</f>
        <v>1</v>
      </c>
      <c r="W271" s="26" t="n">
        <f aca="false">V271</f>
        <v>1</v>
      </c>
      <c r="X271" s="26" t="n">
        <f aca="false">W271</f>
        <v>1</v>
      </c>
      <c r="Y271" s="26" t="n">
        <f aca="false">X271</f>
        <v>1</v>
      </c>
      <c r="Z271" s="26" t="n">
        <f aca="false">Y271</f>
        <v>1</v>
      </c>
      <c r="AA271" s="26" t="n">
        <f aca="false">Z271</f>
        <v>1</v>
      </c>
      <c r="AB271" s="26" t="n">
        <f aca="false">AA271</f>
        <v>1</v>
      </c>
      <c r="AC271" s="26" t="n">
        <f aca="false">AB271</f>
        <v>1</v>
      </c>
    </row>
    <row r="272" customFormat="false" ht="11.25" hidden="false" customHeight="false" outlineLevel="0" collapsed="false">
      <c r="B272" s="43" t="s">
        <v>526</v>
      </c>
      <c r="C272" s="151"/>
      <c r="D272" s="35"/>
      <c r="I272" s="120" t="n">
        <f aca="false">+I270*I271</f>
        <v>0</v>
      </c>
      <c r="J272" s="120" t="n">
        <f aca="false">+J270*J271</f>
        <v>0</v>
      </c>
      <c r="K272" s="120" t="n">
        <f aca="false">+K270*K271</f>
        <v>0</v>
      </c>
      <c r="L272" s="120" t="n">
        <f aca="false">+L270*L271</f>
        <v>0</v>
      </c>
      <c r="M272" s="120" t="n">
        <f aca="false">+M270*M271</f>
        <v>0</v>
      </c>
      <c r="N272" s="120" t="n">
        <f aca="false">+N270*N271</f>
        <v>0</v>
      </c>
      <c r="O272" s="120" t="n">
        <f aca="false">+O270*O271</f>
        <v>0</v>
      </c>
      <c r="P272" s="120" t="n">
        <f aca="false">+P270*P271</f>
        <v>0</v>
      </c>
      <c r="Q272" s="120" t="n">
        <f aca="false">+Q270*Q271</f>
        <v>0</v>
      </c>
      <c r="R272" s="120" t="n">
        <f aca="false">+R270*R271</f>
        <v>0</v>
      </c>
      <c r="S272" s="120" t="n">
        <f aca="false">+S270*S271</f>
        <v>0</v>
      </c>
      <c r="T272" s="120" t="n">
        <f aca="false">+T270*T271</f>
        <v>0</v>
      </c>
      <c r="U272" s="120" t="n">
        <f aca="false">+U270*U271</f>
        <v>0</v>
      </c>
      <c r="V272" s="120" t="n">
        <f aca="false">+V270*V271</f>
        <v>0</v>
      </c>
      <c r="W272" s="120" t="n">
        <f aca="false">+W270*W271</f>
        <v>0</v>
      </c>
      <c r="X272" s="120" t="n">
        <f aca="false">+X270*X271</f>
        <v>0</v>
      </c>
      <c r="Y272" s="120" t="n">
        <f aca="false">+Y270*Y271</f>
        <v>0</v>
      </c>
      <c r="Z272" s="120" t="n">
        <f aca="false">+Z270*Z271</f>
        <v>0</v>
      </c>
      <c r="AA272" s="120" t="n">
        <f aca="false">+AA270*AA271</f>
        <v>0</v>
      </c>
      <c r="AB272" s="120" t="n">
        <f aca="false">+AB270*AB271</f>
        <v>0</v>
      </c>
      <c r="AC272" s="120" t="n">
        <f aca="false">+AC270*AC271</f>
        <v>0</v>
      </c>
    </row>
    <row r="273" customFormat="false" ht="11.25" hidden="false" customHeight="false" outlineLevel="0" collapsed="false">
      <c r="A273" s="109"/>
      <c r="B273" s="35" t="s">
        <v>176</v>
      </c>
      <c r="C273" s="151"/>
      <c r="D273" s="35"/>
      <c r="I273" s="26" t="n">
        <v>1</v>
      </c>
      <c r="J273" s="26" t="n">
        <f aca="false">I273</f>
        <v>1</v>
      </c>
      <c r="K273" s="26" t="n">
        <f aca="false">J273</f>
        <v>1</v>
      </c>
      <c r="L273" s="26" t="n">
        <f aca="false">K273</f>
        <v>1</v>
      </c>
      <c r="M273" s="26" t="n">
        <f aca="false">L273</f>
        <v>1</v>
      </c>
      <c r="N273" s="26" t="n">
        <f aca="false">M273</f>
        <v>1</v>
      </c>
      <c r="O273" s="26" t="n">
        <f aca="false">N273</f>
        <v>1</v>
      </c>
      <c r="P273" s="26" t="n">
        <f aca="false">O273</f>
        <v>1</v>
      </c>
      <c r="Q273" s="26" t="n">
        <f aca="false">P273</f>
        <v>1</v>
      </c>
      <c r="R273" s="26" t="n">
        <f aca="false">Q273</f>
        <v>1</v>
      </c>
      <c r="S273" s="26" t="n">
        <f aca="false">R273</f>
        <v>1</v>
      </c>
      <c r="T273" s="26" t="n">
        <f aca="false">S273</f>
        <v>1</v>
      </c>
      <c r="U273" s="26" t="n">
        <f aca="false">T273</f>
        <v>1</v>
      </c>
      <c r="V273" s="26" t="n">
        <f aca="false">U273</f>
        <v>1</v>
      </c>
      <c r="W273" s="26" t="n">
        <f aca="false">V273</f>
        <v>1</v>
      </c>
      <c r="X273" s="26" t="n">
        <f aca="false">W273</f>
        <v>1</v>
      </c>
      <c r="Y273" s="26" t="n">
        <f aca="false">X273</f>
        <v>1</v>
      </c>
      <c r="Z273" s="26" t="n">
        <f aca="false">Y273</f>
        <v>1</v>
      </c>
      <c r="AA273" s="26" t="n">
        <f aca="false">Z273</f>
        <v>1</v>
      </c>
      <c r="AB273" s="26" t="n">
        <f aca="false">AA273</f>
        <v>1</v>
      </c>
      <c r="AC273" s="26" t="n">
        <f aca="false">AB273</f>
        <v>1</v>
      </c>
    </row>
    <row r="274" customFormat="false" ht="11.25" hidden="false" customHeight="false" outlineLevel="0" collapsed="false">
      <c r="B274" s="43" t="s">
        <v>527</v>
      </c>
      <c r="D274" s="35"/>
      <c r="E274" s="254" t="n">
        <v>0</v>
      </c>
      <c r="F274" s="254" t="n">
        <v>0</v>
      </c>
      <c r="G274" s="254" t="n">
        <v>0</v>
      </c>
      <c r="H274" s="254" t="n">
        <v>0</v>
      </c>
      <c r="I274" s="120" t="n">
        <f aca="false">+I272*I273</f>
        <v>0</v>
      </c>
      <c r="J274" s="120" t="n">
        <f aca="false">+J272*J273</f>
        <v>0</v>
      </c>
      <c r="K274" s="120" t="n">
        <f aca="false">+K272*K273</f>
        <v>0</v>
      </c>
      <c r="L274" s="120" t="n">
        <f aca="false">+L272*L273</f>
        <v>0</v>
      </c>
      <c r="M274" s="120" t="n">
        <f aca="false">+M272*M273</f>
        <v>0</v>
      </c>
      <c r="N274" s="120" t="n">
        <f aca="false">+N272*N273</f>
        <v>0</v>
      </c>
      <c r="O274" s="120" t="n">
        <f aca="false">+O272*O273</f>
        <v>0</v>
      </c>
      <c r="P274" s="120" t="n">
        <f aca="false">+P272*P273</f>
        <v>0</v>
      </c>
      <c r="Q274" s="120" t="n">
        <f aca="false">+Q272*Q273</f>
        <v>0</v>
      </c>
      <c r="R274" s="120" t="n">
        <f aca="false">+R272*R273</f>
        <v>0</v>
      </c>
      <c r="S274" s="120" t="n">
        <f aca="false">+S272*S273</f>
        <v>0</v>
      </c>
      <c r="T274" s="120" t="n">
        <f aca="false">+T272*T273</f>
        <v>0</v>
      </c>
      <c r="U274" s="120" t="n">
        <f aca="false">+U272*U273</f>
        <v>0</v>
      </c>
      <c r="V274" s="120" t="n">
        <f aca="false">+V272*V273</f>
        <v>0</v>
      </c>
      <c r="W274" s="120" t="n">
        <f aca="false">+W272*W273</f>
        <v>0</v>
      </c>
      <c r="X274" s="120" t="n">
        <f aca="false">+X272*X273</f>
        <v>0</v>
      </c>
      <c r="Y274" s="120" t="n">
        <f aca="false">+Y272*Y273</f>
        <v>0</v>
      </c>
      <c r="Z274" s="120" t="n">
        <f aca="false">+Z272*Z273</f>
        <v>0</v>
      </c>
      <c r="AA274" s="120" t="n">
        <f aca="false">+AA272*AA273</f>
        <v>0</v>
      </c>
      <c r="AB274" s="120" t="n">
        <f aca="false">+AB272*AB273</f>
        <v>0</v>
      </c>
      <c r="AC274" s="120" t="n">
        <f aca="false">+AC272*AC273</f>
        <v>0</v>
      </c>
    </row>
    <row r="275" customFormat="false" ht="11.25" hidden="false" customHeight="false" outlineLevel="0" collapsed="false">
      <c r="D275" s="35"/>
    </row>
    <row r="276" customFormat="false" ht="11.25" hidden="false" customHeight="false" outlineLevel="0" collapsed="false">
      <c r="A276" s="4"/>
      <c r="B276" s="43" t="s">
        <v>528</v>
      </c>
      <c r="D276" s="102" t="n">
        <v>1</v>
      </c>
      <c r="E276" s="258"/>
      <c r="F276" s="258"/>
      <c r="G276" s="258"/>
      <c r="H276" s="258"/>
      <c r="I276" s="112" t="n">
        <f aca="false">IF($D276=1,I$227,IF($D276=2,I$230,IF($D276=3,I$232,IF($D276=4,I$234,IF($D276=5,I$236,I$227)))))</f>
        <v>0</v>
      </c>
      <c r="J276" s="112" t="n">
        <f aca="false">IF($D276=1,J$227,IF($D276=2,J$230,IF($D276=3,J$232,IF($D276=4,J$234,IF($D276=5,J$236,J$227)))))</f>
        <v>0</v>
      </c>
      <c r="K276" s="112" t="n">
        <f aca="false">IF($D276=1,K$227,IF($D276=2,K$230,IF($D276=3,K$232,IF($D276=4,K$234,IF($D276=5,K$236,K$227)))))</f>
        <v>0</v>
      </c>
      <c r="L276" s="112" t="n">
        <f aca="false">IF($D276=1,L$227,IF($D276=2,L$230,IF($D276=3,L$232,IF($D276=4,L$234,IF($D276=5,L$236,L$227)))))</f>
        <v>0</v>
      </c>
      <c r="M276" s="112" t="n">
        <f aca="false">IF($D276=1,M$227,IF($D276=2,M$230,IF($D276=3,M$232,IF($D276=4,M$234,IF($D276=5,M$236,M$227)))))</f>
        <v>0</v>
      </c>
      <c r="N276" s="112" t="n">
        <f aca="false">IF($D276=1,N$227,IF($D276=2,N$230,IF($D276=3,N$232,IF($D276=4,N$234,IF($D276=5,N$236,N$227)))))</f>
        <v>0</v>
      </c>
      <c r="O276" s="112" t="n">
        <f aca="false">IF($D276=1,O$227,IF($D276=2,O$230,IF($D276=3,O$232,IF($D276=4,O$234,IF($D276=5,O$236,O$227)))))</f>
        <v>0</v>
      </c>
      <c r="P276" s="112" t="n">
        <f aca="false">IF($D276=1,P$227,IF($D276=2,P$230,IF($D276=3,P$232,IF($D276=4,P$234,IF($D276=5,P$236,P$227)))))</f>
        <v>0</v>
      </c>
      <c r="Q276" s="112" t="n">
        <f aca="false">IF($D276=1,Q$227,IF($D276=2,Q$230,IF($D276=3,Q$232,IF($D276=4,Q$234,IF($D276=5,Q$236,Q$227)))))</f>
        <v>0</v>
      </c>
      <c r="R276" s="112" t="n">
        <f aca="false">IF($D276=1,R$227,IF($D276=2,R$230,IF($D276=3,R$232,IF($D276=4,R$234,IF($D276=5,R$236,R$227)))))</f>
        <v>0</v>
      </c>
      <c r="S276" s="112" t="n">
        <f aca="false">IF($D276=1,S$227,IF($D276=2,S$230,IF($D276=3,S$232,IF($D276=4,S$234,IF($D276=5,S$236,S$227)))))</f>
        <v>0</v>
      </c>
      <c r="T276" s="112" t="n">
        <f aca="false">IF($D276=1,T$227,IF($D276=2,T$230,IF($D276=3,T$232,IF($D276=4,T$234,IF($D276=5,T$236,T$227)))))</f>
        <v>0</v>
      </c>
      <c r="U276" s="112" t="n">
        <f aca="false">IF($D276=1,U$227,IF($D276=2,U$230,IF($D276=3,U$232,IF($D276=4,U$234,IF($D276=5,U$236,U$227)))))</f>
        <v>0</v>
      </c>
      <c r="V276" s="112" t="n">
        <f aca="false">IF($D276=1,V$227,IF($D276=2,V$230,IF($D276=3,V$232,IF($D276=4,V$234,IF($D276=5,V$236,V$227)))))</f>
        <v>0</v>
      </c>
      <c r="W276" s="112" t="n">
        <f aca="false">IF($D276=1,W$227,IF($D276=2,W$230,IF($D276=3,W$232,IF($D276=4,W$234,IF($D276=5,W$236,W$227)))))</f>
        <v>0</v>
      </c>
      <c r="X276" s="112" t="n">
        <f aca="false">IF($D276=1,X$227,IF($D276=2,X$230,IF($D276=3,X$232,IF($D276=4,X$234,IF($D276=5,X$236,X$227)))))</f>
        <v>0</v>
      </c>
      <c r="Y276" s="112" t="n">
        <f aca="false">IF($D276=1,Y$227,IF($D276=2,Y$230,IF($D276=3,Y$232,IF($D276=4,Y$234,IF($D276=5,Y$236,Y$227)))))</f>
        <v>0</v>
      </c>
      <c r="Z276" s="112" t="n">
        <f aca="false">IF($D276=1,Z$227,IF($D276=2,Z$230,IF($D276=3,Z$232,IF($D276=4,Z$234,IF($D276=5,Z$236,Z$227)))))</f>
        <v>0</v>
      </c>
      <c r="AA276" s="112" t="n">
        <f aca="false">IF($D276=1,AA$227,IF($D276=2,AA$230,IF($D276=3,AA$232,IF($D276=4,AA$234,IF($D276=5,AA$236,AA$227)))))</f>
        <v>0</v>
      </c>
      <c r="AB276" s="112" t="n">
        <f aca="false">IF($D276=1,AB$227,IF($D276=2,AB$230,IF($D276=3,AB$232,IF($D276=4,AB$234,IF($D276=5,AB$236,AB$227)))))</f>
        <v>0</v>
      </c>
      <c r="AC276" s="112" t="n">
        <f aca="false">IF($D276=1,AC$227,IF($D276=2,AC$230,IF($D276=3,AC$232,IF($D276=4,AC$234,IF($D276=5,AC$236,AC$227)))))</f>
        <v>0</v>
      </c>
    </row>
    <row r="277" customFormat="false" ht="11.25" hidden="false" customHeight="false" outlineLevel="0" collapsed="false">
      <c r="A277" s="4"/>
      <c r="B277" s="43" t="s">
        <v>179</v>
      </c>
      <c r="D277" s="35"/>
      <c r="E277" s="258"/>
      <c r="F277" s="258"/>
      <c r="G277" s="258"/>
      <c r="H277" s="258"/>
      <c r="I277" s="99" t="n">
        <v>0</v>
      </c>
      <c r="J277" s="99" t="n">
        <v>0</v>
      </c>
      <c r="K277" s="99" t="n">
        <v>0</v>
      </c>
      <c r="L277" s="99" t="n">
        <v>0</v>
      </c>
      <c r="M277" s="99" t="n">
        <v>0</v>
      </c>
      <c r="N277" s="99" t="n">
        <v>0</v>
      </c>
      <c r="O277" s="99" t="n">
        <v>0</v>
      </c>
      <c r="P277" s="99" t="n">
        <v>0</v>
      </c>
      <c r="Q277" s="99" t="n">
        <v>0</v>
      </c>
      <c r="R277" s="99" t="n">
        <v>0</v>
      </c>
      <c r="S277" s="99" t="n">
        <v>0</v>
      </c>
      <c r="T277" s="99" t="n">
        <v>0</v>
      </c>
      <c r="U277" s="99" t="n">
        <v>0</v>
      </c>
      <c r="V277" s="99" t="n">
        <v>0</v>
      </c>
      <c r="W277" s="99" t="n">
        <v>0</v>
      </c>
      <c r="X277" s="99" t="n">
        <v>0</v>
      </c>
      <c r="Y277" s="99" t="n">
        <v>0</v>
      </c>
      <c r="Z277" s="99" t="n">
        <v>0</v>
      </c>
      <c r="AA277" s="99" t="n">
        <v>0</v>
      </c>
      <c r="AB277" s="99" t="n">
        <v>0</v>
      </c>
      <c r="AC277" s="99" t="n">
        <v>0</v>
      </c>
    </row>
    <row r="278" customFormat="false" ht="11.25" hidden="false" customHeight="false" outlineLevel="0" collapsed="false">
      <c r="A278" s="4"/>
      <c r="B278" s="43" t="s">
        <v>529</v>
      </c>
      <c r="D278" s="35"/>
      <c r="E278" s="245" t="n">
        <v>0</v>
      </c>
      <c r="F278" s="245" t="n">
        <v>0</v>
      </c>
      <c r="G278" s="245" t="n">
        <v>0</v>
      </c>
      <c r="H278" s="245" t="n">
        <v>0</v>
      </c>
      <c r="I278" s="257" t="n">
        <f aca="false">+I276+I277</f>
        <v>0</v>
      </c>
      <c r="J278" s="257" t="n">
        <f aca="false">+J276+J277</f>
        <v>0</v>
      </c>
      <c r="K278" s="257" t="n">
        <f aca="false">+K276+K277</f>
        <v>0</v>
      </c>
      <c r="L278" s="257" t="n">
        <f aca="false">+L276+L277</f>
        <v>0</v>
      </c>
      <c r="M278" s="257" t="n">
        <f aca="false">+M276+M277</f>
        <v>0</v>
      </c>
      <c r="N278" s="257" t="n">
        <f aca="false">+N276+N277</f>
        <v>0</v>
      </c>
      <c r="O278" s="257" t="n">
        <f aca="false">+O276+O277</f>
        <v>0</v>
      </c>
      <c r="P278" s="257" t="n">
        <f aca="false">+P276+P277</f>
        <v>0</v>
      </c>
      <c r="Q278" s="257" t="n">
        <f aca="false">+Q276+Q277</f>
        <v>0</v>
      </c>
      <c r="R278" s="257" t="n">
        <f aca="false">+R276+R277</f>
        <v>0</v>
      </c>
      <c r="S278" s="257" t="n">
        <f aca="false">+S276+S277</f>
        <v>0</v>
      </c>
      <c r="T278" s="257" t="n">
        <f aca="false">+T276+T277</f>
        <v>0</v>
      </c>
      <c r="U278" s="257" t="n">
        <f aca="false">+U276+U277</f>
        <v>0</v>
      </c>
      <c r="V278" s="257" t="n">
        <f aca="false">+V276+V277</f>
        <v>0</v>
      </c>
      <c r="W278" s="257" t="n">
        <f aca="false">+W276+W277</f>
        <v>0</v>
      </c>
      <c r="X278" s="257" t="n">
        <f aca="false">+X276+X277</f>
        <v>0</v>
      </c>
      <c r="Y278" s="257" t="n">
        <f aca="false">+Y276+Y277</f>
        <v>0</v>
      </c>
      <c r="Z278" s="257" t="n">
        <f aca="false">+Z276+Z277</f>
        <v>0</v>
      </c>
      <c r="AA278" s="257" t="n">
        <f aca="false">+AA276+AA277</f>
        <v>0</v>
      </c>
      <c r="AB278" s="257" t="n">
        <f aca="false">+AB276+AB277</f>
        <v>0</v>
      </c>
      <c r="AC278" s="257" t="n">
        <f aca="false">+AC276+AC277</f>
        <v>0</v>
      </c>
    </row>
    <row r="279" customFormat="false" ht="11.25" hidden="false" customHeight="false" outlineLevel="0" collapsed="false">
      <c r="A279" s="4"/>
      <c r="B279" s="35" t="str">
        <f aca="false">+"NGL Revenue ($"&amp;$F$5</f>
        <v>NGL Revenue ($Thousands)</v>
      </c>
      <c r="D279" s="35"/>
      <c r="E279" s="116" t="n">
        <f aca="false">E274*E278*1000/unit</f>
        <v>0</v>
      </c>
      <c r="F279" s="116" t="n">
        <f aca="false">F274*F278*1000/unit</f>
        <v>0</v>
      </c>
      <c r="G279" s="116" t="n">
        <f aca="false">G274*G278*1000/unit</f>
        <v>0</v>
      </c>
      <c r="H279" s="116" t="n">
        <f aca="false">H274*H278*1000/unit</f>
        <v>0</v>
      </c>
      <c r="I279" s="116" t="n">
        <f aca="false">I274*I278*1000/unit</f>
        <v>0</v>
      </c>
      <c r="J279" s="116" t="n">
        <f aca="false">J274*J278*1000/unit</f>
        <v>0</v>
      </c>
      <c r="K279" s="116" t="n">
        <f aca="false">K274*K278*1000/unit</f>
        <v>0</v>
      </c>
      <c r="L279" s="116" t="n">
        <f aca="false">L274*L278*1000/unit</f>
        <v>0</v>
      </c>
      <c r="M279" s="116" t="n">
        <f aca="false">M274*M278*1000/unit</f>
        <v>0</v>
      </c>
      <c r="N279" s="116" t="n">
        <f aca="false">N274*N278*1000/unit</f>
        <v>0</v>
      </c>
      <c r="O279" s="116" t="n">
        <f aca="false">O274*O278*1000/unit</f>
        <v>0</v>
      </c>
      <c r="P279" s="116" t="n">
        <f aca="false">P274*P278*1000/unit</f>
        <v>0</v>
      </c>
      <c r="Q279" s="116" t="n">
        <f aca="false">Q274*Q278*1000/unit</f>
        <v>0</v>
      </c>
      <c r="R279" s="116" t="n">
        <f aca="false">R274*R278*1000/unit</f>
        <v>0</v>
      </c>
      <c r="S279" s="116" t="n">
        <f aca="false">S274*S278*1000/unit</f>
        <v>0</v>
      </c>
      <c r="T279" s="116" t="n">
        <f aca="false">T274*T278*1000/unit</f>
        <v>0</v>
      </c>
      <c r="U279" s="116" t="n">
        <f aca="false">U274*U278*1000/unit</f>
        <v>0</v>
      </c>
      <c r="V279" s="116" t="n">
        <f aca="false">V274*V278*1000/unit</f>
        <v>0</v>
      </c>
      <c r="W279" s="116" t="n">
        <f aca="false">W274*W278*1000/unit</f>
        <v>0</v>
      </c>
      <c r="X279" s="116" t="n">
        <f aca="false">X274*X278*1000/unit</f>
        <v>0</v>
      </c>
      <c r="Y279" s="116" t="n">
        <f aca="false">Y274*Y278*1000/unit</f>
        <v>0</v>
      </c>
      <c r="Z279" s="116" t="n">
        <f aca="false">Z274*Z278*1000/unit</f>
        <v>0</v>
      </c>
      <c r="AA279" s="116" t="n">
        <f aca="false">AA274*AA278*1000/unit</f>
        <v>0</v>
      </c>
      <c r="AB279" s="116" t="n">
        <f aca="false">AB274*AB278*1000/unit</f>
        <v>0</v>
      </c>
      <c r="AC279" s="116" t="n">
        <f aca="false">AC274*AC278*1000/unit</f>
        <v>0</v>
      </c>
    </row>
    <row r="280" customFormat="false" ht="11.25" hidden="false" customHeight="false" outlineLevel="0" collapsed="false">
      <c r="A280" s="4"/>
      <c r="B280" s="35"/>
      <c r="D280" s="35"/>
      <c r="E280" s="258"/>
      <c r="F280" s="258"/>
      <c r="G280" s="258"/>
      <c r="H280" s="258"/>
      <c r="I280" s="258"/>
      <c r="J280" s="258"/>
      <c r="K280" s="258"/>
      <c r="L280" s="258"/>
      <c r="M280" s="258"/>
      <c r="N280" s="258"/>
      <c r="O280" s="258"/>
      <c r="P280" s="258"/>
      <c r="Q280" s="258"/>
      <c r="R280" s="258"/>
      <c r="S280" s="258"/>
      <c r="T280" s="258"/>
      <c r="U280" s="258"/>
      <c r="V280" s="258"/>
      <c r="W280" s="258"/>
      <c r="X280" s="258"/>
      <c r="Y280" s="268"/>
      <c r="Z280" s="268"/>
      <c r="AA280" s="268"/>
      <c r="AB280" s="268"/>
      <c r="AC280" s="268"/>
    </row>
    <row r="281" customFormat="false" ht="11.25" hidden="false" customHeight="false" outlineLevel="0" collapsed="false">
      <c r="A281" s="153" t="str">
        <f aca="false">+"Total Revenues - "&amp;C10</f>
        <v>Total Revenues - PDP</v>
      </c>
      <c r="D281" s="35"/>
      <c r="E281" s="258" t="n">
        <f aca="false">E268+E252+E279</f>
        <v>0</v>
      </c>
      <c r="F281" s="258" t="n">
        <f aca="false">F268+F252+F279</f>
        <v>0</v>
      </c>
      <c r="G281" s="258" t="n">
        <f aca="false">G268+G252+G279</f>
        <v>0</v>
      </c>
      <c r="H281" s="258" t="n">
        <f aca="false">H268+H252+H279</f>
        <v>0</v>
      </c>
      <c r="I281" s="258" t="n">
        <f aca="false">I268+I252+I279</f>
        <v>-503.675065773314</v>
      </c>
      <c r="J281" s="258" t="n">
        <f aca="false">J268+J252+J279</f>
        <v>-1007.35013154663</v>
      </c>
      <c r="K281" s="258" t="n">
        <f aca="false">K268+K252+K279</f>
        <v>-844.197002120421</v>
      </c>
      <c r="L281" s="258" t="n">
        <f aca="false">L268+L252+L279</f>
        <v>-708.642643905677</v>
      </c>
      <c r="M281" s="258" t="n">
        <f aca="false">M268+M252+M279</f>
        <v>-595.803039564255</v>
      </c>
      <c r="N281" s="258" t="n">
        <f aca="false">N268+N252+N279</f>
        <v>-501.696325541736</v>
      </c>
      <c r="O281" s="258" t="n">
        <f aca="false">O268+O252+O279</f>
        <v>-423.069792818879</v>
      </c>
      <c r="P281" s="258" t="n">
        <f aca="false">P268+P252+P279</f>
        <v>-357.261085352189</v>
      </c>
      <c r="Q281" s="258" t="n">
        <f aca="false">Q268+Q252+Q279</f>
        <v>-302.086677621274</v>
      </c>
      <c r="R281" s="258" t="n">
        <f aca="false">R268+R252+R279</f>
        <v>-255.752136245924</v>
      </c>
      <c r="S281" s="258" t="n">
        <f aca="false">S268+S252+S279</f>
        <v>-216.779797775154</v>
      </c>
      <c r="T281" s="258" t="n">
        <f aca="false">T268+T252+T279</f>
        <v>-183.950387706301</v>
      </c>
      <c r="U281" s="258" t="n">
        <f aca="false">U268+U252+U279</f>
        <v>-156.255813653077</v>
      </c>
      <c r="V281" s="258" t="n">
        <f aca="false">V268+V252+V279</f>
        <v>-132.86092708397</v>
      </c>
      <c r="W281" s="258" t="n">
        <f aca="false">W268+W252+W279</f>
        <v>-113.072493773664</v>
      </c>
      <c r="X281" s="258" t="n">
        <f aca="false">X268+X252+X279</f>
        <v>-96.3139671935022</v>
      </c>
      <c r="Y281" s="258" t="n">
        <f aca="false">Y268+Y252+Y279</f>
        <v>-82.1049405827376</v>
      </c>
      <c r="Z281" s="258" t="n">
        <f aca="false">Z268+Z252+Z279</f>
        <v>-70.0443774585116</v>
      </c>
      <c r="AA281" s="258" t="n">
        <f aca="false">AA268+AA252+AA279</f>
        <v>-59.7968987503899</v>
      </c>
      <c r="AB281" s="258" t="n">
        <f aca="false">AB268+AB252+AB279</f>
        <v>-51.081547004145</v>
      </c>
      <c r="AC281" s="258" t="n">
        <f aca="false">AC268+AC252+AC279</f>
        <v>-43.6625616418182</v>
      </c>
    </row>
    <row r="282" customFormat="false" ht="12" hidden="false" customHeight="false" outlineLevel="0" collapsed="false">
      <c r="A282" s="4"/>
      <c r="B282" s="35"/>
      <c r="D282" s="35"/>
      <c r="E282" s="258"/>
      <c r="F282" s="258"/>
      <c r="G282" s="258"/>
      <c r="H282" s="258"/>
      <c r="I282" s="258"/>
      <c r="J282" s="258"/>
      <c r="K282" s="258"/>
      <c r="L282" s="258"/>
      <c r="M282" s="258"/>
      <c r="N282" s="258"/>
      <c r="O282" s="258"/>
      <c r="P282" s="258"/>
      <c r="Q282" s="258"/>
      <c r="R282" s="258"/>
      <c r="S282" s="258"/>
      <c r="T282" s="258"/>
      <c r="U282" s="258"/>
      <c r="V282" s="258"/>
      <c r="W282" s="258"/>
      <c r="X282" s="258"/>
      <c r="Y282" s="268"/>
      <c r="Z282" s="268"/>
      <c r="AA282" s="268"/>
      <c r="AB282" s="268"/>
      <c r="AC282" s="268"/>
    </row>
    <row r="283" customFormat="false" ht="12" hidden="false" customHeight="false" outlineLevel="0" collapsed="false">
      <c r="A283" s="130"/>
      <c r="B283" s="130"/>
      <c r="C283" s="130"/>
      <c r="D283" s="130"/>
      <c r="E283" s="130"/>
      <c r="F283" s="130"/>
      <c r="G283" s="130"/>
      <c r="H283" s="130"/>
      <c r="I283" s="130"/>
      <c r="J283" s="130"/>
      <c r="K283" s="130"/>
      <c r="L283" s="130"/>
      <c r="M283" s="130"/>
      <c r="N283" s="130"/>
      <c r="O283" s="130"/>
      <c r="P283" s="130"/>
      <c r="Q283" s="130"/>
      <c r="R283" s="130"/>
      <c r="S283" s="130"/>
      <c r="T283" s="130"/>
      <c r="U283" s="130"/>
      <c r="V283" s="130"/>
      <c r="W283" s="130"/>
      <c r="X283" s="130"/>
      <c r="Y283" s="130"/>
      <c r="Z283" s="130"/>
      <c r="AA283" s="130"/>
      <c r="AB283" s="130"/>
      <c r="AC283" s="130"/>
    </row>
    <row r="284" customFormat="false" ht="11.25" hidden="false" customHeight="false" outlineLevel="0" collapsed="false">
      <c r="A284" s="4"/>
      <c r="B284" s="4" t="s">
        <v>192</v>
      </c>
      <c r="C284" s="103"/>
      <c r="D284" s="103"/>
      <c r="E284" s="258"/>
      <c r="F284" s="258"/>
      <c r="G284" s="258"/>
      <c r="H284" s="258"/>
      <c r="I284" s="258"/>
      <c r="J284" s="258"/>
      <c r="K284" s="258"/>
      <c r="L284" s="258"/>
      <c r="M284" s="258"/>
      <c r="N284" s="258"/>
      <c r="O284" s="258"/>
      <c r="P284" s="258"/>
      <c r="Q284" s="258"/>
      <c r="R284" s="258"/>
      <c r="S284" s="258"/>
      <c r="T284" s="258"/>
      <c r="U284" s="258"/>
      <c r="V284" s="258"/>
      <c r="W284" s="258"/>
      <c r="X284" s="258"/>
      <c r="Y284" s="258"/>
      <c r="Z284" s="258"/>
      <c r="AA284" s="258"/>
      <c r="AB284" s="258"/>
      <c r="AC284" s="258"/>
    </row>
    <row r="285" customFormat="false" ht="11.25" hidden="false" customHeight="false" outlineLevel="0" collapsed="false">
      <c r="A285" s="4"/>
      <c r="B285" s="43" t="s">
        <v>193</v>
      </c>
      <c r="C285" s="131" t="s">
        <v>194</v>
      </c>
      <c r="D285" s="102" t="n">
        <v>6</v>
      </c>
      <c r="E285" s="12"/>
      <c r="F285" s="258"/>
      <c r="H285" s="269" t="s">
        <v>195</v>
      </c>
      <c r="I285" s="258" t="n">
        <f aca="false">(I247+(I263/$D285)+I274)*1000</f>
        <v>220249.990773755</v>
      </c>
      <c r="J285" s="258" t="n">
        <f aca="false">(J247+(J263/$D285)+J274)*1000</f>
        <v>440499.98154751</v>
      </c>
      <c r="K285" s="258" t="n">
        <f aca="false">(K247+(K263/$D285)+K274)*1000</f>
        <v>369526.146194257</v>
      </c>
      <c r="L285" s="258" t="n">
        <f aca="false">(L247+(L263/$D285)+L274)*1000</f>
        <v>310490.122792907</v>
      </c>
      <c r="M285" s="258" t="n">
        <f aca="false">(M247+(M263/$D285)+M274)*1000</f>
        <v>261291.288876292</v>
      </c>
      <c r="N285" s="258" t="n">
        <f aca="false">(N247+(N263/$D285)+N274)*1000</f>
        <v>220215.032089571</v>
      </c>
      <c r="O285" s="258" t="n">
        <f aca="false">(O247+(O263/$D285)+O274)*1000</f>
        <v>185859.050935337</v>
      </c>
      <c r="P285" s="258" t="n">
        <f aca="false">(P247+(P263/$D285)+P274)*1000</f>
        <v>157074.173983881</v>
      </c>
      <c r="Q285" s="258" t="n">
        <f aca="false">(Q247+(Q263/$D285)+Q274)*1000</f>
        <v>132916.767824566</v>
      </c>
      <c r="R285" s="258" t="n">
        <f aca="false">(R247+(R263/$D285)+R274)*1000</f>
        <v>112610.405739051</v>
      </c>
      <c r="S285" s="258" t="n">
        <f aca="false">(S247+(S263/$D285)+S274)*1000</f>
        <v>95514.9456567114</v>
      </c>
      <c r="T285" s="258" t="n">
        <f aca="false">(T247+(T263/$D285)+T274)*1000</f>
        <v>81101.5436507122</v>
      </c>
      <c r="U285" s="258" t="n">
        <f aca="false">(U247+(U263/$D285)+U274)*1000</f>
        <v>68932.4287575134</v>
      </c>
      <c r="V285" s="258" t="n">
        <f aca="false">(V247+(V263/$D285)+V274)*1000</f>
        <v>58644.5025964615</v>
      </c>
      <c r="W285" s="258" t="n">
        <f aca="false">(W247+(W263/$D285)+W274)*1000</f>
        <v>49936.0160328915</v>
      </c>
      <c r="X285" s="258" t="n">
        <f aca="false">(X247+(X263/$D285)+X274)*1000</f>
        <v>42555.725158078</v>
      </c>
      <c r="Y285" s="258" t="n">
        <f aca="false">(Y247+(Y263/$D285)+Y274)*1000</f>
        <v>36294.0482032256</v>
      </c>
      <c r="Z285" s="258" t="n">
        <f aca="false">(Z247+(Z263/$D285)+Z274)*1000</f>
        <v>30975.8400252903</v>
      </c>
      <c r="AA285" s="258" t="n">
        <f aca="false">(AA247+(AA263/$D285)+AA274)*1000</f>
        <v>26454.4765307061</v>
      </c>
      <c r="AB285" s="258" t="n">
        <f aca="false">(AB247+(AB263/$D285)+AB274)*1000</f>
        <v>22607.0018186347</v>
      </c>
      <c r="AC285" s="258" t="n">
        <f aca="false">(AC247+(AC263/$D285)+AC274)*1000</f>
        <v>19330.1390777101</v>
      </c>
    </row>
    <row r="286" customFormat="false" ht="11.25" hidden="false" customHeight="false" outlineLevel="0" collapsed="false">
      <c r="A286" s="4"/>
      <c r="B286" s="65"/>
      <c r="C286" s="131"/>
      <c r="D286" s="103"/>
      <c r="E286" s="258"/>
      <c r="F286" s="258"/>
      <c r="G286" s="258"/>
      <c r="H286" s="258"/>
      <c r="I286" s="258"/>
      <c r="J286" s="258"/>
      <c r="K286" s="258"/>
      <c r="L286" s="258"/>
      <c r="M286" s="258"/>
      <c r="N286" s="258"/>
      <c r="O286" s="258"/>
      <c r="P286" s="258"/>
      <c r="Q286" s="258"/>
      <c r="R286" s="258"/>
      <c r="S286" s="258"/>
      <c r="T286" s="258"/>
      <c r="U286" s="258"/>
      <c r="V286" s="258"/>
      <c r="W286" s="258"/>
      <c r="X286" s="258"/>
      <c r="Y286" s="258"/>
      <c r="Z286" s="258"/>
      <c r="AA286" s="258"/>
      <c r="AB286" s="258"/>
      <c r="AC286" s="258"/>
    </row>
    <row r="287" customFormat="false" ht="11.25" hidden="false" customHeight="false" outlineLevel="0" collapsed="false">
      <c r="A287" s="4"/>
      <c r="B287" s="94" t="s">
        <v>157</v>
      </c>
      <c r="C287" s="132" t="s">
        <v>162</v>
      </c>
      <c r="E287" s="12" t="s">
        <v>196</v>
      </c>
      <c r="F287" s="12"/>
      <c r="G287" s="12"/>
      <c r="H287" s="245" t="n">
        <v>0</v>
      </c>
      <c r="I287" s="133" t="s">
        <v>530</v>
      </c>
      <c r="J287" s="133" t="s">
        <v>531</v>
      </c>
      <c r="K287" s="133" t="s">
        <v>532</v>
      </c>
      <c r="L287" s="12"/>
      <c r="M287" s="12"/>
      <c r="N287" s="12"/>
      <c r="O287" s="12"/>
      <c r="P287" s="12"/>
      <c r="Q287" s="12"/>
      <c r="R287" s="12"/>
      <c r="S287" s="12"/>
      <c r="T287" s="12"/>
      <c r="U287" s="12"/>
      <c r="V287" s="12"/>
      <c r="W287" s="12"/>
      <c r="X287" s="12"/>
      <c r="Y287" s="12"/>
      <c r="Z287" s="12"/>
      <c r="AA287" s="12"/>
      <c r="AB287" s="12"/>
      <c r="AC287" s="12"/>
    </row>
    <row r="288" customFormat="false" ht="11.25" hidden="false" customHeight="false" outlineLevel="0" collapsed="false">
      <c r="A288" s="4"/>
      <c r="B288" s="133" t="s">
        <v>158</v>
      </c>
      <c r="C288" s="132"/>
      <c r="E288" s="12" t="s">
        <v>197</v>
      </c>
      <c r="F288" s="12"/>
      <c r="G288" s="12"/>
      <c r="H288" s="26" t="n">
        <v>1</v>
      </c>
      <c r="I288" s="85" t="n">
        <v>0.9</v>
      </c>
      <c r="J288" s="270" t="n">
        <v>1</v>
      </c>
      <c r="K288" s="85" t="n">
        <v>1.05</v>
      </c>
      <c r="L288" s="12"/>
      <c r="M288" s="12"/>
      <c r="N288" s="12"/>
      <c r="O288" s="12"/>
      <c r="P288" s="12"/>
      <c r="Q288" s="12"/>
      <c r="R288" s="12"/>
      <c r="S288" s="12"/>
      <c r="T288" s="12"/>
      <c r="U288" s="12"/>
      <c r="V288" s="12"/>
      <c r="W288" s="12"/>
      <c r="X288" s="12"/>
      <c r="Y288" s="12"/>
      <c r="Z288" s="12"/>
      <c r="AA288" s="12"/>
      <c r="AB288" s="12"/>
      <c r="AC288" s="12"/>
    </row>
    <row r="289" customFormat="false" ht="11.25" hidden="false" customHeight="false" outlineLevel="0" collapsed="false">
      <c r="A289" s="4"/>
      <c r="B289" s="133" t="s">
        <v>159</v>
      </c>
      <c r="C289" s="132"/>
      <c r="E289" s="12" t="s">
        <v>198</v>
      </c>
      <c r="F289" s="12"/>
      <c r="G289" s="12"/>
      <c r="H289" s="88" t="n">
        <f aca="false">+H287*H288</f>
        <v>0</v>
      </c>
      <c r="I289" s="12"/>
      <c r="J289" s="12"/>
      <c r="K289" s="12"/>
      <c r="L289" s="12"/>
      <c r="M289" s="12"/>
      <c r="N289" s="12"/>
      <c r="O289" s="12"/>
      <c r="P289" s="12"/>
      <c r="Q289" s="12"/>
      <c r="R289" s="12"/>
      <c r="S289" s="12"/>
      <c r="T289" s="12"/>
      <c r="U289" s="12"/>
      <c r="V289" s="12"/>
      <c r="W289" s="12"/>
      <c r="X289" s="12"/>
      <c r="Y289" s="12"/>
      <c r="Z289" s="12"/>
      <c r="AA289" s="12"/>
      <c r="AB289" s="12"/>
      <c r="AC289" s="12"/>
    </row>
    <row r="290" customFormat="false" ht="11.25" hidden="false" customHeight="false" outlineLevel="0" collapsed="false">
      <c r="A290" s="4"/>
      <c r="B290" s="133" t="s">
        <v>160</v>
      </c>
      <c r="C290" s="132"/>
      <c r="E290" s="12" t="s">
        <v>199</v>
      </c>
      <c r="F290" s="12"/>
      <c r="G290" s="12"/>
      <c r="H290" s="141" t="n">
        <v>3</v>
      </c>
      <c r="I290" s="47" t="n">
        <v>0</v>
      </c>
      <c r="J290" s="47" t="n">
        <v>0</v>
      </c>
      <c r="K290" s="47" t="n">
        <v>0</v>
      </c>
      <c r="L290" s="47" t="n">
        <v>0</v>
      </c>
      <c r="M290" s="47" t="n">
        <v>0</v>
      </c>
      <c r="N290" s="47" t="n">
        <v>0</v>
      </c>
      <c r="O290" s="47" t="n">
        <v>0</v>
      </c>
      <c r="P290" s="47" t="n">
        <v>0</v>
      </c>
      <c r="Q290" s="47" t="n">
        <v>0</v>
      </c>
      <c r="R290" s="47" t="n">
        <v>0</v>
      </c>
      <c r="S290" s="47" t="n">
        <v>0</v>
      </c>
      <c r="T290" s="47" t="n">
        <v>0</v>
      </c>
      <c r="U290" s="47" t="n">
        <v>0</v>
      </c>
      <c r="V290" s="47" t="n">
        <v>0</v>
      </c>
      <c r="W290" s="47" t="n">
        <v>0</v>
      </c>
      <c r="X290" s="47" t="n">
        <v>0</v>
      </c>
      <c r="Y290" s="47" t="n">
        <v>0</v>
      </c>
      <c r="Z290" s="47" t="n">
        <v>0</v>
      </c>
      <c r="AA290" s="47" t="n">
        <v>0</v>
      </c>
      <c r="AB290" s="47" t="n">
        <v>0</v>
      </c>
      <c r="AC290" s="47" t="n">
        <v>0</v>
      </c>
    </row>
    <row r="291" customFormat="false" ht="11.25" hidden="false" customHeight="false" outlineLevel="0" collapsed="false">
      <c r="A291" s="4"/>
      <c r="B291" s="138" t="s">
        <v>200</v>
      </c>
      <c r="E291" s="88"/>
      <c r="F291" s="88"/>
      <c r="G291" s="88"/>
      <c r="H291" s="88"/>
      <c r="I291" s="88" t="n">
        <f aca="false">I290*$J$288*$H$288</f>
        <v>0</v>
      </c>
      <c r="J291" s="88" t="n">
        <f aca="false">J290*$J$288*$H$288</f>
        <v>0</v>
      </c>
      <c r="K291" s="88" t="n">
        <f aca="false">K290*$J$288*$H$288</f>
        <v>0</v>
      </c>
      <c r="L291" s="88" t="n">
        <f aca="false">L290*$J$288*$H$288</f>
        <v>0</v>
      </c>
      <c r="M291" s="88" t="n">
        <f aca="false">M290*$J$288*$H$288</f>
        <v>0</v>
      </c>
      <c r="N291" s="88" t="n">
        <f aca="false">N290*$J$288*$H$288</f>
        <v>0</v>
      </c>
      <c r="O291" s="88" t="n">
        <f aca="false">O290*$J$288*$H$288</f>
        <v>0</v>
      </c>
      <c r="P291" s="88" t="n">
        <f aca="false">P290*$J$288*$H$288</f>
        <v>0</v>
      </c>
      <c r="Q291" s="88" t="n">
        <f aca="false">Q290*$J$288*$H$288</f>
        <v>0</v>
      </c>
      <c r="R291" s="88" t="n">
        <f aca="false">R290*$J$288*$H$288</f>
        <v>0</v>
      </c>
      <c r="S291" s="88" t="n">
        <f aca="false">S290*$J$288*$H$288</f>
        <v>0</v>
      </c>
      <c r="T291" s="88" t="n">
        <f aca="false">T290*$J$288*$H$288</f>
        <v>0</v>
      </c>
      <c r="U291" s="88" t="n">
        <f aca="false">U290*$J$288*$H$288</f>
        <v>0</v>
      </c>
      <c r="V291" s="88" t="n">
        <f aca="false">V290*$J$288*$H$288</f>
        <v>0</v>
      </c>
      <c r="W291" s="88" t="n">
        <f aca="false">W290*$J$288*$H$288</f>
        <v>0</v>
      </c>
      <c r="X291" s="88" t="n">
        <f aca="false">X290*$J$288*$H$288</f>
        <v>0</v>
      </c>
      <c r="Y291" s="88" t="n">
        <f aca="false">Y290*$J$288*$H$288</f>
        <v>0</v>
      </c>
      <c r="Z291" s="88" t="n">
        <f aca="false">Z290*$J$288*$H$288</f>
        <v>0</v>
      </c>
      <c r="AA291" s="88" t="n">
        <f aca="false">AA290*$J$288*$H$288</f>
        <v>0</v>
      </c>
      <c r="AB291" s="88" t="n">
        <f aca="false">AB290*$J$288*$H$288</f>
        <v>0</v>
      </c>
      <c r="AC291" s="88" t="n">
        <f aca="false">AC290*$J$288*$H$288</f>
        <v>0</v>
      </c>
    </row>
    <row r="292" customFormat="false" ht="11.25" hidden="false" customHeight="false" outlineLevel="0" collapsed="false">
      <c r="A292" s="4"/>
      <c r="B292" s="138"/>
      <c r="E292" s="88"/>
      <c r="F292" s="88"/>
      <c r="G292" s="88"/>
      <c r="H292" s="88"/>
      <c r="I292" s="88"/>
      <c r="J292" s="88"/>
      <c r="K292" s="88"/>
      <c r="L292" s="88"/>
      <c r="M292" s="88"/>
      <c r="N292" s="88"/>
      <c r="O292" s="88"/>
      <c r="P292" s="88"/>
      <c r="Q292" s="88"/>
      <c r="R292" s="88"/>
      <c r="S292" s="88"/>
      <c r="T292" s="88"/>
      <c r="U292" s="88"/>
      <c r="V292" s="88"/>
      <c r="W292" s="88"/>
      <c r="X292" s="88"/>
      <c r="Y292" s="88"/>
      <c r="Z292" s="88"/>
      <c r="AA292" s="88"/>
      <c r="AB292" s="88"/>
      <c r="AC292" s="88"/>
    </row>
    <row r="293" customFormat="false" ht="11.25" hidden="false" customHeight="false" outlineLevel="0" collapsed="false">
      <c r="A293" s="4"/>
      <c r="B293" s="138" t="s">
        <v>201</v>
      </c>
      <c r="E293" s="88" t="s">
        <v>533</v>
      </c>
      <c r="F293" s="88"/>
      <c r="G293" s="88"/>
      <c r="H293" s="84" t="n">
        <v>0.092</v>
      </c>
      <c r="I293" s="88" t="n">
        <f aca="false">+$H293*I281</f>
        <v>-46.3381060511448</v>
      </c>
      <c r="J293" s="88" t="n">
        <f aca="false">+$H293*J281</f>
        <v>-92.6762121022897</v>
      </c>
      <c r="K293" s="88" t="n">
        <f aca="false">+$H293*K281</f>
        <v>-77.6661241950787</v>
      </c>
      <c r="L293" s="88" t="n">
        <f aca="false">+$H293*L281</f>
        <v>-65.1951232393223</v>
      </c>
      <c r="M293" s="88" t="n">
        <f aca="false">+$H293*M281</f>
        <v>-54.8138796399115</v>
      </c>
      <c r="N293" s="88" t="n">
        <f aca="false">+$H293*N281</f>
        <v>-46.1560619498397</v>
      </c>
      <c r="O293" s="88" t="n">
        <f aca="false">+$H293*O281</f>
        <v>-38.9224209393369</v>
      </c>
      <c r="P293" s="88" t="n">
        <f aca="false">+$H293*P281</f>
        <v>-32.8680198524014</v>
      </c>
      <c r="Q293" s="88" t="n">
        <f aca="false">+$H293*Q281</f>
        <v>-27.7919743411572</v>
      </c>
      <c r="R293" s="88" t="n">
        <f aca="false">+$H293*R281</f>
        <v>-23.529196534625</v>
      </c>
      <c r="S293" s="88" t="n">
        <f aca="false">+$H293*S281</f>
        <v>-19.9437413953142</v>
      </c>
      <c r="T293" s="88" t="n">
        <f aca="false">+$H293*T281</f>
        <v>-16.9234356689797</v>
      </c>
      <c r="U293" s="88" t="n">
        <f aca="false">+$H293*U281</f>
        <v>-14.375534856083</v>
      </c>
      <c r="V293" s="88" t="n">
        <f aca="false">+$H293*V281</f>
        <v>-12.2232052917252</v>
      </c>
      <c r="W293" s="88" t="n">
        <f aca="false">+$H293*W281</f>
        <v>-10.4026694271771</v>
      </c>
      <c r="X293" s="88" t="n">
        <f aca="false">+$H293*X281</f>
        <v>-8.8608849818022</v>
      </c>
      <c r="Y293" s="88" t="n">
        <f aca="false">+$H293*Y281</f>
        <v>-7.55365453361186</v>
      </c>
      <c r="Z293" s="88" t="n">
        <f aca="false">+$H293*Z281</f>
        <v>-6.44408272618306</v>
      </c>
      <c r="AA293" s="88" t="n">
        <f aca="false">+$H293*AA281</f>
        <v>-5.50131468503587</v>
      </c>
      <c r="AB293" s="88" t="n">
        <f aca="false">+$H293*AB281</f>
        <v>-4.69950232438134</v>
      </c>
      <c r="AC293" s="88" t="n">
        <f aca="false">+$H293*AC281</f>
        <v>-4.01695567104727</v>
      </c>
    </row>
    <row r="294" customFormat="false" ht="11.25" hidden="false" customHeight="false" outlineLevel="0" collapsed="false">
      <c r="A294" s="4"/>
      <c r="B294" s="138"/>
      <c r="E294" s="88"/>
      <c r="F294" s="88"/>
      <c r="G294" s="88"/>
      <c r="H294" s="88"/>
      <c r="I294" s="88"/>
      <c r="J294" s="88"/>
      <c r="K294" s="88"/>
      <c r="L294" s="88"/>
      <c r="M294" s="88"/>
      <c r="N294" s="88"/>
      <c r="O294" s="88"/>
      <c r="P294" s="88"/>
      <c r="Q294" s="88"/>
      <c r="R294" s="88"/>
      <c r="S294" s="88"/>
      <c r="T294" s="88"/>
      <c r="U294" s="88"/>
      <c r="V294" s="88"/>
      <c r="W294" s="88"/>
      <c r="X294" s="88"/>
      <c r="Y294" s="88"/>
      <c r="Z294" s="88"/>
      <c r="AA294" s="88"/>
      <c r="AB294" s="88"/>
      <c r="AC294" s="88"/>
    </row>
    <row r="295" customFormat="false" ht="11.25" hidden="false" customHeight="false" outlineLevel="0" collapsed="false">
      <c r="A295" s="4"/>
      <c r="B295" s="138" t="s">
        <v>203</v>
      </c>
      <c r="E295" s="88"/>
      <c r="F295" s="88"/>
      <c r="G295" s="88"/>
      <c r="H295" s="88"/>
      <c r="I295" s="88"/>
      <c r="J295" s="88"/>
      <c r="K295" s="88"/>
      <c r="L295" s="88"/>
      <c r="M295" s="88"/>
      <c r="N295" s="88"/>
      <c r="O295" s="88"/>
      <c r="P295" s="88"/>
      <c r="Q295" s="88"/>
      <c r="R295" s="88"/>
      <c r="S295" s="88"/>
      <c r="T295" s="88"/>
      <c r="U295" s="88"/>
      <c r="V295" s="88"/>
      <c r="W295" s="88"/>
      <c r="X295" s="88"/>
      <c r="Y295" s="88"/>
      <c r="Z295" s="88"/>
      <c r="AA295" s="88"/>
      <c r="AB295" s="88"/>
      <c r="AC295" s="88"/>
    </row>
    <row r="296" customFormat="false" ht="11.25" hidden="false" customHeight="false" outlineLevel="0" collapsed="false">
      <c r="A296" s="4"/>
      <c r="B296" s="94" t="s">
        <v>157</v>
      </c>
      <c r="C296" s="132" t="s">
        <v>162</v>
      </c>
      <c r="E296" s="12" t="s">
        <v>204</v>
      </c>
      <c r="F296" s="12"/>
      <c r="G296" s="12"/>
      <c r="H296" s="141" t="n">
        <v>0</v>
      </c>
      <c r="I296" s="140"/>
      <c r="J296" s="140"/>
      <c r="K296" s="140"/>
      <c r="L296" s="140"/>
      <c r="M296" s="140"/>
      <c r="N296" s="140"/>
      <c r="O296" s="140"/>
      <c r="P296" s="140"/>
      <c r="Q296" s="140"/>
      <c r="R296" s="140"/>
      <c r="S296" s="140"/>
      <c r="T296" s="140"/>
      <c r="U296" s="140"/>
      <c r="V296" s="140"/>
      <c r="W296" s="140"/>
      <c r="X296" s="140"/>
      <c r="Y296" s="140"/>
      <c r="Z296" s="140"/>
      <c r="AA296" s="140"/>
      <c r="AB296" s="140"/>
      <c r="AC296" s="140"/>
    </row>
    <row r="297" customFormat="false" ht="11.25" hidden="false" customHeight="false" outlineLevel="0" collapsed="false">
      <c r="A297" s="4"/>
      <c r="B297" s="133" t="s">
        <v>158</v>
      </c>
      <c r="C297" s="132"/>
      <c r="E297" s="12" t="s">
        <v>197</v>
      </c>
      <c r="F297" s="12"/>
      <c r="G297" s="12"/>
      <c r="H297" s="26" t="n">
        <v>1</v>
      </c>
      <c r="I297" s="80"/>
      <c r="J297" s="80"/>
      <c r="K297" s="80"/>
      <c r="L297" s="80"/>
      <c r="M297" s="80"/>
      <c r="N297" s="80"/>
      <c r="O297" s="80"/>
      <c r="P297" s="80"/>
      <c r="Q297" s="80"/>
      <c r="R297" s="80"/>
      <c r="S297" s="80"/>
      <c r="T297" s="80"/>
      <c r="U297" s="80"/>
      <c r="V297" s="80"/>
      <c r="W297" s="80"/>
      <c r="X297" s="80"/>
      <c r="Y297" s="80"/>
      <c r="Z297" s="80"/>
      <c r="AA297" s="80"/>
      <c r="AB297" s="80"/>
      <c r="AC297" s="80"/>
    </row>
    <row r="298" customFormat="false" ht="11.25" hidden="false" customHeight="false" outlineLevel="0" collapsed="false">
      <c r="A298" s="4"/>
      <c r="B298" s="133" t="s">
        <v>159</v>
      </c>
      <c r="C298" s="132"/>
      <c r="E298" s="12" t="s">
        <v>198</v>
      </c>
      <c r="F298" s="12"/>
      <c r="G298" s="12"/>
      <c r="H298" s="88" t="n">
        <f aca="false">+H296*H297</f>
        <v>0</v>
      </c>
      <c r="I298" s="12"/>
      <c r="J298" s="12"/>
      <c r="K298" s="12"/>
      <c r="L298" s="12"/>
      <c r="M298" s="12"/>
      <c r="N298" s="12"/>
      <c r="O298" s="12"/>
      <c r="P298" s="12"/>
      <c r="Q298" s="12"/>
      <c r="R298" s="12"/>
      <c r="S298" s="12"/>
      <c r="T298" s="12"/>
      <c r="U298" s="12"/>
      <c r="V298" s="12"/>
      <c r="W298" s="12"/>
      <c r="X298" s="12"/>
      <c r="Y298" s="12"/>
      <c r="Z298" s="12"/>
      <c r="AA298" s="12"/>
      <c r="AB298" s="12"/>
      <c r="AC298" s="12"/>
    </row>
    <row r="299" customFormat="false" ht="11.25" hidden="false" customHeight="false" outlineLevel="0" collapsed="false">
      <c r="A299" s="4"/>
      <c r="B299" s="133" t="s">
        <v>160</v>
      </c>
      <c r="C299" s="132"/>
      <c r="E299" s="12" t="s">
        <v>199</v>
      </c>
      <c r="F299" s="12"/>
      <c r="G299" s="12"/>
      <c r="H299" s="141" t="n">
        <v>1</v>
      </c>
      <c r="I299" s="137"/>
      <c r="J299" s="137"/>
      <c r="K299" s="137"/>
      <c r="L299" s="137"/>
      <c r="M299" s="137"/>
      <c r="N299" s="137"/>
      <c r="O299" s="137"/>
      <c r="P299" s="137"/>
      <c r="Q299" s="137"/>
      <c r="R299" s="137"/>
      <c r="S299" s="137"/>
      <c r="T299" s="137"/>
      <c r="U299" s="137"/>
      <c r="V299" s="137"/>
      <c r="W299" s="137"/>
      <c r="X299" s="137"/>
      <c r="Y299" s="137"/>
      <c r="Z299" s="137"/>
      <c r="AA299" s="137"/>
      <c r="AB299" s="137"/>
      <c r="AC299" s="137"/>
    </row>
    <row r="300" customFormat="false" ht="11.25" hidden="false" customHeight="false" outlineLevel="0" collapsed="false">
      <c r="A300" s="4"/>
      <c r="B300" s="138" t="s">
        <v>205</v>
      </c>
      <c r="E300" s="88"/>
      <c r="F300" s="88"/>
      <c r="G300" s="88"/>
      <c r="H300" s="88"/>
      <c r="I300" s="88" t="n">
        <f aca="false">($H298)*(IF($H299=1,I$185,IF($H299=2,I$188,IF($H299=3,I$191,0))))*(stub)</f>
        <v>0</v>
      </c>
      <c r="J300" s="88" t="n">
        <f aca="false">($H298)*(IF($H299=1,J$185,IF($H299=2,J$188,IF($H299=3,J$191,0))))</f>
        <v>0</v>
      </c>
      <c r="K300" s="88" t="n">
        <f aca="false">($H298)*(IF($H299=1,K$185,IF($H299=2,K$188,IF($H299=3,K$191,0))))</f>
        <v>0</v>
      </c>
      <c r="L300" s="88" t="n">
        <f aca="false">($H298)*(IF($H299=1,L$185,IF($H299=2,L$188,IF($H299=3,L$191,0))))</f>
        <v>0</v>
      </c>
      <c r="M300" s="88" t="n">
        <f aca="false">($H298)*(IF($H299=1,M$185,IF($H299=2,M$188,IF($H299=3,M$191,0))))</f>
        <v>0</v>
      </c>
      <c r="N300" s="88" t="n">
        <f aca="false">($H298)*(IF($H299=1,N$185,IF($H299=2,N$188,IF($H299=3,N$191,0))))</f>
        <v>0</v>
      </c>
      <c r="O300" s="88" t="n">
        <f aca="false">($H298)*(IF($H299=1,O$185,IF($H299=2,O$188,IF($H299=3,O$191,0))))</f>
        <v>0</v>
      </c>
      <c r="P300" s="88" t="n">
        <f aca="false">($H298)*(IF($H299=1,P$185,IF($H299=2,P$188,IF($H299=3,P$191,0))))</f>
        <v>0</v>
      </c>
      <c r="Q300" s="88" t="n">
        <f aca="false">($H298)*(IF($H299=1,Q$185,IF($H299=2,Q$188,IF($H299=3,Q$191,0))))</f>
        <v>0</v>
      </c>
      <c r="R300" s="88" t="n">
        <f aca="false">($H298)*(IF($H299=1,R$185,IF($H299=2,R$188,IF($H299=3,R$191,0))))</f>
        <v>0</v>
      </c>
      <c r="S300" s="88" t="n">
        <f aca="false">($H298)*(IF($H299=1,S$185,IF($H299=2,S$188,IF($H299=3,S$191,0))))</f>
        <v>0</v>
      </c>
      <c r="T300" s="88" t="n">
        <f aca="false">($H298)*(IF($H299=1,T$185,IF($H299=2,T$188,IF($H299=3,T$191,0))))</f>
        <v>0</v>
      </c>
      <c r="U300" s="88" t="n">
        <f aca="false">($H298)*(IF($H299=1,U$185,IF($H299=2,U$188,IF($H299=3,U$191,0))))</f>
        <v>0</v>
      </c>
      <c r="V300" s="88" t="n">
        <f aca="false">($H298)*(IF($H299=1,V$185,IF($H299=2,V$188,IF($H299=3,V$191,0))))</f>
        <v>0</v>
      </c>
      <c r="W300" s="88" t="n">
        <f aca="false">($H298)*(IF($H299=1,W$185,IF($H299=2,W$188,IF($H299=3,W$191,0))))</f>
        <v>0</v>
      </c>
      <c r="X300" s="88" t="n">
        <f aca="false">($H298)*(IF($H299=1,X$185,IF($H299=2,X$188,IF($H299=3,X$191,0))))</f>
        <v>0</v>
      </c>
      <c r="Y300" s="88" t="n">
        <f aca="false">($H298)*(IF($H299=1,Y$185,IF($H299=2,Y$188,IF($H299=3,Y$191,0))))</f>
        <v>0</v>
      </c>
      <c r="Z300" s="88" t="n">
        <f aca="false">($H298)*(IF($H299=1,Z$185,IF($H299=2,Z$188,IF($H299=3,Z$191,0))))</f>
        <v>0</v>
      </c>
      <c r="AA300" s="88" t="n">
        <f aca="false">($H298)*(IF($H299=1,AA$185,IF($H299=2,AA$188,IF($H299=3,AA$191,0))))</f>
        <v>0</v>
      </c>
      <c r="AB300" s="88" t="n">
        <f aca="false">($H298)*(IF($H299=1,AB$185,IF($H299=2,AB$188,IF($H299=3,AB$191,0))))</f>
        <v>0</v>
      </c>
      <c r="AC300" s="88" t="n">
        <f aca="false">($H298)*(IF($H299=1,AC$185,IF($H299=2,AC$188,IF($H299=3,AC$191,0))))</f>
        <v>0</v>
      </c>
    </row>
    <row r="301" customFormat="false" ht="11.25" hidden="false" customHeight="false" outlineLevel="0" collapsed="false">
      <c r="A301" s="4"/>
      <c r="B301" s="138"/>
      <c r="E301" s="88"/>
      <c r="F301" s="88"/>
      <c r="G301" s="88"/>
      <c r="H301" s="88"/>
      <c r="I301" s="88"/>
      <c r="J301" s="88"/>
      <c r="K301" s="88"/>
      <c r="L301" s="88"/>
      <c r="M301" s="88"/>
      <c r="N301" s="88"/>
      <c r="O301" s="88"/>
      <c r="P301" s="88"/>
      <c r="Q301" s="88"/>
      <c r="R301" s="88"/>
      <c r="S301" s="88"/>
      <c r="T301" s="88"/>
      <c r="U301" s="88"/>
      <c r="V301" s="88"/>
      <c r="W301" s="88"/>
      <c r="X301" s="88"/>
      <c r="Y301" s="88"/>
      <c r="Z301" s="88"/>
      <c r="AA301" s="88"/>
      <c r="AB301" s="88"/>
      <c r="AC301" s="88"/>
    </row>
    <row r="302" customFormat="false" ht="11.25" hidden="false" customHeight="false" outlineLevel="0" collapsed="false">
      <c r="A302" s="4"/>
      <c r="B302" s="138" t="s">
        <v>206</v>
      </c>
      <c r="E302" s="88"/>
      <c r="F302" s="88"/>
      <c r="G302" s="88"/>
      <c r="H302" s="88"/>
      <c r="I302" s="141" t="n">
        <v>0</v>
      </c>
      <c r="J302" s="141" t="n">
        <v>0</v>
      </c>
      <c r="K302" s="141" t="n">
        <v>0</v>
      </c>
      <c r="L302" s="141" t="n">
        <v>0</v>
      </c>
      <c r="M302" s="141" t="n">
        <v>0</v>
      </c>
      <c r="N302" s="141" t="n">
        <v>0</v>
      </c>
      <c r="O302" s="141" t="n">
        <v>0</v>
      </c>
      <c r="P302" s="141" t="n">
        <v>0</v>
      </c>
      <c r="Q302" s="141" t="n">
        <v>0</v>
      </c>
      <c r="R302" s="141" t="n">
        <v>0</v>
      </c>
      <c r="S302" s="141" t="n">
        <v>0</v>
      </c>
      <c r="T302" s="141" t="n">
        <v>0</v>
      </c>
      <c r="U302" s="141" t="n">
        <v>0</v>
      </c>
      <c r="V302" s="141" t="n">
        <v>0</v>
      </c>
      <c r="W302" s="141" t="n">
        <v>0</v>
      </c>
      <c r="X302" s="141" t="n">
        <v>0</v>
      </c>
      <c r="Y302" s="141" t="n">
        <v>0</v>
      </c>
      <c r="Z302" s="141" t="n">
        <v>0</v>
      </c>
      <c r="AA302" s="141" t="n">
        <v>0</v>
      </c>
      <c r="AB302" s="141" t="n">
        <v>0</v>
      </c>
      <c r="AC302" s="141" t="n">
        <v>0</v>
      </c>
    </row>
    <row r="303" customFormat="false" ht="11.25" hidden="false" customHeight="false" outlineLevel="0" collapsed="false">
      <c r="A303" s="142" t="str">
        <f aca="false">"Total Production Costs - "&amp;C10</f>
        <v>Total Production Costs - PDP</v>
      </c>
      <c r="E303" s="254" t="n">
        <v>0</v>
      </c>
      <c r="F303" s="254" t="n">
        <v>0</v>
      </c>
      <c r="G303" s="254" t="n">
        <v>0</v>
      </c>
      <c r="H303" s="254" t="n">
        <v>0</v>
      </c>
      <c r="I303" s="143" t="n">
        <f aca="false">+I300+I291+I293+I302</f>
        <v>-46.3381060511448</v>
      </c>
      <c r="J303" s="143" t="n">
        <f aca="false">+J300+J291+J293+J302</f>
        <v>-92.6762121022897</v>
      </c>
      <c r="K303" s="143" t="n">
        <f aca="false">+K300+K291+K293+K302</f>
        <v>-77.6661241950787</v>
      </c>
      <c r="L303" s="143" t="n">
        <f aca="false">+L300+L291+L293+L302</f>
        <v>-65.1951232393223</v>
      </c>
      <c r="M303" s="143" t="n">
        <f aca="false">+M300+M291+M293+M302</f>
        <v>-54.8138796399115</v>
      </c>
      <c r="N303" s="143" t="n">
        <f aca="false">+N300+N291+N293+N302</f>
        <v>-46.1560619498397</v>
      </c>
      <c r="O303" s="143" t="n">
        <f aca="false">+O300+O291+O293+O302</f>
        <v>-38.9224209393369</v>
      </c>
      <c r="P303" s="143" t="n">
        <f aca="false">+P300+P291+P293+P302</f>
        <v>-32.8680198524014</v>
      </c>
      <c r="Q303" s="143" t="n">
        <f aca="false">+Q300+Q291+Q293+Q302</f>
        <v>-27.7919743411572</v>
      </c>
      <c r="R303" s="143" t="n">
        <f aca="false">+R300+R291+R293+R302</f>
        <v>-23.529196534625</v>
      </c>
      <c r="S303" s="143" t="n">
        <f aca="false">+S300+S291+S293+S302</f>
        <v>-19.9437413953142</v>
      </c>
      <c r="T303" s="143" t="n">
        <f aca="false">+T300+T291+T293+T302</f>
        <v>-16.9234356689797</v>
      </c>
      <c r="U303" s="143" t="n">
        <f aca="false">+U300+U291+U293+U302</f>
        <v>-14.375534856083</v>
      </c>
      <c r="V303" s="143" t="n">
        <f aca="false">+V300+V291+V293+V302</f>
        <v>-12.2232052917252</v>
      </c>
      <c r="W303" s="143" t="n">
        <f aca="false">+W300+W291+W293+W302</f>
        <v>-10.4026694271771</v>
      </c>
      <c r="X303" s="143" t="n">
        <f aca="false">+X300+X291+X293+X302</f>
        <v>-8.8608849818022</v>
      </c>
      <c r="Y303" s="143" t="n">
        <f aca="false">+Y300+Y291+Y293+Y302</f>
        <v>-7.55365453361186</v>
      </c>
      <c r="Z303" s="143" t="n">
        <f aca="false">+Z300+Z291+Z293+Z302</f>
        <v>-6.44408272618306</v>
      </c>
      <c r="AA303" s="143" t="n">
        <f aca="false">+AA300+AA291+AA293+AA302</f>
        <v>-5.50131468503587</v>
      </c>
      <c r="AB303" s="143" t="n">
        <f aca="false">+AB300+AB291+AB293+AB302</f>
        <v>-4.69950232438134</v>
      </c>
      <c r="AC303" s="143" t="n">
        <f aca="false">+AC300+AC291+AC293+AC302</f>
        <v>-4.01695567104727</v>
      </c>
    </row>
    <row r="304" customFormat="false" ht="11.25" hidden="false" customHeight="false" outlineLevel="0" collapsed="false">
      <c r="A304" s="4" t="str">
        <f aca="false">"Net Oil &amp; Gas Income - "&amp;C10</f>
        <v>Net Oil &amp; Gas Income - PDP</v>
      </c>
      <c r="D304" s="35"/>
      <c r="E304" s="116" t="n">
        <f aca="false">E281-E303</f>
        <v>0</v>
      </c>
      <c r="F304" s="116" t="n">
        <f aca="false">F281-F303</f>
        <v>0</v>
      </c>
      <c r="G304" s="116" t="n">
        <f aca="false">G281-G303</f>
        <v>0</v>
      </c>
      <c r="H304" s="116" t="n">
        <f aca="false">H281-H303</f>
        <v>0</v>
      </c>
      <c r="I304" s="116" t="n">
        <f aca="false">I281-I303</f>
        <v>-457.336959722169</v>
      </c>
      <c r="J304" s="116" t="n">
        <f aca="false">J281-J303</f>
        <v>-914.673919444337</v>
      </c>
      <c r="K304" s="116" t="n">
        <f aca="false">K281-K303</f>
        <v>-766.530877925342</v>
      </c>
      <c r="L304" s="116" t="n">
        <f aca="false">L281-L303</f>
        <v>-643.447520666355</v>
      </c>
      <c r="M304" s="116" t="n">
        <f aca="false">M281-M303</f>
        <v>-540.989159924344</v>
      </c>
      <c r="N304" s="116" t="n">
        <f aca="false">N281-N303</f>
        <v>-455.540263591896</v>
      </c>
      <c r="O304" s="116" t="n">
        <f aca="false">O281-O303</f>
        <v>-384.147371879542</v>
      </c>
      <c r="P304" s="116" t="n">
        <f aca="false">P281-P303</f>
        <v>-324.393065499788</v>
      </c>
      <c r="Q304" s="116" t="n">
        <f aca="false">Q281-Q303</f>
        <v>-274.294703280117</v>
      </c>
      <c r="R304" s="116" t="n">
        <f aca="false">R281-R303</f>
        <v>-232.222939711299</v>
      </c>
      <c r="S304" s="116" t="n">
        <f aca="false">S281-S303</f>
        <v>-196.83605637984</v>
      </c>
      <c r="T304" s="116" t="n">
        <f aca="false">T281-T303</f>
        <v>-167.026952037322</v>
      </c>
      <c r="U304" s="116" t="n">
        <f aca="false">U281-U303</f>
        <v>-141.880278796993</v>
      </c>
      <c r="V304" s="116" t="n">
        <f aca="false">V281-V303</f>
        <v>-120.637721792245</v>
      </c>
      <c r="W304" s="116" t="n">
        <f aca="false">W281-W303</f>
        <v>-102.669824346487</v>
      </c>
      <c r="X304" s="116" t="n">
        <f aca="false">X281-X303</f>
        <v>-87.4530822117</v>
      </c>
      <c r="Y304" s="116" t="n">
        <f aca="false">Y281-Y303</f>
        <v>-74.5512860491257</v>
      </c>
      <c r="Z304" s="116" t="n">
        <f aca="false">Z281-Z303</f>
        <v>-63.6002947323285</v>
      </c>
      <c r="AA304" s="116" t="n">
        <f aca="false">AA281-AA303</f>
        <v>-54.295584065354</v>
      </c>
      <c r="AB304" s="116" t="n">
        <f aca="false">AB281-AB303</f>
        <v>-46.3820446797637</v>
      </c>
      <c r="AC304" s="116" t="n">
        <f aca="false">AC281-AC303</f>
        <v>-39.6456059707709</v>
      </c>
    </row>
    <row r="305" customFormat="false" ht="11.25" hidden="false" customHeight="false" outlineLevel="0" collapsed="false">
      <c r="A305" s="4"/>
      <c r="E305" s="12"/>
      <c r="F305" s="12"/>
      <c r="G305" s="12"/>
      <c r="H305" s="12"/>
      <c r="I305" s="12"/>
      <c r="J305" s="12"/>
      <c r="K305" s="12"/>
      <c r="L305" s="12"/>
      <c r="M305" s="12"/>
      <c r="N305" s="12"/>
      <c r="O305" s="12"/>
      <c r="P305" s="258"/>
      <c r="Q305" s="258"/>
      <c r="R305" s="258"/>
      <c r="S305" s="258"/>
      <c r="T305" s="258"/>
      <c r="U305" s="258"/>
      <c r="V305" s="258"/>
      <c r="W305" s="258"/>
      <c r="X305" s="258"/>
      <c r="Y305" s="268"/>
      <c r="Z305" s="268"/>
      <c r="AA305" s="268"/>
      <c r="AB305" s="268"/>
      <c r="AC305" s="268"/>
    </row>
    <row r="306" customFormat="false" ht="11.25" hidden="false" customHeight="false" outlineLevel="0" collapsed="false">
      <c r="A306" s="4"/>
      <c r="B306" s="35" t="s">
        <v>534</v>
      </c>
      <c r="D306" s="35"/>
      <c r="E306" s="141" t="n">
        <v>0</v>
      </c>
      <c r="F306" s="141" t="n">
        <v>0</v>
      </c>
      <c r="G306" s="141" t="n">
        <v>0</v>
      </c>
      <c r="H306" s="141" t="n">
        <v>0</v>
      </c>
      <c r="I306" s="141" t="n">
        <v>0</v>
      </c>
      <c r="J306" s="141" t="n">
        <v>0</v>
      </c>
      <c r="K306" s="141" t="n">
        <v>0</v>
      </c>
      <c r="L306" s="141" t="n">
        <v>0</v>
      </c>
      <c r="M306" s="141" t="n">
        <v>0</v>
      </c>
      <c r="N306" s="141" t="n">
        <v>0</v>
      </c>
      <c r="O306" s="141" t="n">
        <v>0</v>
      </c>
      <c r="P306" s="141" t="n">
        <v>0</v>
      </c>
      <c r="Q306" s="141" t="n">
        <v>0</v>
      </c>
      <c r="R306" s="141" t="n">
        <v>0</v>
      </c>
      <c r="S306" s="141" t="n">
        <v>0</v>
      </c>
      <c r="T306" s="141" t="n">
        <v>0</v>
      </c>
      <c r="U306" s="141" t="n">
        <v>0</v>
      </c>
      <c r="V306" s="141" t="n">
        <v>0</v>
      </c>
      <c r="W306" s="141" t="n">
        <v>0</v>
      </c>
      <c r="X306" s="141" t="n">
        <v>0</v>
      </c>
      <c r="Y306" s="141" t="n">
        <v>0</v>
      </c>
      <c r="Z306" s="141" t="n">
        <v>0</v>
      </c>
      <c r="AA306" s="141" t="n">
        <v>0</v>
      </c>
      <c r="AB306" s="141" t="n">
        <v>0</v>
      </c>
      <c r="AC306" s="141" t="n">
        <v>0</v>
      </c>
    </row>
    <row r="307" customFormat="false" ht="11.25" hidden="false" customHeight="false" outlineLevel="0" collapsed="false">
      <c r="A307" s="4"/>
      <c r="B307" s="35"/>
      <c r="C307" s="35"/>
      <c r="D307" s="35"/>
      <c r="E307" s="260"/>
      <c r="F307" s="260"/>
      <c r="G307" s="260"/>
      <c r="H307" s="260"/>
      <c r="I307" s="260"/>
      <c r="J307" s="260"/>
      <c r="K307" s="260"/>
      <c r="L307" s="260"/>
      <c r="M307" s="260"/>
      <c r="N307" s="260"/>
      <c r="O307" s="260"/>
      <c r="P307" s="260"/>
      <c r="Q307" s="260"/>
      <c r="R307" s="260"/>
      <c r="S307" s="260"/>
      <c r="T307" s="260"/>
      <c r="U307" s="260"/>
      <c r="V307" s="260"/>
      <c r="W307" s="260"/>
      <c r="X307" s="260"/>
      <c r="Y307" s="271"/>
      <c r="Z307" s="271"/>
      <c r="AA307" s="271"/>
      <c r="AB307" s="271"/>
      <c r="AC307" s="271"/>
    </row>
    <row r="308" customFormat="false" ht="12" hidden="false" customHeight="false" outlineLevel="0" collapsed="false">
      <c r="A308" s="4"/>
      <c r="B308" s="35"/>
      <c r="C308" s="35"/>
      <c r="D308" s="35"/>
      <c r="E308" s="110"/>
      <c r="F308" s="110"/>
      <c r="G308" s="110"/>
      <c r="H308" s="110"/>
      <c r="I308" s="110"/>
      <c r="J308" s="110"/>
      <c r="K308" s="110"/>
      <c r="L308" s="110"/>
      <c r="M308" s="110"/>
      <c r="N308" s="110"/>
      <c r="O308" s="110"/>
      <c r="P308" s="110"/>
      <c r="Q308" s="110"/>
      <c r="R308" s="110"/>
      <c r="S308" s="110"/>
      <c r="T308" s="110"/>
      <c r="U308" s="110"/>
      <c r="V308" s="110"/>
      <c r="W308" s="110"/>
      <c r="X308" s="110"/>
      <c r="Y308" s="272"/>
      <c r="Z308" s="272"/>
      <c r="AA308" s="272"/>
      <c r="AB308" s="272"/>
      <c r="AC308" s="272"/>
    </row>
    <row r="309" customFormat="false" ht="12.75" hidden="false" customHeight="false" outlineLevel="0" collapsed="false">
      <c r="A309" s="4" t="s">
        <v>172</v>
      </c>
      <c r="B309" s="35"/>
      <c r="C309" s="35"/>
      <c r="D309" s="35"/>
      <c r="E309" s="81" t="str">
        <f aca="false">+E$3</f>
        <v>1996 </v>
      </c>
      <c r="F309" s="81" t="str">
        <f aca="false">+F$3</f>
        <v>1997 </v>
      </c>
      <c r="G309" s="81" t="str">
        <f aca="false">+G$3</f>
        <v>1998 </v>
      </c>
      <c r="H309" s="81" t="str">
        <f aca="false">+H$3</f>
        <v>6 M/1999 </v>
      </c>
      <c r="I309" s="81" t="str">
        <f aca="false">+I$3</f>
        <v>6 M/1999 </v>
      </c>
      <c r="J309" s="81" t="n">
        <f aca="false">+J$3</f>
        <v>2000</v>
      </c>
      <c r="K309" s="81" t="n">
        <f aca="false">+K$3</f>
        <v>2001</v>
      </c>
      <c r="L309" s="81" t="n">
        <f aca="false">+L$3</f>
        <v>2002</v>
      </c>
      <c r="M309" s="81" t="n">
        <f aca="false">+M$3</f>
        <v>2003</v>
      </c>
      <c r="N309" s="81" t="n">
        <f aca="false">+N$3</f>
        <v>2004</v>
      </c>
      <c r="O309" s="81" t="n">
        <f aca="false">+O$3</f>
        <v>2005</v>
      </c>
      <c r="P309" s="81" t="n">
        <f aca="false">+P$3</f>
        <v>2006</v>
      </c>
      <c r="Q309" s="81" t="n">
        <f aca="false">+Q$3</f>
        <v>2007</v>
      </c>
      <c r="R309" s="81" t="n">
        <f aca="false">+R$3</f>
        <v>2008</v>
      </c>
      <c r="S309" s="81" t="n">
        <f aca="false">+S$3</f>
        <v>2009</v>
      </c>
      <c r="T309" s="81" t="n">
        <f aca="false">+T$3</f>
        <v>2010</v>
      </c>
      <c r="U309" s="81" t="n">
        <f aca="false">+U$3</f>
        <v>2011</v>
      </c>
      <c r="V309" s="81" t="n">
        <f aca="false">+V$3</f>
        <v>2012</v>
      </c>
      <c r="W309" s="81" t="n">
        <f aca="false">+W$3</f>
        <v>2013</v>
      </c>
      <c r="X309" s="81" t="n">
        <f aca="false">+X$3</f>
        <v>2014</v>
      </c>
      <c r="Y309" s="81" t="n">
        <f aca="false">+Y$3</f>
        <v>2015</v>
      </c>
      <c r="Z309" s="81" t="n">
        <f aca="false">+Z$3</f>
        <v>2016</v>
      </c>
      <c r="AA309" s="81" t="n">
        <f aca="false">+AA$3</f>
        <v>2017</v>
      </c>
      <c r="AB309" s="81" t="n">
        <f aca="false">+AB$3</f>
        <v>2018</v>
      </c>
      <c r="AC309" s="81" t="n">
        <f aca="false">+AC$3</f>
        <v>2019</v>
      </c>
    </row>
    <row r="310" customFormat="false" ht="13.5" hidden="false" customHeight="false" outlineLevel="0" collapsed="false">
      <c r="A310" s="107" t="str">
        <f aca="false">+C12</f>
        <v>PDNP</v>
      </c>
      <c r="B310" s="35"/>
      <c r="C310" s="35"/>
      <c r="D310" s="35"/>
      <c r="E310" s="108" t="s">
        <v>388</v>
      </c>
      <c r="F310" s="108" t="s">
        <v>535</v>
      </c>
      <c r="G310" s="108" t="s">
        <v>390</v>
      </c>
      <c r="H310" s="250"/>
      <c r="I310" s="250"/>
      <c r="J310" s="250"/>
      <c r="K310" s="250"/>
      <c r="L310" s="250"/>
      <c r="M310" s="250"/>
      <c r="N310" s="250"/>
      <c r="O310" s="250"/>
      <c r="P310" s="250"/>
      <c r="Q310" s="250"/>
      <c r="R310" s="250"/>
      <c r="S310" s="250"/>
      <c r="T310" s="250"/>
      <c r="U310" s="250"/>
      <c r="V310" s="250"/>
      <c r="W310" s="250"/>
      <c r="X310" s="250"/>
      <c r="Y310" s="250"/>
      <c r="Z310" s="250"/>
      <c r="AA310" s="250"/>
      <c r="AB310" s="250"/>
      <c r="AC310" s="250"/>
    </row>
    <row r="311" customFormat="false" ht="12.75" hidden="false" customHeight="false" outlineLevel="0" collapsed="false">
      <c r="A311" s="107"/>
      <c r="B311" s="35"/>
      <c r="C311" s="35"/>
      <c r="D311" s="35"/>
      <c r="E311" s="259" t="n">
        <v>0.8</v>
      </c>
      <c r="F311" s="273" t="n">
        <v>1</v>
      </c>
      <c r="G311" s="259" t="n">
        <v>1.1</v>
      </c>
      <c r="H311" s="250"/>
      <c r="I311" s="250"/>
      <c r="J311" s="250"/>
      <c r="K311" s="250"/>
      <c r="L311" s="250"/>
      <c r="M311" s="250"/>
      <c r="N311" s="250"/>
      <c r="O311" s="250"/>
      <c r="P311" s="250"/>
      <c r="Q311" s="250"/>
      <c r="R311" s="250"/>
      <c r="S311" s="250"/>
      <c r="T311" s="250"/>
      <c r="U311" s="250"/>
      <c r="V311" s="250"/>
      <c r="W311" s="250"/>
      <c r="X311" s="250"/>
      <c r="Y311" s="250"/>
      <c r="Z311" s="250"/>
      <c r="AA311" s="250"/>
      <c r="AB311" s="250"/>
      <c r="AC311" s="250"/>
    </row>
    <row r="312" customFormat="false" ht="12.75" hidden="false" customHeight="false" outlineLevel="0" collapsed="false">
      <c r="A312" s="107"/>
      <c r="B312" s="35"/>
      <c r="C312" s="35"/>
      <c r="D312" s="35"/>
      <c r="E312" s="108"/>
      <c r="F312" s="108"/>
      <c r="G312" s="108"/>
      <c r="H312" s="250"/>
      <c r="I312" s="250" t="n">
        <v>2.589</v>
      </c>
      <c r="J312" s="250" t="n">
        <v>8.145</v>
      </c>
      <c r="K312" s="250" t="n">
        <v>4.985</v>
      </c>
      <c r="L312" s="250" t="n">
        <v>7.39</v>
      </c>
      <c r="M312" s="250" t="n">
        <v>14.324</v>
      </c>
      <c r="N312" s="250" t="n">
        <v>7.688</v>
      </c>
      <c r="O312" s="250" t="n">
        <v>4.804</v>
      </c>
      <c r="P312" s="250" t="n">
        <v>1.293</v>
      </c>
      <c r="Q312" s="250" t="n">
        <v>1.099</v>
      </c>
      <c r="R312" s="250" t="n">
        <v>0.934</v>
      </c>
      <c r="S312" s="250" t="n">
        <v>0.794</v>
      </c>
      <c r="T312" s="250" t="n">
        <v>0.675</v>
      </c>
      <c r="U312" s="250" t="n">
        <v>0.574</v>
      </c>
      <c r="V312" s="250" t="n">
        <v>0.488</v>
      </c>
      <c r="W312" s="250" t="n">
        <v>0.414</v>
      </c>
      <c r="X312" s="250" t="n">
        <v>0.352</v>
      </c>
      <c r="Y312" s="250" t="n">
        <v>0.299</v>
      </c>
      <c r="Z312" s="250"/>
      <c r="AA312" s="250"/>
      <c r="AB312" s="250"/>
      <c r="AC312" s="250"/>
    </row>
    <row r="313" customFormat="false" ht="11.25" hidden="false" customHeight="false" outlineLevel="0" collapsed="false">
      <c r="A313" s="109" t="s">
        <v>174</v>
      </c>
      <c r="B313" s="43" t="s">
        <v>515</v>
      </c>
      <c r="C313" s="35"/>
      <c r="D313" s="35"/>
      <c r="E313" s="108"/>
      <c r="F313" s="108"/>
      <c r="G313" s="108"/>
      <c r="H313" s="250"/>
      <c r="I313" s="141" t="n">
        <f aca="false">I312*$F$311</f>
        <v>2.589</v>
      </c>
      <c r="J313" s="141" t="n">
        <f aca="false">J312*$F$311</f>
        <v>8.145</v>
      </c>
      <c r="K313" s="141" t="n">
        <f aca="false">K312*$F$311</f>
        <v>4.985</v>
      </c>
      <c r="L313" s="141" t="n">
        <f aca="false">L312*$F$311</f>
        <v>7.39</v>
      </c>
      <c r="M313" s="141" t="n">
        <f aca="false">M312*$F$311</f>
        <v>14.324</v>
      </c>
      <c r="N313" s="141" t="n">
        <f aca="false">N312*$F$311</f>
        <v>7.688</v>
      </c>
      <c r="O313" s="141" t="n">
        <f aca="false">O312*$F$311</f>
        <v>4.804</v>
      </c>
      <c r="P313" s="141" t="n">
        <f aca="false">P312*$F$311</f>
        <v>1.293</v>
      </c>
      <c r="Q313" s="141" t="n">
        <f aca="false">Q312*$F$311</f>
        <v>1.099</v>
      </c>
      <c r="R313" s="141" t="n">
        <f aca="false">R312*$F$311</f>
        <v>0.934</v>
      </c>
      <c r="S313" s="141" t="n">
        <f aca="false">S312*$F$311</f>
        <v>0.794</v>
      </c>
      <c r="T313" s="141" t="n">
        <f aca="false">T312*$F$311</f>
        <v>0.675</v>
      </c>
      <c r="U313" s="141" t="n">
        <f aca="false">U312*$F$311</f>
        <v>0.574</v>
      </c>
      <c r="V313" s="141" t="n">
        <f aca="false">V312*$F$311</f>
        <v>0.488</v>
      </c>
      <c r="W313" s="141" t="n">
        <f aca="false">W312*$F$311</f>
        <v>0.414</v>
      </c>
      <c r="X313" s="141" t="n">
        <f aca="false">X312*$F$311</f>
        <v>0.352</v>
      </c>
      <c r="Y313" s="141" t="n">
        <f aca="false">Y312*$F$311</f>
        <v>0.299</v>
      </c>
      <c r="Z313" s="141" t="n">
        <f aca="false">Z312*$F$311</f>
        <v>0</v>
      </c>
      <c r="AA313" s="141" t="n">
        <f aca="false">AA312*$F$311</f>
        <v>0</v>
      </c>
      <c r="AB313" s="141" t="n">
        <f aca="false">AB312*$F$311</f>
        <v>0</v>
      </c>
      <c r="AC313" s="141" t="n">
        <f aca="false">AC312*$F$311</f>
        <v>0</v>
      </c>
      <c r="AD313" s="141" t="n">
        <v>0</v>
      </c>
    </row>
    <row r="314" customFormat="false" ht="12.75" hidden="false" customHeight="false" outlineLevel="0" collapsed="false">
      <c r="A314" s="107"/>
      <c r="B314" s="43" t="s">
        <v>517</v>
      </c>
      <c r="C314" s="35"/>
      <c r="D314" s="35"/>
      <c r="E314" s="108"/>
      <c r="F314" s="108"/>
      <c r="G314" s="108"/>
      <c r="H314" s="250"/>
      <c r="I314" s="26" t="n">
        <v>1</v>
      </c>
      <c r="J314" s="26" t="n">
        <f aca="false">I314</f>
        <v>1</v>
      </c>
      <c r="K314" s="26" t="n">
        <f aca="false">J314</f>
        <v>1</v>
      </c>
      <c r="L314" s="26" t="n">
        <f aca="false">K314</f>
        <v>1</v>
      </c>
      <c r="M314" s="26" t="n">
        <f aca="false">L314</f>
        <v>1</v>
      </c>
      <c r="N314" s="26" t="n">
        <f aca="false">M314</f>
        <v>1</v>
      </c>
      <c r="O314" s="26" t="n">
        <f aca="false">N314</f>
        <v>1</v>
      </c>
      <c r="P314" s="26" t="n">
        <f aca="false">O314</f>
        <v>1</v>
      </c>
      <c r="Q314" s="26" t="n">
        <f aca="false">P314</f>
        <v>1</v>
      </c>
      <c r="R314" s="26" t="n">
        <f aca="false">Q314</f>
        <v>1</v>
      </c>
      <c r="S314" s="26" t="n">
        <f aca="false">R314</f>
        <v>1</v>
      </c>
      <c r="T314" s="26" t="n">
        <f aca="false">S314</f>
        <v>1</v>
      </c>
      <c r="U314" s="26" t="n">
        <f aca="false">T314</f>
        <v>1</v>
      </c>
      <c r="V314" s="26" t="n">
        <f aca="false">U314</f>
        <v>1</v>
      </c>
      <c r="W314" s="26" t="n">
        <f aca="false">V314</f>
        <v>1</v>
      </c>
      <c r="X314" s="26" t="n">
        <f aca="false">W314</f>
        <v>1</v>
      </c>
      <c r="Y314" s="26" t="n">
        <f aca="false">X314</f>
        <v>1</v>
      </c>
      <c r="Z314" s="26" t="n">
        <f aca="false">Y314</f>
        <v>1</v>
      </c>
      <c r="AA314" s="26" t="n">
        <f aca="false">Z314</f>
        <v>1</v>
      </c>
      <c r="AB314" s="26" t="n">
        <f aca="false">AA314</f>
        <v>1</v>
      </c>
      <c r="AC314" s="26" t="n">
        <f aca="false">AB314</f>
        <v>1</v>
      </c>
    </row>
    <row r="315" customFormat="false" ht="11.25" hidden="false" customHeight="false" outlineLevel="0" collapsed="false">
      <c r="B315" s="43" t="s">
        <v>518</v>
      </c>
      <c r="C315" s="35"/>
      <c r="D315" s="35"/>
      <c r="E315" s="108"/>
      <c r="F315" s="108"/>
      <c r="G315" s="108"/>
      <c r="H315" s="250"/>
      <c r="I315" s="120" t="n">
        <f aca="false">+I313*I314</f>
        <v>2.589</v>
      </c>
      <c r="J315" s="120" t="n">
        <f aca="false">+J313*J314</f>
        <v>8.145</v>
      </c>
      <c r="K315" s="120" t="n">
        <f aca="false">+K313*K314</f>
        <v>4.985</v>
      </c>
      <c r="L315" s="120" t="n">
        <f aca="false">+L313*L314</f>
        <v>7.39</v>
      </c>
      <c r="M315" s="120" t="n">
        <f aca="false">+M313*M314</f>
        <v>14.324</v>
      </c>
      <c r="N315" s="120" t="n">
        <f aca="false">+N313*N314</f>
        <v>7.688</v>
      </c>
      <c r="O315" s="120" t="n">
        <f aca="false">+O313*O314</f>
        <v>4.804</v>
      </c>
      <c r="P315" s="120" t="n">
        <f aca="false">+P313*P314</f>
        <v>1.293</v>
      </c>
      <c r="Q315" s="120" t="n">
        <f aca="false">+Q313*Q314</f>
        <v>1.099</v>
      </c>
      <c r="R315" s="120" t="n">
        <f aca="false">+R313*R314</f>
        <v>0.934</v>
      </c>
      <c r="S315" s="120" t="n">
        <f aca="false">+S313*S314</f>
        <v>0.794</v>
      </c>
      <c r="T315" s="120" t="n">
        <f aca="false">+T313*T314</f>
        <v>0.675</v>
      </c>
      <c r="U315" s="120" t="n">
        <f aca="false">+U313*U314</f>
        <v>0.574</v>
      </c>
      <c r="V315" s="120" t="n">
        <f aca="false">+V313*V314</f>
        <v>0.488</v>
      </c>
      <c r="W315" s="120" t="n">
        <f aca="false">+W313*W314</f>
        <v>0.414</v>
      </c>
      <c r="X315" s="120" t="n">
        <f aca="false">+X313*X314</f>
        <v>0.352</v>
      </c>
      <c r="Y315" s="120" t="n">
        <f aca="false">+Y313*Y314</f>
        <v>0.299</v>
      </c>
      <c r="Z315" s="120" t="n">
        <f aca="false">+Z313*Z314</f>
        <v>0</v>
      </c>
      <c r="AA315" s="120" t="n">
        <f aca="false">+AA313*AA314</f>
        <v>0</v>
      </c>
      <c r="AB315" s="120" t="n">
        <f aca="false">+AB313*AB314</f>
        <v>0</v>
      </c>
      <c r="AC315" s="120" t="n">
        <f aca="false">+AC313*AC314</f>
        <v>0</v>
      </c>
    </row>
    <row r="316" customFormat="false" ht="12.75" hidden="false" customHeight="false" outlineLevel="0" collapsed="false">
      <c r="A316" s="107"/>
      <c r="B316" s="35" t="s">
        <v>176</v>
      </c>
      <c r="C316" s="35"/>
      <c r="D316" s="35"/>
      <c r="E316" s="108"/>
      <c r="F316" s="108"/>
      <c r="G316" s="108"/>
      <c r="H316" s="250"/>
      <c r="I316" s="26" t="n">
        <v>1</v>
      </c>
      <c r="J316" s="26" t="n">
        <f aca="false">I316</f>
        <v>1</v>
      </c>
      <c r="K316" s="26" t="n">
        <f aca="false">J316</f>
        <v>1</v>
      </c>
      <c r="L316" s="26" t="n">
        <f aca="false">K316</f>
        <v>1</v>
      </c>
      <c r="M316" s="26" t="n">
        <f aca="false">L316</f>
        <v>1</v>
      </c>
      <c r="N316" s="26" t="n">
        <f aca="false">M316</f>
        <v>1</v>
      </c>
      <c r="O316" s="26" t="n">
        <f aca="false">N316</f>
        <v>1</v>
      </c>
      <c r="P316" s="26" t="n">
        <f aca="false">O316</f>
        <v>1</v>
      </c>
      <c r="Q316" s="26" t="n">
        <f aca="false">P316</f>
        <v>1</v>
      </c>
      <c r="R316" s="26" t="n">
        <f aca="false">Q316</f>
        <v>1</v>
      </c>
      <c r="S316" s="26" t="n">
        <f aca="false">R316</f>
        <v>1</v>
      </c>
      <c r="T316" s="26" t="n">
        <f aca="false">S316</f>
        <v>1</v>
      </c>
      <c r="U316" s="26" t="n">
        <f aca="false">T316</f>
        <v>1</v>
      </c>
      <c r="V316" s="26" t="n">
        <f aca="false">U316</f>
        <v>1</v>
      </c>
      <c r="W316" s="26" t="n">
        <f aca="false">V316</f>
        <v>1</v>
      </c>
      <c r="X316" s="26" t="n">
        <f aca="false">W316</f>
        <v>1</v>
      </c>
      <c r="Y316" s="26" t="n">
        <f aca="false">X316</f>
        <v>1</v>
      </c>
      <c r="Z316" s="26" t="n">
        <f aca="false">Y316</f>
        <v>1</v>
      </c>
      <c r="AA316" s="26" t="n">
        <f aca="false">Z316</f>
        <v>1</v>
      </c>
      <c r="AB316" s="26" t="n">
        <f aca="false">AA316</f>
        <v>1</v>
      </c>
      <c r="AC316" s="26" t="n">
        <f aca="false">AB316</f>
        <v>1</v>
      </c>
    </row>
    <row r="317" customFormat="false" ht="11.25" hidden="false" customHeight="false" outlineLevel="0" collapsed="false">
      <c r="B317" s="43" t="s">
        <v>519</v>
      </c>
      <c r="D317" s="35"/>
      <c r="E317" s="110"/>
      <c r="F317" s="110"/>
      <c r="H317" s="258"/>
      <c r="I317" s="120" t="n">
        <f aca="false">+I315*I316</f>
        <v>2.589</v>
      </c>
      <c r="J317" s="120" t="n">
        <f aca="false">+J315*J316</f>
        <v>8.145</v>
      </c>
      <c r="K317" s="120" t="n">
        <f aca="false">+K315*K316</f>
        <v>4.985</v>
      </c>
      <c r="L317" s="120" t="n">
        <f aca="false">+L315*L316</f>
        <v>7.39</v>
      </c>
      <c r="M317" s="120" t="n">
        <f aca="false">+M315*M316</f>
        <v>14.324</v>
      </c>
      <c r="N317" s="120" t="n">
        <f aca="false">+N315*N316</f>
        <v>7.688</v>
      </c>
      <c r="O317" s="120" t="n">
        <f aca="false">+O315*O316</f>
        <v>4.804</v>
      </c>
      <c r="P317" s="120" t="n">
        <f aca="false">+P315*P316</f>
        <v>1.293</v>
      </c>
      <c r="Q317" s="120" t="n">
        <f aca="false">+Q315*Q316</f>
        <v>1.099</v>
      </c>
      <c r="R317" s="120" t="n">
        <f aca="false">+R315*R316</f>
        <v>0.934</v>
      </c>
      <c r="S317" s="120" t="n">
        <f aca="false">+S315*S316</f>
        <v>0.794</v>
      </c>
      <c r="T317" s="120" t="n">
        <f aca="false">+T315*T316</f>
        <v>0.675</v>
      </c>
      <c r="U317" s="120" t="n">
        <f aca="false">+U315*U316</f>
        <v>0.574</v>
      </c>
      <c r="V317" s="120" t="n">
        <f aca="false">+V315*V316</f>
        <v>0.488</v>
      </c>
      <c r="W317" s="120" t="n">
        <f aca="false">+W315*W316</f>
        <v>0.414</v>
      </c>
      <c r="X317" s="120" t="n">
        <f aca="false">+X315*X316</f>
        <v>0.352</v>
      </c>
      <c r="Y317" s="120" t="n">
        <f aca="false">+Y315*Y316</f>
        <v>0.299</v>
      </c>
      <c r="Z317" s="120" t="n">
        <f aca="false">+Z315*Z316</f>
        <v>0</v>
      </c>
      <c r="AA317" s="120" t="n">
        <f aca="false">+AA315*AA316</f>
        <v>0</v>
      </c>
      <c r="AB317" s="120" t="n">
        <f aca="false">+AB315*AB316</f>
        <v>0</v>
      </c>
      <c r="AC317" s="120" t="n">
        <f aca="false">+AC315*AC316</f>
        <v>0</v>
      </c>
      <c r="AD317" s="67" t="n">
        <f aca="false">SUM(E317:AC317)</f>
        <v>56.847</v>
      </c>
    </row>
    <row r="318" customFormat="false" ht="11.25" hidden="false" customHeight="false" outlineLevel="0" collapsed="false">
      <c r="D318" s="35"/>
      <c r="E318" s="110"/>
      <c r="F318" s="110"/>
      <c r="H318" s="258"/>
    </row>
    <row r="319" customFormat="false" ht="11.25" hidden="false" customHeight="false" outlineLevel="0" collapsed="false">
      <c r="A319" s="109"/>
      <c r="B319" s="43" t="s">
        <v>520</v>
      </c>
      <c r="D319" s="102" t="n">
        <v>5</v>
      </c>
      <c r="H319" s="12"/>
      <c r="I319" s="112" t="n">
        <f aca="false">IF($D319=1,I$212,IF($D319=2,I$215,IF($D319=3,I$217,IF($D319=4,I$219,IF($D319=5,I$221,IF($D319=5,I$223,I$212))))))</f>
        <v>0</v>
      </c>
      <c r="J319" s="112" t="n">
        <f aca="false">IF($D319=1,J$212,IF($D319=2,J$215,IF($D319=3,J$217,IF($D319=4,J$219,IF($D319=5,J$221,IF($D319=5,J$223,J$212))))))</f>
        <v>0</v>
      </c>
      <c r="K319" s="112" t="n">
        <f aca="false">IF($D319=1,K$212,IF($D319=2,K$215,IF($D319=3,K$217,IF($D319=4,K$219,IF($D319=5,K$221,IF($D319=5,K$223,K$212))))))</f>
        <v>0</v>
      </c>
      <c r="L319" s="112" t="n">
        <f aca="false">IF($D319=1,L$212,IF($D319=2,L$215,IF($D319=3,L$217,IF($D319=4,L$219,IF($D319=5,L$221,IF($D319=5,L$223,L$212))))))</f>
        <v>0</v>
      </c>
      <c r="M319" s="112" t="n">
        <f aca="false">IF($D319=1,M$212,IF($D319=2,M$215,IF($D319=3,M$217,IF($D319=4,M$219,IF($D319=5,M$221,IF($D319=5,M$223,M$212))))))</f>
        <v>0</v>
      </c>
      <c r="N319" s="112" t="n">
        <f aca="false">IF($D319=1,N$212,IF($D319=2,N$215,IF($D319=3,N$217,IF($D319=4,N$219,IF($D319=5,N$221,IF($D319=5,N$223,N$212))))))</f>
        <v>0</v>
      </c>
      <c r="O319" s="112" t="n">
        <f aca="false">IF($D319=1,O$212,IF($D319=2,O$215,IF($D319=3,O$217,IF($D319=4,O$219,IF($D319=5,O$221,IF($D319=5,O$223,O$212))))))</f>
        <v>0</v>
      </c>
      <c r="P319" s="112" t="n">
        <f aca="false">IF($D319=1,P$212,IF($D319=2,P$215,IF($D319=3,P$217,IF($D319=4,P$219,IF($D319=5,P$221,IF($D319=5,P$223,P$212))))))</f>
        <v>0</v>
      </c>
      <c r="Q319" s="112" t="n">
        <f aca="false">IF($D319=1,Q$212,IF($D319=2,Q$215,IF($D319=3,Q$217,IF($D319=4,Q$219,IF($D319=5,Q$221,IF($D319=5,Q$223,Q$212))))))</f>
        <v>0</v>
      </c>
      <c r="R319" s="112" t="n">
        <f aca="false">IF($D319=1,R$212,IF($D319=2,R$215,IF($D319=3,R$217,IF($D319=4,R$219,IF($D319=5,R$221,IF($D319=5,R$223,R$212))))))</f>
        <v>0</v>
      </c>
      <c r="S319" s="112" t="n">
        <f aca="false">IF($D319=1,S$212,IF($D319=2,S$215,IF($D319=3,S$217,IF($D319=4,S$219,IF($D319=5,S$221,IF($D319=5,S$223,S$212))))))</f>
        <v>0</v>
      </c>
      <c r="T319" s="112" t="n">
        <f aca="false">IF($D319=1,T$212,IF($D319=2,T$215,IF($D319=3,T$217,IF($D319=4,T$219,IF($D319=5,T$221,IF($D319=5,T$223,T$212))))))</f>
        <v>0</v>
      </c>
      <c r="U319" s="112" t="n">
        <f aca="false">IF($D319=1,U$212,IF($D319=2,U$215,IF($D319=3,U$217,IF($D319=4,U$219,IF($D319=5,U$221,IF($D319=5,U$223,U$212))))))</f>
        <v>0</v>
      </c>
      <c r="V319" s="112" t="n">
        <f aca="false">IF($D319=1,V$212,IF($D319=2,V$215,IF($D319=3,V$217,IF($D319=4,V$219,IF($D319=5,V$221,IF($D319=5,V$223,V$212))))))</f>
        <v>0</v>
      </c>
      <c r="W319" s="112" t="n">
        <f aca="false">IF($D319=1,W$212,IF($D319=2,W$215,IF($D319=3,W$217,IF($D319=4,W$219,IF($D319=5,W$221,IF($D319=5,W$223,W$212))))))</f>
        <v>0</v>
      </c>
      <c r="X319" s="112" t="n">
        <f aca="false">IF($D319=1,X$212,IF($D319=2,X$215,IF($D319=3,X$217,IF($D319=4,X$219,IF($D319=5,X$221,IF($D319=5,X$223,X$212))))))</f>
        <v>0</v>
      </c>
      <c r="Y319" s="112" t="n">
        <f aca="false">IF($D319=1,Y$212,IF($D319=2,Y$215,IF($D319=3,Y$217,IF($D319=4,Y$219,IF($D319=5,Y$221,IF($D319=5,Y$223,Y$212))))))</f>
        <v>0</v>
      </c>
      <c r="Z319" s="112" t="n">
        <f aca="false">IF($D319=1,Z$212,IF($D319=2,Z$215,IF($D319=3,Z$217,IF($D319=4,Z$219,IF($D319=5,Z$221,IF($D319=5,Z$223,Z$212))))))</f>
        <v>0</v>
      </c>
      <c r="AA319" s="112" t="n">
        <f aca="false">IF($D319=1,AA$212,IF($D319=2,AA$215,IF($D319=3,AA$217,IF($D319=4,AA$219,IF($D319=5,AA$221,IF($D319=5,AA$223,AA$212))))))</f>
        <v>0</v>
      </c>
      <c r="AB319" s="112" t="n">
        <f aca="false">IF($D319=1,AB$212,IF($D319=2,AB$215,IF($D319=3,AB$217,IF($D319=4,AB$219,IF($D319=5,AB$221,IF($D319=5,AB$223,AB$212))))))</f>
        <v>0</v>
      </c>
      <c r="AC319" s="112" t="n">
        <f aca="false">IF($D319=1,AC$212,IF($D319=2,AC$215,IF($D319=3,AC$217,IF($D319=4,AC$219,IF($D319=5,AC$221,IF($D319=5,AC$223,AC$212))))))</f>
        <v>0</v>
      </c>
    </row>
    <row r="320" customFormat="false" ht="11.25" hidden="false" customHeight="false" outlineLevel="0" collapsed="false">
      <c r="A320" s="109"/>
      <c r="B320" s="43" t="s">
        <v>179</v>
      </c>
      <c r="D320" s="35"/>
      <c r="H320" s="12"/>
      <c r="I320" s="99" t="n">
        <v>-2.375</v>
      </c>
      <c r="J320" s="99" t="n">
        <f aca="false">I320</f>
        <v>-2.375</v>
      </c>
      <c r="K320" s="99" t="n">
        <f aca="false">J320</f>
        <v>-2.375</v>
      </c>
      <c r="L320" s="99" t="n">
        <f aca="false">K320</f>
        <v>-2.375</v>
      </c>
      <c r="M320" s="99" t="n">
        <f aca="false">L320</f>
        <v>-2.375</v>
      </c>
      <c r="N320" s="99" t="n">
        <f aca="false">M320</f>
        <v>-2.375</v>
      </c>
      <c r="O320" s="99" t="n">
        <f aca="false">N320</f>
        <v>-2.375</v>
      </c>
      <c r="P320" s="99" t="n">
        <f aca="false">O320</f>
        <v>-2.375</v>
      </c>
      <c r="Q320" s="99" t="n">
        <f aca="false">P320</f>
        <v>-2.375</v>
      </c>
      <c r="R320" s="99" t="n">
        <f aca="false">Q320</f>
        <v>-2.375</v>
      </c>
      <c r="S320" s="99" t="n">
        <f aca="false">R320</f>
        <v>-2.375</v>
      </c>
      <c r="T320" s="99" t="n">
        <f aca="false">S320</f>
        <v>-2.375</v>
      </c>
      <c r="U320" s="99" t="n">
        <f aca="false">T320</f>
        <v>-2.375</v>
      </c>
      <c r="V320" s="99" t="n">
        <f aca="false">U320</f>
        <v>-2.375</v>
      </c>
      <c r="W320" s="99" t="n">
        <f aca="false">V320</f>
        <v>-2.375</v>
      </c>
      <c r="X320" s="99" t="n">
        <f aca="false">W320</f>
        <v>-2.375</v>
      </c>
      <c r="Y320" s="99" t="n">
        <f aca="false">X320</f>
        <v>-2.375</v>
      </c>
      <c r="Z320" s="99" t="n">
        <f aca="false">Y320</f>
        <v>-2.375</v>
      </c>
      <c r="AA320" s="99" t="n">
        <f aca="false">Z320</f>
        <v>-2.375</v>
      </c>
      <c r="AB320" s="99" t="n">
        <f aca="false">AA320</f>
        <v>-2.375</v>
      </c>
      <c r="AC320" s="99" t="n">
        <f aca="false">AB320</f>
        <v>-2.375</v>
      </c>
    </row>
    <row r="321" customFormat="false" ht="11.25" hidden="false" customHeight="false" outlineLevel="0" collapsed="false">
      <c r="A321" s="109"/>
      <c r="B321" s="43" t="s">
        <v>180</v>
      </c>
      <c r="D321" s="35"/>
      <c r="H321" s="12"/>
      <c r="I321" s="257" t="n">
        <f aca="false">+I319+I320</f>
        <v>-2.375</v>
      </c>
      <c r="J321" s="257" t="n">
        <f aca="false">+J319+J320</f>
        <v>-2.375</v>
      </c>
      <c r="K321" s="257" t="n">
        <f aca="false">+K319+K320</f>
        <v>-2.375</v>
      </c>
      <c r="L321" s="257" t="n">
        <f aca="false">+L319+L320</f>
        <v>-2.375</v>
      </c>
      <c r="M321" s="257" t="n">
        <f aca="false">+M319+M320</f>
        <v>-2.375</v>
      </c>
      <c r="N321" s="257" t="n">
        <f aca="false">+N319+N320</f>
        <v>-2.375</v>
      </c>
      <c r="O321" s="257" t="n">
        <f aca="false">+O319+O320</f>
        <v>-2.375</v>
      </c>
      <c r="P321" s="257" t="n">
        <f aca="false">+P319+P320</f>
        <v>-2.375</v>
      </c>
      <c r="Q321" s="257" t="n">
        <f aca="false">+Q319+Q320</f>
        <v>-2.375</v>
      </c>
      <c r="R321" s="257" t="n">
        <f aca="false">+R319+R320</f>
        <v>-2.375</v>
      </c>
      <c r="S321" s="257" t="n">
        <f aca="false">+S319+S320</f>
        <v>-2.375</v>
      </c>
      <c r="T321" s="257" t="n">
        <f aca="false">+T319+T320</f>
        <v>-2.375</v>
      </c>
      <c r="U321" s="257" t="n">
        <f aca="false">+U319+U320</f>
        <v>-2.375</v>
      </c>
      <c r="V321" s="257" t="n">
        <f aca="false">+V319+V320</f>
        <v>-2.375</v>
      </c>
      <c r="W321" s="257" t="n">
        <f aca="false">+W319+W320</f>
        <v>-2.375</v>
      </c>
      <c r="X321" s="257" t="n">
        <f aca="false">+X319+X320</f>
        <v>-2.375</v>
      </c>
      <c r="Y321" s="257" t="n">
        <f aca="false">+Y319+Y320</f>
        <v>-2.375</v>
      </c>
      <c r="Z321" s="257" t="n">
        <f aca="false">+Z319+Z320</f>
        <v>-2.375</v>
      </c>
      <c r="AA321" s="257" t="n">
        <f aca="false">+AA319+AA320</f>
        <v>-2.375</v>
      </c>
      <c r="AB321" s="257" t="n">
        <f aca="false">+AB319+AB320</f>
        <v>-2.375</v>
      </c>
      <c r="AC321" s="257" t="n">
        <f aca="false">+AC319+AC320</f>
        <v>-2.375</v>
      </c>
    </row>
    <row r="322" customFormat="false" ht="11.25" hidden="false" customHeight="false" outlineLevel="0" collapsed="false">
      <c r="A322" s="115"/>
      <c r="B322" s="35" t="str">
        <f aca="false">+"Oil Revenue ($"&amp;$F$5</f>
        <v>Oil Revenue ($Thousands)</v>
      </c>
      <c r="D322" s="35"/>
      <c r="E322" s="110"/>
      <c r="F322" s="110"/>
      <c r="G322" s="110"/>
      <c r="H322" s="258"/>
      <c r="I322" s="116" t="n">
        <f aca="false">I317*I321*1000/unit</f>
        <v>-6.148875</v>
      </c>
      <c r="J322" s="116" t="n">
        <f aca="false">J317*J321*1000/unit</f>
        <v>-19.344375</v>
      </c>
      <c r="K322" s="116" t="n">
        <f aca="false">K317*K321*1000/unit</f>
        <v>-11.839375</v>
      </c>
      <c r="L322" s="116" t="n">
        <f aca="false">L317*L321*1000/unit</f>
        <v>-17.55125</v>
      </c>
      <c r="M322" s="116" t="n">
        <f aca="false">M317*M321*1000/unit</f>
        <v>-34.0195</v>
      </c>
      <c r="N322" s="116" t="n">
        <f aca="false">N317*N321*1000/unit</f>
        <v>-18.259</v>
      </c>
      <c r="O322" s="116" t="n">
        <f aca="false">O317*O321*1000/unit</f>
        <v>-11.4095</v>
      </c>
      <c r="P322" s="116" t="n">
        <f aca="false">P317*P321*1000/unit</f>
        <v>-3.070875</v>
      </c>
      <c r="Q322" s="116" t="n">
        <f aca="false">Q317*Q321*1000/unit</f>
        <v>-2.610125</v>
      </c>
      <c r="R322" s="116" t="n">
        <f aca="false">R317*R321*1000/unit</f>
        <v>-2.21825</v>
      </c>
      <c r="S322" s="116" t="n">
        <f aca="false">S317*S321*1000/unit</f>
        <v>-1.88575</v>
      </c>
      <c r="T322" s="116" t="n">
        <f aca="false">T317*T321*1000/unit</f>
        <v>-1.603125</v>
      </c>
      <c r="U322" s="116" t="n">
        <f aca="false">U317*U321*1000/unit</f>
        <v>-1.36325</v>
      </c>
      <c r="V322" s="116" t="n">
        <f aca="false">V317*V321*1000/unit</f>
        <v>-1.159</v>
      </c>
      <c r="W322" s="116" t="n">
        <f aca="false">W317*W321*1000/unit</f>
        <v>-0.98325</v>
      </c>
      <c r="X322" s="116" t="n">
        <f aca="false">X317*X321*1000/unit</f>
        <v>-0.836</v>
      </c>
      <c r="Y322" s="116" t="n">
        <f aca="false">Y317*Y321*1000/unit</f>
        <v>-0.710125</v>
      </c>
      <c r="Z322" s="116" t="n">
        <f aca="false">Z317*Z321*1000/unit</f>
        <v>-0</v>
      </c>
      <c r="AA322" s="116" t="n">
        <f aca="false">AA317*AA321*1000/unit</f>
        <v>-0</v>
      </c>
      <c r="AB322" s="116" t="n">
        <f aca="false">AB317*AB321*1000/unit</f>
        <v>-0</v>
      </c>
      <c r="AC322" s="116" t="n">
        <f aca="false">AC317*AC321*1000/unit</f>
        <v>-0</v>
      </c>
    </row>
    <row r="323" customFormat="false" ht="11.25" hidden="false" customHeight="false" outlineLevel="0" collapsed="false">
      <c r="A323" s="109"/>
      <c r="B323" s="35"/>
      <c r="D323" s="35"/>
      <c r="E323" s="108" t="s">
        <v>388</v>
      </c>
      <c r="F323" s="108" t="s">
        <v>535</v>
      </c>
      <c r="G323" s="108" t="s">
        <v>390</v>
      </c>
      <c r="H323" s="258"/>
      <c r="I323" s="258"/>
      <c r="J323" s="258"/>
      <c r="K323" s="258"/>
      <c r="L323" s="258"/>
      <c r="M323" s="258"/>
      <c r="N323" s="258"/>
      <c r="O323" s="258"/>
      <c r="P323" s="258"/>
      <c r="Q323" s="258"/>
      <c r="R323" s="258"/>
      <c r="S323" s="258"/>
      <c r="T323" s="258"/>
      <c r="U323" s="258"/>
      <c r="V323" s="258"/>
      <c r="W323" s="258"/>
      <c r="X323" s="258"/>
      <c r="Y323" s="203"/>
      <c r="Z323" s="203"/>
      <c r="AA323" s="203"/>
      <c r="AB323" s="203"/>
      <c r="AC323" s="203"/>
    </row>
    <row r="324" customFormat="false" ht="11.25" hidden="false" customHeight="false" outlineLevel="0" collapsed="false">
      <c r="A324" s="109"/>
      <c r="B324" s="35"/>
      <c r="D324" s="35"/>
      <c r="E324" s="259" t="n">
        <v>0.8</v>
      </c>
      <c r="F324" s="273" t="n">
        <v>1</v>
      </c>
      <c r="G324" s="259" t="n">
        <v>1.1</v>
      </c>
      <c r="H324" s="258"/>
      <c r="I324" s="258"/>
      <c r="J324" s="258"/>
      <c r="K324" s="258"/>
      <c r="L324" s="258"/>
      <c r="M324" s="258"/>
      <c r="N324" s="258"/>
      <c r="O324" s="258"/>
      <c r="P324" s="258"/>
      <c r="Q324" s="258"/>
      <c r="R324" s="258"/>
      <c r="S324" s="258"/>
      <c r="T324" s="258"/>
      <c r="U324" s="258"/>
      <c r="V324" s="258"/>
      <c r="W324" s="258"/>
      <c r="X324" s="258"/>
      <c r="Y324" s="203"/>
      <c r="Z324" s="203"/>
      <c r="AA324" s="203"/>
      <c r="AB324" s="203"/>
      <c r="AC324" s="203"/>
    </row>
    <row r="325" customFormat="false" ht="11.25" hidden="false" customHeight="false" outlineLevel="0" collapsed="false">
      <c r="A325" s="109"/>
      <c r="B325" s="35"/>
      <c r="D325" s="35"/>
      <c r="E325" s="110"/>
      <c r="F325" s="110"/>
      <c r="G325" s="110"/>
      <c r="H325" s="258"/>
      <c r="I325" s="258" t="n">
        <v>0</v>
      </c>
      <c r="J325" s="258" t="n">
        <v>0</v>
      </c>
      <c r="K325" s="258" t="n">
        <v>0</v>
      </c>
      <c r="L325" s="258" t="n">
        <v>0</v>
      </c>
      <c r="M325" s="258" t="n">
        <v>0</v>
      </c>
      <c r="N325" s="258" t="n">
        <v>0</v>
      </c>
      <c r="O325" s="258" t="n">
        <v>0</v>
      </c>
      <c r="P325" s="258" t="n">
        <v>0</v>
      </c>
      <c r="Q325" s="258" t="n">
        <v>0</v>
      </c>
      <c r="R325" s="258" t="n">
        <v>0</v>
      </c>
      <c r="S325" s="258" t="n">
        <v>0</v>
      </c>
      <c r="T325" s="258" t="n">
        <v>0</v>
      </c>
      <c r="U325" s="258" t="n">
        <v>0</v>
      </c>
      <c r="V325" s="258" t="n">
        <v>0</v>
      </c>
      <c r="W325" s="258" t="n">
        <v>0</v>
      </c>
      <c r="X325" s="258" t="n">
        <v>0</v>
      </c>
      <c r="Y325" s="203" t="n">
        <v>0</v>
      </c>
      <c r="Z325" s="203"/>
      <c r="AA325" s="203"/>
      <c r="AB325" s="203"/>
      <c r="AC325" s="203"/>
    </row>
    <row r="326" customFormat="false" ht="11.25" hidden="false" customHeight="false" outlineLevel="0" collapsed="false">
      <c r="A326" s="109" t="s">
        <v>181</v>
      </c>
      <c r="B326" s="43" t="s">
        <v>521</v>
      </c>
      <c r="D326" s="35"/>
      <c r="E326" s="110"/>
      <c r="F326" s="110"/>
      <c r="G326" s="110"/>
      <c r="H326" s="258"/>
      <c r="I326" s="141" t="n">
        <f aca="false">I325*$F$324</f>
        <v>0</v>
      </c>
      <c r="J326" s="141" t="n">
        <f aca="false">J325*$F$324</f>
        <v>0</v>
      </c>
      <c r="K326" s="141" t="n">
        <f aca="false">K325*$F$324</f>
        <v>0</v>
      </c>
      <c r="L326" s="141" t="n">
        <f aca="false">L325*$F$324</f>
        <v>0</v>
      </c>
      <c r="M326" s="141" t="n">
        <f aca="false">M325*$F$324</f>
        <v>0</v>
      </c>
      <c r="N326" s="141" t="n">
        <f aca="false">N325*$F$324</f>
        <v>0</v>
      </c>
      <c r="O326" s="141" t="n">
        <f aca="false">O325*$F$324</f>
        <v>0</v>
      </c>
      <c r="P326" s="141" t="n">
        <f aca="false">P325*$F$324</f>
        <v>0</v>
      </c>
      <c r="Q326" s="141" t="n">
        <f aca="false">Q325*$F$324</f>
        <v>0</v>
      </c>
      <c r="R326" s="141" t="n">
        <f aca="false">R325*$F$324</f>
        <v>0</v>
      </c>
      <c r="S326" s="141" t="n">
        <f aca="false">S325*$F$324</f>
        <v>0</v>
      </c>
      <c r="T326" s="141" t="n">
        <f aca="false">T325*$F$324</f>
        <v>0</v>
      </c>
      <c r="U326" s="141" t="n">
        <f aca="false">U325*$F$324</f>
        <v>0</v>
      </c>
      <c r="V326" s="141" t="n">
        <f aca="false">V325*$F$324</f>
        <v>0</v>
      </c>
      <c r="W326" s="141" t="n">
        <f aca="false">W325*$F$324</f>
        <v>0</v>
      </c>
      <c r="X326" s="141" t="n">
        <f aca="false">X325*$F$324</f>
        <v>0</v>
      </c>
      <c r="Y326" s="141" t="n">
        <f aca="false">Y325*$F$324</f>
        <v>0</v>
      </c>
      <c r="Z326" s="141" t="n">
        <f aca="false">Z325*$F$324</f>
        <v>0</v>
      </c>
      <c r="AA326" s="141" t="n">
        <f aca="false">AA325*$F$324</f>
        <v>0</v>
      </c>
      <c r="AB326" s="141" t="n">
        <f aca="false">AB325*$F$324</f>
        <v>0</v>
      </c>
      <c r="AC326" s="141" t="n">
        <f aca="false">AC325*$F$324</f>
        <v>0</v>
      </c>
      <c r="AD326" s="141" t="n">
        <v>0</v>
      </c>
    </row>
    <row r="327" customFormat="false" ht="11.25" hidden="false" customHeight="false" outlineLevel="0" collapsed="false">
      <c r="A327" s="109"/>
      <c r="B327" s="43" t="s">
        <v>517</v>
      </c>
      <c r="D327" s="35"/>
      <c r="E327" s="110"/>
      <c r="F327" s="110"/>
      <c r="G327" s="110"/>
      <c r="H327" s="258"/>
      <c r="I327" s="26" t="n">
        <v>1</v>
      </c>
      <c r="J327" s="26" t="n">
        <f aca="false">I327</f>
        <v>1</v>
      </c>
      <c r="K327" s="26" t="n">
        <f aca="false">J327</f>
        <v>1</v>
      </c>
      <c r="L327" s="26" t="n">
        <f aca="false">K327</f>
        <v>1</v>
      </c>
      <c r="M327" s="26" t="n">
        <f aca="false">L327</f>
        <v>1</v>
      </c>
      <c r="N327" s="26" t="n">
        <f aca="false">M327</f>
        <v>1</v>
      </c>
      <c r="O327" s="26" t="n">
        <f aca="false">N327</f>
        <v>1</v>
      </c>
      <c r="P327" s="26" t="n">
        <f aca="false">O327</f>
        <v>1</v>
      </c>
      <c r="Q327" s="26" t="n">
        <f aca="false">P327</f>
        <v>1</v>
      </c>
      <c r="R327" s="26" t="n">
        <f aca="false">Q327</f>
        <v>1</v>
      </c>
      <c r="S327" s="26" t="n">
        <f aca="false">R327</f>
        <v>1</v>
      </c>
      <c r="T327" s="26" t="n">
        <f aca="false">S327</f>
        <v>1</v>
      </c>
      <c r="U327" s="26" t="n">
        <f aca="false">T327</f>
        <v>1</v>
      </c>
      <c r="V327" s="26" t="n">
        <f aca="false">U327</f>
        <v>1</v>
      </c>
      <c r="W327" s="26" t="n">
        <f aca="false">V327</f>
        <v>1</v>
      </c>
      <c r="X327" s="26" t="n">
        <f aca="false">W327</f>
        <v>1</v>
      </c>
      <c r="Y327" s="26" t="n">
        <f aca="false">X327</f>
        <v>1</v>
      </c>
      <c r="Z327" s="26" t="n">
        <f aca="false">Y327</f>
        <v>1</v>
      </c>
      <c r="AA327" s="26" t="n">
        <f aca="false">Z327</f>
        <v>1</v>
      </c>
      <c r="AB327" s="26" t="n">
        <f aca="false">AA327</f>
        <v>1</v>
      </c>
      <c r="AC327" s="26" t="n">
        <f aca="false">AB327</f>
        <v>1</v>
      </c>
    </row>
    <row r="328" customFormat="false" ht="11.25" hidden="false" customHeight="false" outlineLevel="0" collapsed="false">
      <c r="B328" s="43" t="s">
        <v>522</v>
      </c>
      <c r="D328" s="35"/>
      <c r="E328" s="110"/>
      <c r="F328" s="110"/>
      <c r="G328" s="110"/>
      <c r="H328" s="258"/>
      <c r="I328" s="120" t="n">
        <f aca="false">+I326*I327</f>
        <v>0</v>
      </c>
      <c r="J328" s="120" t="n">
        <f aca="false">+J326*J327</f>
        <v>0</v>
      </c>
      <c r="K328" s="120" t="n">
        <f aca="false">+K326*K327</f>
        <v>0</v>
      </c>
      <c r="L328" s="120" t="n">
        <f aca="false">+L326*L327</f>
        <v>0</v>
      </c>
      <c r="M328" s="120" t="n">
        <f aca="false">+M326*M327</f>
        <v>0</v>
      </c>
      <c r="N328" s="120" t="n">
        <f aca="false">+N326*N327</f>
        <v>0</v>
      </c>
      <c r="O328" s="120" t="n">
        <f aca="false">+O326*O327</f>
        <v>0</v>
      </c>
      <c r="P328" s="120" t="n">
        <f aca="false">+P326*P327</f>
        <v>0</v>
      </c>
      <c r="Q328" s="120" t="n">
        <f aca="false">+Q326*Q327</f>
        <v>0</v>
      </c>
      <c r="R328" s="120" t="n">
        <f aca="false">+R326*R327</f>
        <v>0</v>
      </c>
      <c r="S328" s="120" t="n">
        <f aca="false">+S326*S327</f>
        <v>0</v>
      </c>
      <c r="T328" s="120" t="n">
        <f aca="false">+T326*T327</f>
        <v>0</v>
      </c>
      <c r="U328" s="120" t="n">
        <f aca="false">+U326*U327</f>
        <v>0</v>
      </c>
      <c r="V328" s="120" t="n">
        <f aca="false">+V326*V327</f>
        <v>0</v>
      </c>
      <c r="W328" s="120" t="n">
        <f aca="false">+W326*W327</f>
        <v>0</v>
      </c>
      <c r="X328" s="120" t="n">
        <f aca="false">+X326*X327</f>
        <v>0</v>
      </c>
      <c r="Y328" s="120" t="n">
        <f aca="false">+Y326*Y327</f>
        <v>0</v>
      </c>
      <c r="Z328" s="120" t="n">
        <f aca="false">+Z326*Z327</f>
        <v>0</v>
      </c>
      <c r="AA328" s="120" t="n">
        <f aca="false">+AA326*AA327</f>
        <v>0</v>
      </c>
      <c r="AB328" s="120" t="n">
        <f aca="false">+AB326*AB327</f>
        <v>0</v>
      </c>
      <c r="AC328" s="120" t="n">
        <f aca="false">+AC326*AC327</f>
        <v>0</v>
      </c>
    </row>
    <row r="329" customFormat="false" ht="11.25" hidden="false" customHeight="false" outlineLevel="0" collapsed="false">
      <c r="A329" s="109"/>
      <c r="B329" s="35" t="s">
        <v>176</v>
      </c>
      <c r="D329" s="35"/>
      <c r="E329" s="110"/>
      <c r="F329" s="110"/>
      <c r="G329" s="110"/>
      <c r="H329" s="258"/>
      <c r="I329" s="26" t="n">
        <v>1</v>
      </c>
      <c r="J329" s="26" t="n">
        <f aca="false">I329</f>
        <v>1</v>
      </c>
      <c r="K329" s="26" t="n">
        <f aca="false">J329</f>
        <v>1</v>
      </c>
      <c r="L329" s="26" t="n">
        <f aca="false">K329</f>
        <v>1</v>
      </c>
      <c r="M329" s="26" t="n">
        <f aca="false">L329</f>
        <v>1</v>
      </c>
      <c r="N329" s="26" t="n">
        <f aca="false">M329</f>
        <v>1</v>
      </c>
      <c r="O329" s="26" t="n">
        <f aca="false">N329</f>
        <v>1</v>
      </c>
      <c r="P329" s="26" t="n">
        <f aca="false">O329</f>
        <v>1</v>
      </c>
      <c r="Q329" s="26" t="n">
        <f aca="false">P329</f>
        <v>1</v>
      </c>
      <c r="R329" s="26" t="n">
        <f aca="false">Q329</f>
        <v>1</v>
      </c>
      <c r="S329" s="26" t="n">
        <f aca="false">R329</f>
        <v>1</v>
      </c>
      <c r="T329" s="26" t="n">
        <f aca="false">S329</f>
        <v>1</v>
      </c>
      <c r="U329" s="26" t="n">
        <f aca="false">T329</f>
        <v>1</v>
      </c>
      <c r="V329" s="26" t="n">
        <f aca="false">U329</f>
        <v>1</v>
      </c>
      <c r="W329" s="26" t="n">
        <f aca="false">V329</f>
        <v>1</v>
      </c>
      <c r="X329" s="26" t="n">
        <f aca="false">W329</f>
        <v>1</v>
      </c>
      <c r="Y329" s="26" t="n">
        <f aca="false">X329</f>
        <v>1</v>
      </c>
      <c r="Z329" s="26" t="n">
        <f aca="false">Y329</f>
        <v>1</v>
      </c>
      <c r="AA329" s="26" t="n">
        <f aca="false">Z329</f>
        <v>1</v>
      </c>
      <c r="AB329" s="26" t="n">
        <f aca="false">AA329</f>
        <v>1</v>
      </c>
      <c r="AC329" s="26" t="n">
        <f aca="false">AB329</f>
        <v>1</v>
      </c>
    </row>
    <row r="330" customFormat="false" ht="11.25" hidden="false" customHeight="false" outlineLevel="0" collapsed="false">
      <c r="B330" s="43" t="s">
        <v>183</v>
      </c>
      <c r="D330" s="35"/>
      <c r="E330" s="110"/>
      <c r="F330" s="110"/>
      <c r="G330" s="110"/>
      <c r="H330" s="258"/>
      <c r="I330" s="120" t="n">
        <f aca="false">+I328*I329</f>
        <v>0</v>
      </c>
      <c r="J330" s="120" t="n">
        <f aca="false">+J328*J329</f>
        <v>0</v>
      </c>
      <c r="K330" s="120" t="n">
        <f aca="false">+K328*K329</f>
        <v>0</v>
      </c>
      <c r="L330" s="120" t="n">
        <f aca="false">+L328*L329</f>
        <v>0</v>
      </c>
      <c r="M330" s="120" t="n">
        <f aca="false">+M328*M329</f>
        <v>0</v>
      </c>
      <c r="N330" s="120" t="n">
        <f aca="false">+N328*N329</f>
        <v>0</v>
      </c>
      <c r="O330" s="120" t="n">
        <f aca="false">+O328*O329</f>
        <v>0</v>
      </c>
      <c r="P330" s="120" t="n">
        <f aca="false">+P328*P329</f>
        <v>0</v>
      </c>
      <c r="Q330" s="120" t="n">
        <f aca="false">+Q328*Q329</f>
        <v>0</v>
      </c>
      <c r="R330" s="120" t="n">
        <f aca="false">+R328*R329</f>
        <v>0</v>
      </c>
      <c r="S330" s="120" t="n">
        <f aca="false">+S328*S329</f>
        <v>0</v>
      </c>
      <c r="T330" s="120" t="n">
        <f aca="false">+T328*T329</f>
        <v>0</v>
      </c>
      <c r="U330" s="120" t="n">
        <f aca="false">+U328*U329</f>
        <v>0</v>
      </c>
      <c r="V330" s="120" t="n">
        <f aca="false">+V328*V329</f>
        <v>0</v>
      </c>
      <c r="W330" s="120" t="n">
        <f aca="false">+W328*W329</f>
        <v>0</v>
      </c>
      <c r="X330" s="120" t="n">
        <f aca="false">+X328*X329</f>
        <v>0</v>
      </c>
      <c r="Y330" s="120" t="n">
        <f aca="false">+Y328*Y329</f>
        <v>0</v>
      </c>
      <c r="Z330" s="120" t="n">
        <f aca="false">+Z328*Z329</f>
        <v>0</v>
      </c>
      <c r="AA330" s="120" t="n">
        <f aca="false">+AA328*AA329</f>
        <v>0</v>
      </c>
      <c r="AB330" s="120" t="n">
        <f aca="false">+AB328*AB329</f>
        <v>0</v>
      </c>
      <c r="AC330" s="120" t="n">
        <f aca="false">+AC328*AC329</f>
        <v>0</v>
      </c>
      <c r="AD330" s="67" t="n">
        <f aca="false">SUM(E330:AC330)</f>
        <v>0</v>
      </c>
    </row>
    <row r="331" customFormat="false" ht="11.25" hidden="false" customHeight="false" outlineLevel="0" collapsed="false">
      <c r="A331" s="109"/>
      <c r="B331" s="43" t="s">
        <v>187</v>
      </c>
      <c r="D331" s="118" t="s">
        <v>157</v>
      </c>
      <c r="E331" s="119" t="s">
        <v>184</v>
      </c>
      <c r="F331" s="119" t="s">
        <v>185</v>
      </c>
      <c r="G331" s="119" t="s">
        <v>186</v>
      </c>
      <c r="H331" s="258"/>
      <c r="I331" s="258"/>
      <c r="J331" s="258"/>
      <c r="K331" s="258"/>
      <c r="L331" s="258"/>
      <c r="M331" s="258"/>
      <c r="N331" s="258"/>
      <c r="O331" s="258"/>
      <c r="P331" s="258"/>
      <c r="Q331" s="258"/>
      <c r="R331" s="258"/>
      <c r="S331" s="258"/>
      <c r="T331" s="258"/>
      <c r="U331" s="258"/>
      <c r="V331" s="258"/>
      <c r="W331" s="258"/>
      <c r="X331" s="258"/>
      <c r="Y331" s="258"/>
      <c r="Z331" s="258"/>
      <c r="AA331" s="258"/>
      <c r="AB331" s="258"/>
      <c r="AC331" s="258"/>
    </row>
    <row r="332" customFormat="false" ht="11.25" hidden="false" customHeight="false" outlineLevel="0" collapsed="false">
      <c r="A332" s="109"/>
      <c r="D332" s="100" t="s">
        <v>162</v>
      </c>
      <c r="E332" s="121"/>
      <c r="F332" s="121"/>
      <c r="G332" s="121"/>
      <c r="H332" s="258"/>
      <c r="I332" s="264" t="n">
        <v>1</v>
      </c>
      <c r="J332" s="264" t="n">
        <v>1</v>
      </c>
      <c r="K332" s="264" t="n">
        <v>1</v>
      </c>
      <c r="L332" s="264" t="n">
        <v>1</v>
      </c>
      <c r="M332" s="264" t="n">
        <v>1</v>
      </c>
      <c r="N332" s="264" t="n">
        <v>1</v>
      </c>
      <c r="O332" s="264" t="n">
        <v>1</v>
      </c>
      <c r="P332" s="264" t="n">
        <v>1</v>
      </c>
      <c r="Q332" s="264" t="n">
        <v>1</v>
      </c>
      <c r="R332" s="264" t="n">
        <v>1</v>
      </c>
      <c r="S332" s="264" t="n">
        <v>1</v>
      </c>
      <c r="T332" s="264" t="n">
        <v>1</v>
      </c>
      <c r="U332" s="264" t="n">
        <v>1</v>
      </c>
      <c r="V332" s="264" t="n">
        <v>1</v>
      </c>
      <c r="W332" s="264" t="n">
        <v>1</v>
      </c>
      <c r="X332" s="264" t="n">
        <v>1</v>
      </c>
      <c r="Y332" s="264" t="n">
        <v>1</v>
      </c>
      <c r="Z332" s="264" t="n">
        <v>1</v>
      </c>
      <c r="AA332" s="264" t="n">
        <v>1</v>
      </c>
      <c r="AB332" s="264" t="n">
        <v>1</v>
      </c>
      <c r="AC332" s="264" t="n">
        <v>1</v>
      </c>
    </row>
    <row r="333" customFormat="false" ht="11.25" hidden="false" customHeight="false" outlineLevel="0" collapsed="false">
      <c r="A333" s="109"/>
      <c r="B333" s="43" t="s">
        <v>188</v>
      </c>
      <c r="D333" s="35"/>
      <c r="H333" s="12"/>
      <c r="I333" s="116" t="n">
        <f aca="false">+I332*I330</f>
        <v>0</v>
      </c>
      <c r="J333" s="116" t="n">
        <f aca="false">+J332*J330</f>
        <v>0</v>
      </c>
      <c r="K333" s="116" t="n">
        <f aca="false">+K332*K330</f>
        <v>0</v>
      </c>
      <c r="L333" s="116" t="n">
        <f aca="false">+L332*L330</f>
        <v>0</v>
      </c>
      <c r="M333" s="116" t="n">
        <f aca="false">+M332*M330</f>
        <v>0</v>
      </c>
      <c r="N333" s="116" t="n">
        <f aca="false">+N332*N330</f>
        <v>0</v>
      </c>
      <c r="O333" s="116" t="n">
        <f aca="false">+O332*O330</f>
        <v>0</v>
      </c>
      <c r="P333" s="116" t="n">
        <f aca="false">+P332*P330</f>
        <v>0</v>
      </c>
      <c r="Q333" s="116" t="n">
        <f aca="false">+Q332*Q330</f>
        <v>0</v>
      </c>
      <c r="R333" s="116" t="n">
        <f aca="false">+R332*R330</f>
        <v>0</v>
      </c>
      <c r="S333" s="116" t="n">
        <f aca="false">+S332*S330</f>
        <v>0</v>
      </c>
      <c r="T333" s="116" t="n">
        <f aca="false">+T332*T330</f>
        <v>0</v>
      </c>
      <c r="U333" s="116" t="n">
        <f aca="false">+U332*U330</f>
        <v>0</v>
      </c>
      <c r="V333" s="116" t="n">
        <f aca="false">+V332*V330</f>
        <v>0</v>
      </c>
      <c r="W333" s="116" t="n">
        <f aca="false">+W332*W330</f>
        <v>0</v>
      </c>
      <c r="X333" s="116" t="n">
        <f aca="false">+X332*X330</f>
        <v>0</v>
      </c>
      <c r="Y333" s="116" t="n">
        <f aca="false">+Y332*Y330</f>
        <v>0</v>
      </c>
      <c r="Z333" s="116" t="n">
        <f aca="false">+Z332*Z330</f>
        <v>0</v>
      </c>
      <c r="AA333" s="116" t="n">
        <f aca="false">+AA332*AA330</f>
        <v>0</v>
      </c>
      <c r="AB333" s="116" t="n">
        <f aca="false">+AB332*AB330</f>
        <v>0</v>
      </c>
      <c r="AC333" s="116" t="n">
        <f aca="false">+AC332*AC330</f>
        <v>0</v>
      </c>
    </row>
    <row r="334" customFormat="false" ht="11.25" hidden="false" customHeight="false" outlineLevel="0" collapsed="false">
      <c r="A334" s="109"/>
      <c r="B334" s="43"/>
      <c r="D334" s="35"/>
      <c r="H334" s="12"/>
      <c r="I334" s="258"/>
      <c r="J334" s="258"/>
      <c r="K334" s="258"/>
      <c r="L334" s="258"/>
      <c r="M334" s="258"/>
      <c r="N334" s="258"/>
      <c r="O334" s="258"/>
      <c r="P334" s="258"/>
      <c r="Q334" s="258"/>
      <c r="R334" s="258"/>
      <c r="S334" s="258"/>
      <c r="T334" s="258"/>
      <c r="U334" s="258"/>
      <c r="V334" s="258"/>
      <c r="W334" s="258"/>
      <c r="X334" s="258"/>
      <c r="Y334" s="258"/>
      <c r="Z334" s="258"/>
      <c r="AA334" s="258"/>
      <c r="AB334" s="258"/>
      <c r="AC334" s="258"/>
    </row>
    <row r="335" customFormat="false" ht="11.25" hidden="false" customHeight="false" outlineLevel="0" collapsed="false">
      <c r="A335" s="109"/>
      <c r="B335" s="43" t="s">
        <v>523</v>
      </c>
      <c r="D335" s="102" t="n">
        <v>5</v>
      </c>
      <c r="H335" s="12"/>
      <c r="I335" s="123" t="n">
        <f aca="false">IF($D335=1,I$197,IF($D335=2,I$200,IF($D335=3,I$202,IF($D335=4,I$204,IF($D335=5,I$206,IF($D335=5,I$208,I$197))))))</f>
        <v>0</v>
      </c>
      <c r="J335" s="123" t="n">
        <f aca="false">IF($D335=1,J$197,IF($D335=2,J$200,IF($D335=3,J$202,IF($D335=4,J$204,IF($D335=5,J$206,IF($D335=5,J$208,J$197))))))</f>
        <v>0</v>
      </c>
      <c r="K335" s="123" t="n">
        <f aca="false">IF($D335=1,K$197,IF($D335=2,K$200,IF($D335=3,K$202,IF($D335=4,K$204,IF($D335=5,K$206,IF($D335=5,K$208,K$197))))))</f>
        <v>0</v>
      </c>
      <c r="L335" s="123" t="n">
        <f aca="false">IF($D335=1,L$197,IF($D335=2,L$200,IF($D335=3,L$202,IF($D335=4,L$204,IF($D335=5,L$206,IF($D335=5,L$208,L$197))))))</f>
        <v>0</v>
      </c>
      <c r="M335" s="123" t="n">
        <f aca="false">IF($D335=1,M$197,IF($D335=2,M$200,IF($D335=3,M$202,IF($D335=4,M$204,IF($D335=5,M$206,IF($D335=5,M$208,M$197))))))</f>
        <v>0</v>
      </c>
      <c r="N335" s="123" t="n">
        <f aca="false">IF($D335=1,N$197,IF($D335=2,N$200,IF($D335=3,N$202,IF($D335=4,N$204,IF($D335=5,N$206,IF($D335=5,N$208,N$197))))))</f>
        <v>0</v>
      </c>
      <c r="O335" s="123" t="n">
        <f aca="false">IF($D335=1,O$197,IF($D335=2,O$200,IF($D335=3,O$202,IF($D335=4,O$204,IF($D335=5,O$206,IF($D335=5,O$208,O$197))))))</f>
        <v>0</v>
      </c>
      <c r="P335" s="123" t="n">
        <f aca="false">IF($D335=1,P$197,IF($D335=2,P$200,IF($D335=3,P$202,IF($D335=4,P$204,IF($D335=5,P$206,IF($D335=5,P$208,P$197))))))</f>
        <v>0</v>
      </c>
      <c r="Q335" s="123" t="n">
        <f aca="false">IF($D335=1,Q$197,IF($D335=2,Q$200,IF($D335=3,Q$202,IF($D335=4,Q$204,IF($D335=5,Q$206,IF($D335=5,Q$208,Q$197))))))</f>
        <v>0</v>
      </c>
      <c r="R335" s="123" t="n">
        <f aca="false">IF($D335=1,R$197,IF($D335=2,R$200,IF($D335=3,R$202,IF($D335=4,R$204,IF($D335=5,R$206,IF($D335=5,R$208,R$197))))))</f>
        <v>0</v>
      </c>
      <c r="S335" s="123" t="n">
        <f aca="false">IF($D335=1,S$197,IF($D335=2,S$200,IF($D335=3,S$202,IF($D335=4,S$204,IF($D335=5,S$206,IF($D335=5,S$208,S$197))))))</f>
        <v>0</v>
      </c>
      <c r="T335" s="123" t="n">
        <f aca="false">IF($D335=1,T$197,IF($D335=2,T$200,IF($D335=3,T$202,IF($D335=4,T$204,IF($D335=5,T$206,IF($D335=5,T$208,T$197))))))</f>
        <v>0</v>
      </c>
      <c r="U335" s="123" t="n">
        <f aca="false">IF($D335=1,U$197,IF($D335=2,U$200,IF($D335=3,U$202,IF($D335=4,U$204,IF($D335=5,U$206,IF($D335=5,U$208,U$197))))))</f>
        <v>0</v>
      </c>
      <c r="V335" s="123" t="n">
        <f aca="false">IF($D335=1,V$197,IF($D335=2,V$200,IF($D335=3,V$202,IF($D335=4,V$204,IF($D335=5,V$206,IF($D335=5,V$208,V$197))))))</f>
        <v>0</v>
      </c>
      <c r="W335" s="123" t="n">
        <f aca="false">IF($D335=1,W$197,IF($D335=2,W$200,IF($D335=3,W$202,IF($D335=4,W$204,IF($D335=5,W$206,IF($D335=5,W$208,W$197))))))</f>
        <v>0</v>
      </c>
      <c r="X335" s="123" t="n">
        <f aca="false">IF($D335=1,X$197,IF($D335=2,X$200,IF($D335=3,X$202,IF($D335=4,X$204,IF($D335=5,X$206,IF($D335=5,X$208,X$197))))))</f>
        <v>0</v>
      </c>
      <c r="Y335" s="123" t="n">
        <f aca="false">IF($D335=1,Y$197,IF($D335=2,Y$200,IF($D335=3,Y$202,IF($D335=4,Y$204,IF($D335=5,Y$206,IF($D335=5,Y$208,Y$197))))))</f>
        <v>0</v>
      </c>
      <c r="Z335" s="123" t="n">
        <f aca="false">IF($D335=1,Z$197,IF($D335=2,Z$200,IF($D335=3,Z$202,IF($D335=4,Z$204,IF($D335=5,Z$206,IF($D335=5,Z$208,Z$197))))))</f>
        <v>0</v>
      </c>
      <c r="AA335" s="123" t="n">
        <f aca="false">IF($D335=1,AA$197,IF($D335=2,AA$200,IF($D335=3,AA$202,IF($D335=4,AA$204,IF($D335=5,AA$206,IF($D335=5,AA$208,AA$197))))))</f>
        <v>0</v>
      </c>
      <c r="AB335" s="123" t="n">
        <f aca="false">IF($D335=1,AB$197,IF($D335=2,AB$200,IF($D335=3,AB$202,IF($D335=4,AB$204,IF($D335=5,AB$206,IF($D335=5,AB$208,AB$197))))))</f>
        <v>0</v>
      </c>
      <c r="AC335" s="123" t="n">
        <f aca="false">IF($D335=1,AC$197,IF($D335=2,AC$200,IF($D335=3,AC$202,IF($D335=4,AC$204,IF($D335=5,AC$206,IF($D335=5,AC$208,AC$197))))))</f>
        <v>0</v>
      </c>
    </row>
    <row r="336" customFormat="false" ht="11.25" hidden="false" customHeight="false" outlineLevel="0" collapsed="false">
      <c r="A336" s="109"/>
      <c r="B336" s="43" t="s">
        <v>179</v>
      </c>
      <c r="D336" s="35"/>
      <c r="E336" s="124"/>
      <c r="F336" s="124"/>
      <c r="G336" s="124"/>
      <c r="H336" s="266"/>
      <c r="I336" s="264" t="n">
        <v>-0.375</v>
      </c>
      <c r="J336" s="264" t="n">
        <f aca="false">I336</f>
        <v>-0.375</v>
      </c>
      <c r="K336" s="264" t="n">
        <f aca="false">J336</f>
        <v>-0.375</v>
      </c>
      <c r="L336" s="264" t="n">
        <f aca="false">K336</f>
        <v>-0.375</v>
      </c>
      <c r="M336" s="264" t="n">
        <f aca="false">L336</f>
        <v>-0.375</v>
      </c>
      <c r="N336" s="264" t="n">
        <f aca="false">M336</f>
        <v>-0.375</v>
      </c>
      <c r="O336" s="264" t="n">
        <f aca="false">N336</f>
        <v>-0.375</v>
      </c>
      <c r="P336" s="264" t="n">
        <f aca="false">O336</f>
        <v>-0.375</v>
      </c>
      <c r="Q336" s="264" t="n">
        <f aca="false">P336</f>
        <v>-0.375</v>
      </c>
      <c r="R336" s="264" t="n">
        <f aca="false">Q336</f>
        <v>-0.375</v>
      </c>
      <c r="S336" s="264" t="n">
        <f aca="false">R336</f>
        <v>-0.375</v>
      </c>
      <c r="T336" s="264" t="n">
        <f aca="false">S336</f>
        <v>-0.375</v>
      </c>
      <c r="U336" s="264" t="n">
        <f aca="false">T336</f>
        <v>-0.375</v>
      </c>
      <c r="V336" s="264" t="n">
        <f aca="false">U336</f>
        <v>-0.375</v>
      </c>
      <c r="W336" s="264" t="n">
        <f aca="false">V336</f>
        <v>-0.375</v>
      </c>
      <c r="X336" s="264" t="n">
        <f aca="false">W336</f>
        <v>-0.375</v>
      </c>
      <c r="Y336" s="264" t="n">
        <f aca="false">X336</f>
        <v>-0.375</v>
      </c>
      <c r="Z336" s="264" t="n">
        <f aca="false">Y336</f>
        <v>-0.375</v>
      </c>
      <c r="AA336" s="264" t="n">
        <f aca="false">Z336</f>
        <v>-0.375</v>
      </c>
      <c r="AB336" s="264" t="n">
        <f aca="false">AA336</f>
        <v>-0.375</v>
      </c>
      <c r="AC336" s="264" t="n">
        <f aca="false">AB336</f>
        <v>-0.375</v>
      </c>
    </row>
    <row r="337" customFormat="false" ht="11.25" hidden="false" customHeight="false" outlineLevel="0" collapsed="false">
      <c r="A337" s="109"/>
      <c r="B337" s="43" t="s">
        <v>190</v>
      </c>
      <c r="D337" s="35"/>
      <c r="H337" s="12"/>
      <c r="I337" s="267" t="n">
        <f aca="false">+I335+I336</f>
        <v>-0.375</v>
      </c>
      <c r="J337" s="267" t="n">
        <f aca="false">+J335+J336</f>
        <v>-0.375</v>
      </c>
      <c r="K337" s="267" t="n">
        <f aca="false">+K335+K336</f>
        <v>-0.375</v>
      </c>
      <c r="L337" s="267" t="n">
        <f aca="false">+L335+L336</f>
        <v>-0.375</v>
      </c>
      <c r="M337" s="267" t="n">
        <f aca="false">+M335+M336</f>
        <v>-0.375</v>
      </c>
      <c r="N337" s="267" t="n">
        <f aca="false">+N335+N336</f>
        <v>-0.375</v>
      </c>
      <c r="O337" s="267" t="n">
        <f aca="false">+O335+O336</f>
        <v>-0.375</v>
      </c>
      <c r="P337" s="267" t="n">
        <f aca="false">+P335+P336</f>
        <v>-0.375</v>
      </c>
      <c r="Q337" s="267" t="n">
        <f aca="false">+Q335+Q336</f>
        <v>-0.375</v>
      </c>
      <c r="R337" s="267" t="n">
        <f aca="false">+R335+R336</f>
        <v>-0.375</v>
      </c>
      <c r="S337" s="267" t="n">
        <f aca="false">+S335+S336</f>
        <v>-0.375</v>
      </c>
      <c r="T337" s="267" t="n">
        <f aca="false">+T335+T336</f>
        <v>-0.375</v>
      </c>
      <c r="U337" s="267" t="n">
        <f aca="false">+U335+U336</f>
        <v>-0.375</v>
      </c>
      <c r="V337" s="267" t="n">
        <f aca="false">+V335+V336</f>
        <v>-0.375</v>
      </c>
      <c r="W337" s="267" t="n">
        <f aca="false">+W335+W336</f>
        <v>-0.375</v>
      </c>
      <c r="X337" s="267" t="n">
        <f aca="false">+X335+X336</f>
        <v>-0.375</v>
      </c>
      <c r="Y337" s="267" t="n">
        <f aca="false">+Y335+Y336</f>
        <v>-0.375</v>
      </c>
      <c r="Z337" s="267" t="n">
        <f aca="false">+Z335+Z336</f>
        <v>-0.375</v>
      </c>
      <c r="AA337" s="267" t="n">
        <f aca="false">+AA335+AA336</f>
        <v>-0.375</v>
      </c>
      <c r="AB337" s="267" t="n">
        <f aca="false">+AB335+AB336</f>
        <v>-0.375</v>
      </c>
      <c r="AC337" s="267" t="n">
        <f aca="false">+AC335+AC336</f>
        <v>-0.375</v>
      </c>
    </row>
    <row r="338" customFormat="false" ht="11.25" hidden="false" customHeight="false" outlineLevel="0" collapsed="false">
      <c r="A338" s="109"/>
      <c r="B338" s="35" t="str">
        <f aca="false">+"Gas Revenues ($"&amp;$F$5</f>
        <v>Gas Revenues ($Thousands)</v>
      </c>
      <c r="D338" s="35"/>
      <c r="H338" s="12"/>
      <c r="I338" s="116" t="n">
        <f aca="false">I333*1000*I337/unit</f>
        <v>-0</v>
      </c>
      <c r="J338" s="116" t="n">
        <f aca="false">J333*1000*J337/unit</f>
        <v>-0</v>
      </c>
      <c r="K338" s="116" t="n">
        <f aca="false">K333*1000*K337/unit</f>
        <v>-0</v>
      </c>
      <c r="L338" s="116" t="n">
        <f aca="false">L333*1000*L337/unit</f>
        <v>-0</v>
      </c>
      <c r="M338" s="116" t="n">
        <f aca="false">M333*1000*M337/unit</f>
        <v>-0</v>
      </c>
      <c r="N338" s="116" t="n">
        <f aca="false">N333*1000*N337/unit</f>
        <v>-0</v>
      </c>
      <c r="O338" s="116" t="n">
        <f aca="false">O333*1000*O337/unit</f>
        <v>-0</v>
      </c>
      <c r="P338" s="116" t="n">
        <f aca="false">P333*1000*P337/unit</f>
        <v>-0</v>
      </c>
      <c r="Q338" s="116" t="n">
        <f aca="false">Q333*1000*Q337/unit</f>
        <v>-0</v>
      </c>
      <c r="R338" s="116" t="n">
        <f aca="false">R333*1000*R337/unit</f>
        <v>-0</v>
      </c>
      <c r="S338" s="116" t="n">
        <f aca="false">S333*1000*S337/unit</f>
        <v>-0</v>
      </c>
      <c r="T338" s="116" t="n">
        <f aca="false">T333*1000*T337/unit</f>
        <v>-0</v>
      </c>
      <c r="U338" s="116" t="n">
        <f aca="false">U333*1000*U337/unit</f>
        <v>-0</v>
      </c>
      <c r="V338" s="116" t="n">
        <f aca="false">V333*1000*V337/unit</f>
        <v>-0</v>
      </c>
      <c r="W338" s="116" t="n">
        <f aca="false">W333*1000*W337/unit</f>
        <v>-0</v>
      </c>
      <c r="X338" s="116" t="n">
        <f aca="false">X333*1000*X337/unit</f>
        <v>-0</v>
      </c>
      <c r="Y338" s="116" t="n">
        <f aca="false">Y333*1000*Y337/unit</f>
        <v>-0</v>
      </c>
      <c r="Z338" s="116" t="n">
        <f aca="false">Z333*1000*Z337/unit</f>
        <v>-0</v>
      </c>
      <c r="AA338" s="116" t="n">
        <f aca="false">AA333*1000*AA337/unit</f>
        <v>-0</v>
      </c>
      <c r="AB338" s="116" t="n">
        <f aca="false">AB333*1000*AB337/unit</f>
        <v>-0</v>
      </c>
      <c r="AC338" s="116" t="n">
        <f aca="false">AC333*1000*AC337/unit</f>
        <v>-0</v>
      </c>
    </row>
    <row r="339" customFormat="false" ht="11.25" hidden="false" customHeight="false" outlineLevel="0" collapsed="false">
      <c r="A339" s="109"/>
      <c r="B339" s="35"/>
      <c r="D339" s="35"/>
      <c r="E339" s="128"/>
      <c r="F339" s="128"/>
      <c r="G339" s="128"/>
      <c r="H339" s="258"/>
      <c r="I339" s="258"/>
      <c r="J339" s="258"/>
      <c r="K339" s="258"/>
      <c r="L339" s="258"/>
      <c r="M339" s="258"/>
      <c r="N339" s="258"/>
      <c r="O339" s="258"/>
      <c r="P339" s="258"/>
      <c r="Q339" s="258"/>
      <c r="R339" s="258"/>
      <c r="S339" s="258"/>
      <c r="T339" s="258"/>
      <c r="U339" s="258"/>
      <c r="V339" s="258"/>
      <c r="W339" s="258"/>
      <c r="X339" s="258"/>
      <c r="Y339" s="268"/>
      <c r="Z339" s="268"/>
      <c r="AA339" s="268"/>
      <c r="AB339" s="268"/>
      <c r="AC339" s="268"/>
    </row>
    <row r="340" customFormat="false" ht="11.25" hidden="false" customHeight="false" outlineLevel="0" collapsed="false">
      <c r="A340" s="109" t="s">
        <v>524</v>
      </c>
      <c r="B340" s="35" t="s">
        <v>525</v>
      </c>
      <c r="D340" s="35"/>
      <c r="E340" s="128"/>
      <c r="F340" s="128"/>
      <c r="G340" s="128"/>
      <c r="H340" s="258"/>
      <c r="I340" s="141" t="n">
        <v>0</v>
      </c>
      <c r="J340" s="141" t="n">
        <v>0</v>
      </c>
      <c r="K340" s="141" t="n">
        <v>0</v>
      </c>
      <c r="L340" s="141" t="n">
        <v>0</v>
      </c>
      <c r="M340" s="141" t="n">
        <v>0</v>
      </c>
      <c r="N340" s="141" t="n">
        <v>0</v>
      </c>
      <c r="O340" s="141" t="n">
        <v>0</v>
      </c>
      <c r="P340" s="141" t="n">
        <v>0</v>
      </c>
      <c r="Q340" s="141" t="n">
        <v>0</v>
      </c>
      <c r="R340" s="141" t="n">
        <v>0</v>
      </c>
      <c r="S340" s="141" t="n">
        <v>0</v>
      </c>
      <c r="T340" s="141" t="n">
        <v>0</v>
      </c>
      <c r="U340" s="141" t="n">
        <v>0</v>
      </c>
      <c r="V340" s="141" t="n">
        <v>0</v>
      </c>
      <c r="W340" s="141" t="n">
        <v>0</v>
      </c>
      <c r="X340" s="141" t="n">
        <v>0</v>
      </c>
      <c r="Y340" s="141" t="n">
        <v>0</v>
      </c>
      <c r="Z340" s="141" t="n">
        <v>0</v>
      </c>
      <c r="AA340" s="141" t="n">
        <v>0</v>
      </c>
      <c r="AB340" s="141" t="n">
        <v>0</v>
      </c>
      <c r="AC340" s="141" t="n">
        <v>0</v>
      </c>
    </row>
    <row r="341" customFormat="false" ht="11.25" hidden="false" customHeight="false" outlineLevel="0" collapsed="false">
      <c r="A341" s="109"/>
      <c r="B341" s="43" t="s">
        <v>517</v>
      </c>
      <c r="D341" s="35"/>
      <c r="E341" s="128"/>
      <c r="F341" s="128"/>
      <c r="G341" s="128"/>
      <c r="H341" s="258"/>
      <c r="I341" s="26" t="n">
        <v>1</v>
      </c>
      <c r="J341" s="26" t="n">
        <f aca="false">I341</f>
        <v>1</v>
      </c>
      <c r="K341" s="26" t="n">
        <f aca="false">J341</f>
        <v>1</v>
      </c>
      <c r="L341" s="26" t="n">
        <f aca="false">K341</f>
        <v>1</v>
      </c>
      <c r="M341" s="26" t="n">
        <f aca="false">L341</f>
        <v>1</v>
      </c>
      <c r="N341" s="26" t="n">
        <f aca="false">M341</f>
        <v>1</v>
      </c>
      <c r="O341" s="26" t="n">
        <f aca="false">N341</f>
        <v>1</v>
      </c>
      <c r="P341" s="26" t="n">
        <f aca="false">O341</f>
        <v>1</v>
      </c>
      <c r="Q341" s="26" t="n">
        <f aca="false">P341</f>
        <v>1</v>
      </c>
      <c r="R341" s="26" t="n">
        <f aca="false">Q341</f>
        <v>1</v>
      </c>
      <c r="S341" s="26" t="n">
        <f aca="false">R341</f>
        <v>1</v>
      </c>
      <c r="T341" s="26" t="n">
        <f aca="false">S341</f>
        <v>1</v>
      </c>
      <c r="U341" s="26" t="n">
        <f aca="false">T341</f>
        <v>1</v>
      </c>
      <c r="V341" s="26" t="n">
        <f aca="false">U341</f>
        <v>1</v>
      </c>
      <c r="W341" s="26" t="n">
        <f aca="false">V341</f>
        <v>1</v>
      </c>
      <c r="X341" s="26" t="n">
        <f aca="false">W341</f>
        <v>1</v>
      </c>
      <c r="Y341" s="26" t="n">
        <f aca="false">X341</f>
        <v>1</v>
      </c>
      <c r="Z341" s="26" t="n">
        <f aca="false">Y341</f>
        <v>1</v>
      </c>
      <c r="AA341" s="26" t="n">
        <f aca="false">Z341</f>
        <v>1</v>
      </c>
      <c r="AB341" s="26" t="n">
        <f aca="false">AA341</f>
        <v>1</v>
      </c>
      <c r="AC341" s="26" t="n">
        <f aca="false">AB341</f>
        <v>1</v>
      </c>
    </row>
    <row r="342" customFormat="false" ht="11.25" hidden="false" customHeight="false" outlineLevel="0" collapsed="false">
      <c r="B342" s="43" t="s">
        <v>526</v>
      </c>
      <c r="D342" s="35"/>
      <c r="E342" s="128"/>
      <c r="F342" s="128"/>
      <c r="G342" s="128"/>
      <c r="H342" s="258"/>
      <c r="I342" s="120" t="n">
        <f aca="false">+I340*I341</f>
        <v>0</v>
      </c>
      <c r="J342" s="120" t="n">
        <f aca="false">+J340*J341</f>
        <v>0</v>
      </c>
      <c r="K342" s="120" t="n">
        <f aca="false">+K340*K341</f>
        <v>0</v>
      </c>
      <c r="L342" s="120" t="n">
        <f aca="false">+L340*L341</f>
        <v>0</v>
      </c>
      <c r="M342" s="120" t="n">
        <f aca="false">+M340*M341</f>
        <v>0</v>
      </c>
      <c r="N342" s="120" t="n">
        <f aca="false">+N340*N341</f>
        <v>0</v>
      </c>
      <c r="O342" s="120" t="n">
        <f aca="false">+O340*O341</f>
        <v>0</v>
      </c>
      <c r="P342" s="120" t="n">
        <f aca="false">+P340*P341</f>
        <v>0</v>
      </c>
      <c r="Q342" s="120" t="n">
        <f aca="false">+Q340*Q341</f>
        <v>0</v>
      </c>
      <c r="R342" s="120" t="n">
        <f aca="false">+R340*R341</f>
        <v>0</v>
      </c>
      <c r="S342" s="120" t="n">
        <f aca="false">+S340*S341</f>
        <v>0</v>
      </c>
      <c r="T342" s="120" t="n">
        <f aca="false">+T340*T341</f>
        <v>0</v>
      </c>
      <c r="U342" s="120" t="n">
        <f aca="false">+U340*U341</f>
        <v>0</v>
      </c>
      <c r="V342" s="120" t="n">
        <f aca="false">+V340*V341</f>
        <v>0</v>
      </c>
      <c r="W342" s="120" t="n">
        <f aca="false">+W340*W341</f>
        <v>0</v>
      </c>
      <c r="X342" s="120" t="n">
        <f aca="false">+X340*X341</f>
        <v>0</v>
      </c>
      <c r="Y342" s="120" t="n">
        <f aca="false">+Y340*Y341</f>
        <v>0</v>
      </c>
      <c r="Z342" s="120" t="n">
        <f aca="false">+Z340*Z341</f>
        <v>0</v>
      </c>
      <c r="AA342" s="120" t="n">
        <f aca="false">+AA340*AA341</f>
        <v>0</v>
      </c>
      <c r="AB342" s="120" t="n">
        <f aca="false">+AB340*AB341</f>
        <v>0</v>
      </c>
      <c r="AC342" s="120" t="n">
        <f aca="false">+AC340*AC341</f>
        <v>0</v>
      </c>
    </row>
    <row r="343" customFormat="false" ht="11.25" hidden="false" customHeight="false" outlineLevel="0" collapsed="false">
      <c r="A343" s="109"/>
      <c r="B343" s="35" t="s">
        <v>176</v>
      </c>
      <c r="D343" s="35"/>
      <c r="E343" s="128"/>
      <c r="F343" s="128"/>
      <c r="G343" s="128"/>
      <c r="H343" s="258"/>
      <c r="I343" s="26" t="n">
        <v>1</v>
      </c>
      <c r="J343" s="26" t="n">
        <f aca="false">I343</f>
        <v>1</v>
      </c>
      <c r="K343" s="26" t="n">
        <f aca="false">J343</f>
        <v>1</v>
      </c>
      <c r="L343" s="26" t="n">
        <f aca="false">K343</f>
        <v>1</v>
      </c>
      <c r="M343" s="26" t="n">
        <f aca="false">L343</f>
        <v>1</v>
      </c>
      <c r="N343" s="26" t="n">
        <f aca="false">M343</f>
        <v>1</v>
      </c>
      <c r="O343" s="26" t="n">
        <f aca="false">N343</f>
        <v>1</v>
      </c>
      <c r="P343" s="26" t="n">
        <f aca="false">O343</f>
        <v>1</v>
      </c>
      <c r="Q343" s="26" t="n">
        <f aca="false">P343</f>
        <v>1</v>
      </c>
      <c r="R343" s="26" t="n">
        <f aca="false">Q343</f>
        <v>1</v>
      </c>
      <c r="S343" s="26" t="n">
        <f aca="false">R343</f>
        <v>1</v>
      </c>
      <c r="T343" s="26" t="n">
        <f aca="false">S343</f>
        <v>1</v>
      </c>
      <c r="U343" s="26" t="n">
        <f aca="false">T343</f>
        <v>1</v>
      </c>
      <c r="V343" s="26" t="n">
        <f aca="false">U343</f>
        <v>1</v>
      </c>
      <c r="W343" s="26" t="n">
        <f aca="false">V343</f>
        <v>1</v>
      </c>
      <c r="X343" s="26" t="n">
        <f aca="false">W343</f>
        <v>1</v>
      </c>
      <c r="Y343" s="26" t="n">
        <f aca="false">X343</f>
        <v>1</v>
      </c>
      <c r="Z343" s="26" t="n">
        <f aca="false">Y343</f>
        <v>1</v>
      </c>
      <c r="AA343" s="26" t="n">
        <f aca="false">Z343</f>
        <v>1</v>
      </c>
      <c r="AB343" s="26" t="n">
        <f aca="false">AA343</f>
        <v>1</v>
      </c>
      <c r="AC343" s="26" t="n">
        <f aca="false">AB343</f>
        <v>1</v>
      </c>
    </row>
    <row r="344" customFormat="false" ht="11.25" hidden="false" customHeight="false" outlineLevel="0" collapsed="false">
      <c r="B344" s="43" t="s">
        <v>527</v>
      </c>
      <c r="D344" s="35"/>
      <c r="H344" s="12"/>
      <c r="I344" s="120" t="n">
        <f aca="false">+I342*I343</f>
        <v>0</v>
      </c>
      <c r="J344" s="120" t="n">
        <f aca="false">+J342*J343</f>
        <v>0</v>
      </c>
      <c r="K344" s="120" t="n">
        <f aca="false">+K342*K343</f>
        <v>0</v>
      </c>
      <c r="L344" s="120" t="n">
        <f aca="false">+L342*L343</f>
        <v>0</v>
      </c>
      <c r="M344" s="120" t="n">
        <f aca="false">+M342*M343</f>
        <v>0</v>
      </c>
      <c r="N344" s="120" t="n">
        <f aca="false">+N342*N343</f>
        <v>0</v>
      </c>
      <c r="O344" s="120" t="n">
        <f aca="false">+O342*O343</f>
        <v>0</v>
      </c>
      <c r="P344" s="120" t="n">
        <f aca="false">+P342*P343</f>
        <v>0</v>
      </c>
      <c r="Q344" s="120" t="n">
        <f aca="false">+Q342*Q343</f>
        <v>0</v>
      </c>
      <c r="R344" s="120" t="n">
        <f aca="false">+R342*R343</f>
        <v>0</v>
      </c>
      <c r="S344" s="120" t="n">
        <f aca="false">+S342*S343</f>
        <v>0</v>
      </c>
      <c r="T344" s="120" t="n">
        <f aca="false">+T342*T343</f>
        <v>0</v>
      </c>
      <c r="U344" s="120" t="n">
        <f aca="false">+U342*U343</f>
        <v>0</v>
      </c>
      <c r="V344" s="120" t="n">
        <f aca="false">+V342*V343</f>
        <v>0</v>
      </c>
      <c r="W344" s="120" t="n">
        <f aca="false">+W342*W343</f>
        <v>0</v>
      </c>
      <c r="X344" s="120" t="n">
        <f aca="false">+X342*X343</f>
        <v>0</v>
      </c>
      <c r="Y344" s="120" t="n">
        <f aca="false">+Y342*Y343</f>
        <v>0</v>
      </c>
      <c r="Z344" s="120" t="n">
        <f aca="false">+Z342*Z343</f>
        <v>0</v>
      </c>
      <c r="AA344" s="120" t="n">
        <f aca="false">+AA342*AA343</f>
        <v>0</v>
      </c>
      <c r="AB344" s="120" t="n">
        <f aca="false">+AB342*AB343</f>
        <v>0</v>
      </c>
      <c r="AC344" s="120" t="n">
        <f aca="false">+AC342*AC343</f>
        <v>0</v>
      </c>
    </row>
    <row r="345" customFormat="false" ht="11.25" hidden="false" customHeight="false" outlineLevel="0" collapsed="false">
      <c r="D345" s="35"/>
      <c r="H345" s="12"/>
    </row>
    <row r="346" customFormat="false" ht="11.25" hidden="false" customHeight="false" outlineLevel="0" collapsed="false">
      <c r="A346" s="4"/>
      <c r="B346" s="43" t="s">
        <v>528</v>
      </c>
      <c r="D346" s="102" t="n">
        <v>1</v>
      </c>
      <c r="H346" s="12"/>
      <c r="I346" s="112" t="n">
        <f aca="false">IF($D346=1,I$227,IF($D346=2,I$230,IF($D346=3,I$232,IF($D346=4,I$234,IF($D346=5,I$236,I$227)))))</f>
        <v>0</v>
      </c>
      <c r="J346" s="112" t="n">
        <f aca="false">IF($D346=1,J$227,IF($D346=2,J$230,IF($D346=3,J$232,IF($D346=4,J$234,IF($D346=5,J$236,J$227)))))</f>
        <v>0</v>
      </c>
      <c r="K346" s="112" t="n">
        <f aca="false">IF($D346=1,K$227,IF($D346=2,K$230,IF($D346=3,K$232,IF($D346=4,K$234,IF($D346=5,K$236,K$227)))))</f>
        <v>0</v>
      </c>
      <c r="L346" s="112" t="n">
        <f aca="false">IF($D346=1,L$227,IF($D346=2,L$230,IF($D346=3,L$232,IF($D346=4,L$234,IF($D346=5,L$236,L$227)))))</f>
        <v>0</v>
      </c>
      <c r="M346" s="112" t="n">
        <f aca="false">IF($D346=1,M$227,IF($D346=2,M$230,IF($D346=3,M$232,IF($D346=4,M$234,IF($D346=5,M$236,M$227)))))</f>
        <v>0</v>
      </c>
      <c r="N346" s="112" t="n">
        <f aca="false">IF($D346=1,N$227,IF($D346=2,N$230,IF($D346=3,N$232,IF($D346=4,N$234,IF($D346=5,N$236,N$227)))))</f>
        <v>0</v>
      </c>
      <c r="O346" s="112" t="n">
        <f aca="false">IF($D346=1,O$227,IF($D346=2,O$230,IF($D346=3,O$232,IF($D346=4,O$234,IF($D346=5,O$236,O$227)))))</f>
        <v>0</v>
      </c>
      <c r="P346" s="112" t="n">
        <f aca="false">IF($D346=1,P$227,IF($D346=2,P$230,IF($D346=3,P$232,IF($D346=4,P$234,IF($D346=5,P$236,P$227)))))</f>
        <v>0</v>
      </c>
      <c r="Q346" s="112" t="n">
        <f aca="false">IF($D346=1,Q$227,IF($D346=2,Q$230,IF($D346=3,Q$232,IF($D346=4,Q$234,IF($D346=5,Q$236,Q$227)))))</f>
        <v>0</v>
      </c>
      <c r="R346" s="112" t="n">
        <f aca="false">IF($D346=1,R$227,IF($D346=2,R$230,IF($D346=3,R$232,IF($D346=4,R$234,IF($D346=5,R$236,R$227)))))</f>
        <v>0</v>
      </c>
      <c r="S346" s="112" t="n">
        <f aca="false">IF($D346=1,S$227,IF($D346=2,S$230,IF($D346=3,S$232,IF($D346=4,S$234,IF($D346=5,S$236,S$227)))))</f>
        <v>0</v>
      </c>
      <c r="T346" s="112" t="n">
        <f aca="false">IF($D346=1,T$227,IF($D346=2,T$230,IF($D346=3,T$232,IF($D346=4,T$234,IF($D346=5,T$236,T$227)))))</f>
        <v>0</v>
      </c>
      <c r="U346" s="112" t="n">
        <f aca="false">IF($D346=1,U$227,IF($D346=2,U$230,IF($D346=3,U$232,IF($D346=4,U$234,IF($D346=5,U$236,U$227)))))</f>
        <v>0</v>
      </c>
      <c r="V346" s="112" t="n">
        <f aca="false">IF($D346=1,V$227,IF($D346=2,V$230,IF($D346=3,V$232,IF($D346=4,V$234,IF($D346=5,V$236,V$227)))))</f>
        <v>0</v>
      </c>
      <c r="W346" s="112" t="n">
        <f aca="false">IF($D346=1,W$227,IF($D346=2,W$230,IF($D346=3,W$232,IF($D346=4,W$234,IF($D346=5,W$236,W$227)))))</f>
        <v>0</v>
      </c>
      <c r="X346" s="112" t="n">
        <f aca="false">IF($D346=1,X$227,IF($D346=2,X$230,IF($D346=3,X$232,IF($D346=4,X$234,IF($D346=5,X$236,X$227)))))</f>
        <v>0</v>
      </c>
      <c r="Y346" s="112" t="n">
        <f aca="false">IF($D346=1,Y$227,IF($D346=2,Y$230,IF($D346=3,Y$232,IF($D346=4,Y$234,IF($D346=5,Y$236,Y$227)))))</f>
        <v>0</v>
      </c>
      <c r="Z346" s="112" t="n">
        <f aca="false">IF($D346=1,Z$227,IF($D346=2,Z$230,IF($D346=3,Z$232,IF($D346=4,Z$234,IF($D346=5,Z$236,Z$227)))))</f>
        <v>0</v>
      </c>
      <c r="AA346" s="112" t="n">
        <f aca="false">IF($D346=1,AA$227,IF($D346=2,AA$230,IF($D346=3,AA$232,IF($D346=4,AA$234,IF($D346=5,AA$236,AA$227)))))</f>
        <v>0</v>
      </c>
      <c r="AB346" s="112" t="n">
        <f aca="false">IF($D346=1,AB$227,IF($D346=2,AB$230,IF($D346=3,AB$232,IF($D346=4,AB$234,IF($D346=5,AB$236,AB$227)))))</f>
        <v>0</v>
      </c>
      <c r="AC346" s="112" t="n">
        <f aca="false">IF($D346=1,AC$227,IF($D346=2,AC$230,IF($D346=3,AC$232,IF($D346=4,AC$234,IF($D346=5,AC$236,AC$227)))))</f>
        <v>0</v>
      </c>
    </row>
    <row r="347" customFormat="false" ht="11.25" hidden="false" customHeight="false" outlineLevel="0" collapsed="false">
      <c r="A347" s="4"/>
      <c r="B347" s="43" t="s">
        <v>179</v>
      </c>
      <c r="D347" s="35"/>
      <c r="H347" s="12"/>
      <c r="I347" s="99" t="n">
        <v>0</v>
      </c>
      <c r="J347" s="99" t="n">
        <v>0</v>
      </c>
      <c r="K347" s="99" t="n">
        <v>0</v>
      </c>
      <c r="L347" s="99" t="n">
        <v>0</v>
      </c>
      <c r="M347" s="99" t="n">
        <v>0</v>
      </c>
      <c r="N347" s="99" t="n">
        <v>0</v>
      </c>
      <c r="O347" s="99" t="n">
        <v>0</v>
      </c>
      <c r="P347" s="99" t="n">
        <v>0</v>
      </c>
      <c r="Q347" s="99" t="n">
        <v>0</v>
      </c>
      <c r="R347" s="99" t="n">
        <v>0</v>
      </c>
      <c r="S347" s="99" t="n">
        <v>0</v>
      </c>
      <c r="T347" s="99" t="n">
        <v>0</v>
      </c>
      <c r="U347" s="99" t="n">
        <v>0</v>
      </c>
      <c r="V347" s="99" t="n">
        <v>0</v>
      </c>
      <c r="W347" s="99" t="n">
        <v>0</v>
      </c>
      <c r="X347" s="99" t="n">
        <v>0</v>
      </c>
      <c r="Y347" s="99" t="n">
        <v>0</v>
      </c>
      <c r="Z347" s="99" t="n">
        <v>0</v>
      </c>
      <c r="AA347" s="99" t="n">
        <v>0</v>
      </c>
      <c r="AB347" s="99" t="n">
        <v>0</v>
      </c>
      <c r="AC347" s="99" t="n">
        <v>0</v>
      </c>
    </row>
    <row r="348" customFormat="false" ht="11.25" hidden="false" customHeight="false" outlineLevel="0" collapsed="false">
      <c r="A348" s="4"/>
      <c r="B348" s="43" t="s">
        <v>529</v>
      </c>
      <c r="D348" s="35"/>
      <c r="H348" s="12"/>
      <c r="I348" s="257" t="n">
        <f aca="false">+I346+I347</f>
        <v>0</v>
      </c>
      <c r="J348" s="257" t="n">
        <f aca="false">+J346+J347</f>
        <v>0</v>
      </c>
      <c r="K348" s="257" t="n">
        <f aca="false">+K346+K347</f>
        <v>0</v>
      </c>
      <c r="L348" s="257" t="n">
        <f aca="false">+L346+L347</f>
        <v>0</v>
      </c>
      <c r="M348" s="257" t="n">
        <f aca="false">+M346+M347</f>
        <v>0</v>
      </c>
      <c r="N348" s="257" t="n">
        <f aca="false">+N346+N347</f>
        <v>0</v>
      </c>
      <c r="O348" s="257" t="n">
        <f aca="false">+O346+O347</f>
        <v>0</v>
      </c>
      <c r="P348" s="257" t="n">
        <f aca="false">+P346+P347</f>
        <v>0</v>
      </c>
      <c r="Q348" s="257" t="n">
        <f aca="false">+Q346+Q347</f>
        <v>0</v>
      </c>
      <c r="R348" s="257" t="n">
        <f aca="false">+R346+R347</f>
        <v>0</v>
      </c>
      <c r="S348" s="257" t="n">
        <f aca="false">+S346+S347</f>
        <v>0</v>
      </c>
      <c r="T348" s="257" t="n">
        <f aca="false">+T346+T347</f>
        <v>0</v>
      </c>
      <c r="U348" s="257" t="n">
        <f aca="false">+U346+U347</f>
        <v>0</v>
      </c>
      <c r="V348" s="257" t="n">
        <f aca="false">+V346+V347</f>
        <v>0</v>
      </c>
      <c r="W348" s="257" t="n">
        <f aca="false">+W346+W347</f>
        <v>0</v>
      </c>
      <c r="X348" s="257" t="n">
        <f aca="false">+X346+X347</f>
        <v>0</v>
      </c>
      <c r="Y348" s="257" t="n">
        <f aca="false">+Y346+Y347</f>
        <v>0</v>
      </c>
      <c r="Z348" s="257" t="n">
        <f aca="false">+Z346+Z347</f>
        <v>0</v>
      </c>
      <c r="AA348" s="257" t="n">
        <f aca="false">+AA346+AA347</f>
        <v>0</v>
      </c>
      <c r="AB348" s="257" t="n">
        <f aca="false">+AB346+AB347</f>
        <v>0</v>
      </c>
      <c r="AC348" s="257" t="n">
        <f aca="false">+AC346+AC347</f>
        <v>0</v>
      </c>
    </row>
    <row r="349" customFormat="false" ht="11.25" hidden="false" customHeight="false" outlineLevel="0" collapsed="false">
      <c r="A349" s="4"/>
      <c r="B349" s="35" t="s">
        <v>536</v>
      </c>
      <c r="D349" s="35"/>
      <c r="H349" s="12"/>
      <c r="I349" s="116" t="n">
        <f aca="false">I344*I348*1000/unit</f>
        <v>0</v>
      </c>
      <c r="J349" s="116" t="n">
        <f aca="false">J344*J348*1000/unit</f>
        <v>0</v>
      </c>
      <c r="K349" s="116" t="n">
        <f aca="false">K344*K348*1000/unit</f>
        <v>0</v>
      </c>
      <c r="L349" s="116" t="n">
        <f aca="false">L344*L348*1000/unit</f>
        <v>0</v>
      </c>
      <c r="M349" s="116" t="n">
        <f aca="false">M344*M348*1000/unit</f>
        <v>0</v>
      </c>
      <c r="N349" s="116" t="n">
        <f aca="false">N344*N348*1000/unit</f>
        <v>0</v>
      </c>
      <c r="O349" s="116" t="n">
        <f aca="false">O344*O348*1000/unit</f>
        <v>0</v>
      </c>
      <c r="P349" s="116" t="n">
        <f aca="false">P344*P348*1000/unit</f>
        <v>0</v>
      </c>
      <c r="Q349" s="116" t="n">
        <f aca="false">Q344*Q348*1000/unit</f>
        <v>0</v>
      </c>
      <c r="R349" s="116" t="n">
        <f aca="false">R344*R348*1000/unit</f>
        <v>0</v>
      </c>
      <c r="S349" s="116" t="n">
        <f aca="false">S344*S348*1000/unit</f>
        <v>0</v>
      </c>
      <c r="T349" s="116" t="n">
        <f aca="false">T344*T348*1000/unit</f>
        <v>0</v>
      </c>
      <c r="U349" s="116" t="n">
        <f aca="false">U344*U348*1000/unit</f>
        <v>0</v>
      </c>
      <c r="V349" s="116" t="n">
        <f aca="false">V344*V348*1000/unit</f>
        <v>0</v>
      </c>
      <c r="W349" s="116" t="n">
        <f aca="false">W344*W348*1000/unit</f>
        <v>0</v>
      </c>
      <c r="X349" s="116" t="n">
        <f aca="false">X344*X348*1000/unit</f>
        <v>0</v>
      </c>
      <c r="Y349" s="116" t="n">
        <f aca="false">Y344*Y348*1000/unit</f>
        <v>0</v>
      </c>
      <c r="Z349" s="116" t="n">
        <f aca="false">Z344*Z348*1000/unit</f>
        <v>0</v>
      </c>
      <c r="AA349" s="116" t="n">
        <f aca="false">AA344*AA348*1000/unit</f>
        <v>0</v>
      </c>
      <c r="AB349" s="116" t="n">
        <f aca="false">AB344*AB348*1000/unit</f>
        <v>0</v>
      </c>
      <c r="AC349" s="116" t="n">
        <f aca="false">AC344*AC348*1000/unit</f>
        <v>0</v>
      </c>
    </row>
    <row r="350" customFormat="false" ht="11.25" hidden="false" customHeight="false" outlineLevel="0" collapsed="false">
      <c r="A350" s="4"/>
      <c r="B350" s="35"/>
      <c r="D350" s="35"/>
      <c r="E350" s="128"/>
      <c r="F350" s="128"/>
      <c r="G350" s="128"/>
      <c r="H350" s="258"/>
      <c r="I350" s="258"/>
      <c r="J350" s="258"/>
      <c r="K350" s="258"/>
      <c r="L350" s="258"/>
      <c r="M350" s="258"/>
      <c r="N350" s="258"/>
      <c r="O350" s="258"/>
      <c r="P350" s="258"/>
      <c r="Q350" s="258"/>
      <c r="R350" s="258"/>
      <c r="S350" s="258"/>
      <c r="T350" s="258"/>
      <c r="U350" s="258"/>
      <c r="V350" s="258"/>
      <c r="W350" s="258"/>
      <c r="X350" s="258"/>
      <c r="Y350" s="268"/>
      <c r="Z350" s="268"/>
      <c r="AA350" s="268"/>
      <c r="AB350" s="268"/>
      <c r="AC350" s="268"/>
    </row>
    <row r="351" customFormat="false" ht="11.25" hidden="false" customHeight="false" outlineLevel="0" collapsed="false">
      <c r="A351" s="153" t="str">
        <f aca="false">+"Total Revenues - "&amp;C12</f>
        <v>Total Revenues - PDNP</v>
      </c>
      <c r="D351" s="35"/>
      <c r="E351" s="50" t="n">
        <v>0</v>
      </c>
      <c r="F351" s="50" t="n">
        <v>0</v>
      </c>
      <c r="G351" s="50" t="n">
        <v>0</v>
      </c>
      <c r="H351" s="141" t="n">
        <f aca="false">H338+H322+H349</f>
        <v>0</v>
      </c>
      <c r="I351" s="258" t="n">
        <f aca="false">I338+I322+I349</f>
        <v>-6.148875</v>
      </c>
      <c r="J351" s="258" t="n">
        <f aca="false">J338+J322+J349</f>
        <v>-19.344375</v>
      </c>
      <c r="K351" s="258" t="n">
        <f aca="false">K338+K322+K349</f>
        <v>-11.839375</v>
      </c>
      <c r="L351" s="258" t="n">
        <f aca="false">L338+L322+L349</f>
        <v>-17.55125</v>
      </c>
      <c r="M351" s="258" t="n">
        <f aca="false">M338+M322+M349</f>
        <v>-34.0195</v>
      </c>
      <c r="N351" s="258" t="n">
        <f aca="false">N338+N322+N349</f>
        <v>-18.259</v>
      </c>
      <c r="O351" s="258" t="n">
        <f aca="false">O338+O322+O349</f>
        <v>-11.4095</v>
      </c>
      <c r="P351" s="258" t="n">
        <f aca="false">P338+P322+P349</f>
        <v>-3.070875</v>
      </c>
      <c r="Q351" s="258" t="n">
        <f aca="false">Q338+Q322+Q349</f>
        <v>-2.610125</v>
      </c>
      <c r="R351" s="258" t="n">
        <f aca="false">R338+R322+R349</f>
        <v>-2.21825</v>
      </c>
      <c r="S351" s="258" t="n">
        <f aca="false">S338+S322+S349</f>
        <v>-1.88575</v>
      </c>
      <c r="T351" s="258" t="n">
        <f aca="false">T338+T322+T349</f>
        <v>-1.603125</v>
      </c>
      <c r="U351" s="258" t="n">
        <f aca="false">U338+U322+U349</f>
        <v>-1.36325</v>
      </c>
      <c r="V351" s="258" t="n">
        <f aca="false">V338+V322+V349</f>
        <v>-1.159</v>
      </c>
      <c r="W351" s="258" t="n">
        <f aca="false">W338+W322+W349</f>
        <v>-0.98325</v>
      </c>
      <c r="X351" s="258" t="n">
        <f aca="false">X338+X322+X349</f>
        <v>-0.836</v>
      </c>
      <c r="Y351" s="258" t="n">
        <f aca="false">Y338+Y322+Y349</f>
        <v>-0.710125</v>
      </c>
      <c r="Z351" s="258" t="n">
        <f aca="false">Z338+Z322+Z349</f>
        <v>0</v>
      </c>
      <c r="AA351" s="258" t="n">
        <f aca="false">AA338+AA322+AA349</f>
        <v>0</v>
      </c>
      <c r="AB351" s="258" t="n">
        <f aca="false">AB338+AB322+AB349</f>
        <v>0</v>
      </c>
      <c r="AC351" s="258" t="n">
        <f aca="false">AC338+AC322+AC349</f>
        <v>0</v>
      </c>
    </row>
    <row r="352" customFormat="false" ht="12" hidden="false" customHeight="false" outlineLevel="0" collapsed="false">
      <c r="A352" s="4"/>
      <c r="B352" s="35"/>
      <c r="D352" s="35"/>
      <c r="E352" s="129"/>
      <c r="F352" s="129"/>
      <c r="G352" s="129"/>
      <c r="H352" s="258"/>
      <c r="I352" s="258"/>
      <c r="J352" s="258"/>
      <c r="K352" s="258"/>
      <c r="L352" s="258"/>
      <c r="M352" s="258"/>
      <c r="N352" s="258"/>
      <c r="O352" s="258"/>
      <c r="P352" s="258"/>
      <c r="Q352" s="258"/>
      <c r="R352" s="258"/>
      <c r="S352" s="258"/>
      <c r="T352" s="258"/>
      <c r="U352" s="258"/>
      <c r="V352" s="258"/>
      <c r="W352" s="258"/>
      <c r="X352" s="258"/>
      <c r="Y352" s="268"/>
      <c r="Z352" s="268"/>
      <c r="AA352" s="268"/>
      <c r="AB352" s="268"/>
      <c r="AC352" s="268"/>
    </row>
    <row r="353" customFormat="false" ht="12" hidden="false" customHeight="false" outlineLevel="0" collapsed="false">
      <c r="A353" s="130"/>
      <c r="B353" s="130"/>
      <c r="C353" s="130"/>
      <c r="D353" s="130"/>
      <c r="E353" s="130"/>
      <c r="F353" s="130"/>
      <c r="G353" s="130"/>
      <c r="H353" s="130"/>
      <c r="I353" s="130"/>
      <c r="J353" s="130"/>
      <c r="K353" s="130"/>
      <c r="L353" s="130"/>
      <c r="M353" s="130"/>
      <c r="N353" s="130"/>
      <c r="O353" s="130"/>
      <c r="P353" s="130"/>
      <c r="Q353" s="130"/>
      <c r="R353" s="130"/>
      <c r="S353" s="130"/>
      <c r="T353" s="130"/>
      <c r="U353" s="130"/>
      <c r="V353" s="130"/>
      <c r="W353" s="130"/>
      <c r="X353" s="130"/>
      <c r="Y353" s="130"/>
      <c r="Z353" s="130"/>
      <c r="AA353" s="130"/>
      <c r="AB353" s="130"/>
      <c r="AC353" s="130"/>
    </row>
    <row r="354" customFormat="false" ht="11.25" hidden="false" customHeight="false" outlineLevel="0" collapsed="false">
      <c r="A354" s="4"/>
      <c r="B354" s="4" t="s">
        <v>192</v>
      </c>
      <c r="C354" s="103"/>
      <c r="D354" s="103"/>
      <c r="E354" s="111"/>
      <c r="F354" s="111"/>
      <c r="G354" s="111"/>
      <c r="H354" s="258"/>
      <c r="I354" s="258"/>
      <c r="J354" s="258"/>
      <c r="K354" s="258"/>
      <c r="L354" s="258"/>
      <c r="M354" s="258"/>
      <c r="N354" s="258"/>
      <c r="O354" s="258"/>
      <c r="P354" s="258"/>
      <c r="Q354" s="258"/>
      <c r="R354" s="258"/>
      <c r="S354" s="258"/>
      <c r="T354" s="258"/>
      <c r="U354" s="258"/>
      <c r="V354" s="258"/>
      <c r="W354" s="258"/>
      <c r="X354" s="258"/>
      <c r="Y354" s="258"/>
      <c r="Z354" s="258"/>
      <c r="AA354" s="258"/>
      <c r="AB354" s="258"/>
      <c r="AC354" s="258"/>
    </row>
    <row r="355" customFormat="false" ht="11.25" hidden="false" customHeight="false" outlineLevel="0" collapsed="false">
      <c r="A355" s="4"/>
      <c r="B355" s="43" t="s">
        <v>193</v>
      </c>
      <c r="C355" s="131" t="s">
        <v>194</v>
      </c>
      <c r="D355" s="102" t="n">
        <v>6</v>
      </c>
      <c r="F355" s="111"/>
      <c r="G355" s="111"/>
      <c r="H355" s="258" t="s">
        <v>195</v>
      </c>
      <c r="I355" s="258" t="n">
        <f aca="false">(I317+(I333/$D355)+I344)*1000</f>
        <v>2589</v>
      </c>
      <c r="J355" s="258" t="n">
        <f aca="false">(J317+(J333/$D355)+J344)*1000</f>
        <v>8145</v>
      </c>
      <c r="K355" s="258" t="n">
        <f aca="false">(K317+(K333/$D355)+K344)*1000</f>
        <v>4985</v>
      </c>
      <c r="L355" s="258" t="n">
        <f aca="false">(L317+(L333/$D355)+L344)*1000</f>
        <v>7390</v>
      </c>
      <c r="M355" s="258" t="n">
        <f aca="false">(M317+(M333/$D355)+M344)*1000</f>
        <v>14324</v>
      </c>
      <c r="N355" s="258" t="n">
        <f aca="false">(N317+(N333/$D355)+N344)*1000</f>
        <v>7688</v>
      </c>
      <c r="O355" s="258" t="n">
        <f aca="false">(O317+(O333/$D355)+O344)*1000</f>
        <v>4804</v>
      </c>
      <c r="P355" s="258" t="n">
        <f aca="false">(P317+(P333/$D355)+P344)*1000</f>
        <v>1293</v>
      </c>
      <c r="Q355" s="258" t="n">
        <f aca="false">(Q317+(Q333/$D355)+Q344)*1000</f>
        <v>1099</v>
      </c>
      <c r="R355" s="258" t="n">
        <f aca="false">(R317+(R333/$D355)+R344)*1000</f>
        <v>934</v>
      </c>
      <c r="S355" s="258" t="n">
        <f aca="false">(S317+(S333/$D355)+S344)*1000</f>
        <v>794</v>
      </c>
      <c r="T355" s="258" t="n">
        <f aca="false">(T317+(T333/$D355)+T344)*1000</f>
        <v>675</v>
      </c>
      <c r="U355" s="258" t="n">
        <f aca="false">(U317+(U333/$D355)+U344)*1000</f>
        <v>574</v>
      </c>
      <c r="V355" s="258" t="n">
        <f aca="false">(V317+(V333/$D355)+V344)*1000</f>
        <v>488</v>
      </c>
      <c r="W355" s="258" t="n">
        <f aca="false">(W317+(W333/$D355)+W344)*1000</f>
        <v>414</v>
      </c>
      <c r="X355" s="258" t="n">
        <f aca="false">(X317+(X333/$D355)+X344)*1000</f>
        <v>352</v>
      </c>
      <c r="Y355" s="258" t="n">
        <f aca="false">(Y317+(Y333/$D355)+Y344)*1000</f>
        <v>299</v>
      </c>
      <c r="Z355" s="258" t="n">
        <f aca="false">(Z317+(Z333/$D355)+Z344)*1000</f>
        <v>0</v>
      </c>
      <c r="AA355" s="258" t="n">
        <f aca="false">(AA317+(AA333/$D355)+AA344)*1000</f>
        <v>0</v>
      </c>
      <c r="AB355" s="258" t="n">
        <f aca="false">(AB317+(AB333/$D355)+AB344)*1000</f>
        <v>0</v>
      </c>
      <c r="AC355" s="258" t="n">
        <f aca="false">(AC317+(AC333/$D355)+AC344)*1000</f>
        <v>0</v>
      </c>
    </row>
    <row r="356" customFormat="false" ht="11.25" hidden="false" customHeight="false" outlineLevel="0" collapsed="false">
      <c r="A356" s="4"/>
      <c r="B356" s="43"/>
      <c r="C356" s="131"/>
      <c r="D356" s="103"/>
      <c r="E356" s="111"/>
      <c r="F356" s="111"/>
      <c r="G356" s="111"/>
      <c r="H356" s="258"/>
      <c r="I356" s="258"/>
      <c r="J356" s="258"/>
      <c r="K356" s="258"/>
      <c r="L356" s="258"/>
      <c r="M356" s="258"/>
      <c r="N356" s="258"/>
      <c r="O356" s="258"/>
      <c r="P356" s="258"/>
      <c r="Q356" s="258"/>
      <c r="R356" s="258"/>
      <c r="S356" s="258"/>
      <c r="T356" s="258"/>
      <c r="U356" s="258"/>
      <c r="V356" s="258"/>
      <c r="W356" s="258"/>
      <c r="X356" s="258"/>
      <c r="Y356" s="258"/>
      <c r="Z356" s="258"/>
      <c r="AA356" s="258"/>
      <c r="AB356" s="258"/>
      <c r="AC356" s="258"/>
    </row>
    <row r="357" customFormat="false" ht="11.25" hidden="false" customHeight="false" outlineLevel="0" collapsed="false">
      <c r="A357" s="4"/>
      <c r="B357" s="94" t="s">
        <v>157</v>
      </c>
      <c r="C357" s="132" t="s">
        <v>162</v>
      </c>
      <c r="E357" s="43" t="s">
        <v>196</v>
      </c>
      <c r="H357" s="245" t="n">
        <v>0</v>
      </c>
      <c r="I357" s="274" t="s">
        <v>530</v>
      </c>
      <c r="J357" s="274" t="s">
        <v>537</v>
      </c>
      <c r="K357" s="274" t="s">
        <v>532</v>
      </c>
      <c r="L357" s="12"/>
      <c r="M357" s="12"/>
      <c r="N357" s="12"/>
      <c r="O357" s="12"/>
      <c r="P357" s="12"/>
      <c r="Q357" s="12"/>
      <c r="R357" s="12"/>
      <c r="S357" s="12"/>
      <c r="T357" s="12"/>
      <c r="U357" s="12"/>
      <c r="V357" s="12"/>
      <c r="W357" s="12"/>
      <c r="X357" s="12"/>
      <c r="Y357" s="12"/>
      <c r="Z357" s="12"/>
      <c r="AA357" s="12"/>
      <c r="AB357" s="12"/>
      <c r="AC357" s="12"/>
    </row>
    <row r="358" customFormat="false" ht="11.25" hidden="false" customHeight="false" outlineLevel="0" collapsed="false">
      <c r="A358" s="4"/>
      <c r="B358" s="133" t="s">
        <v>158</v>
      </c>
      <c r="C358" s="132"/>
      <c r="E358" s="67" t="s">
        <v>197</v>
      </c>
      <c r="H358" s="26" t="n">
        <v>1</v>
      </c>
      <c r="I358" s="274" t="n">
        <v>0.8</v>
      </c>
      <c r="J358" s="275" t="n">
        <v>1</v>
      </c>
      <c r="K358" s="274" t="n">
        <v>1.1</v>
      </c>
      <c r="L358" s="12"/>
      <c r="M358" s="12"/>
      <c r="N358" s="12"/>
      <c r="O358" s="12"/>
      <c r="P358" s="12"/>
      <c r="Q358" s="12"/>
      <c r="R358" s="12"/>
      <c r="S358" s="12"/>
      <c r="T358" s="12"/>
      <c r="U358" s="12"/>
      <c r="V358" s="12"/>
      <c r="W358" s="12"/>
      <c r="X358" s="12"/>
      <c r="Y358" s="12"/>
      <c r="Z358" s="12"/>
      <c r="AA358" s="12"/>
      <c r="AB358" s="12"/>
      <c r="AC358" s="12"/>
    </row>
    <row r="359" customFormat="false" ht="11.25" hidden="false" customHeight="false" outlineLevel="0" collapsed="false">
      <c r="A359" s="4"/>
      <c r="B359" s="133" t="s">
        <v>159</v>
      </c>
      <c r="C359" s="132"/>
      <c r="E359" s="43" t="s">
        <v>198</v>
      </c>
      <c r="H359" s="88" t="n">
        <f aca="false">+H357*H358</f>
        <v>0</v>
      </c>
      <c r="I359" s="12"/>
      <c r="J359" s="12"/>
      <c r="K359" s="12"/>
      <c r="L359" s="12"/>
      <c r="M359" s="12"/>
      <c r="N359" s="12"/>
      <c r="O359" s="12"/>
      <c r="P359" s="12"/>
      <c r="Q359" s="12"/>
      <c r="R359" s="12"/>
      <c r="S359" s="12"/>
      <c r="T359" s="12"/>
      <c r="U359" s="12"/>
      <c r="V359" s="12"/>
      <c r="W359" s="12"/>
      <c r="X359" s="12"/>
      <c r="Y359" s="12"/>
      <c r="Z359" s="12"/>
      <c r="AA359" s="12"/>
      <c r="AB359" s="12"/>
      <c r="AC359" s="12"/>
    </row>
    <row r="360" customFormat="false" ht="11.25" hidden="false" customHeight="false" outlineLevel="0" collapsed="false">
      <c r="A360" s="4"/>
      <c r="B360" s="133" t="s">
        <v>160</v>
      </c>
      <c r="C360" s="132"/>
      <c r="E360" s="43" t="s">
        <v>199</v>
      </c>
      <c r="H360" s="141" t="n">
        <v>3</v>
      </c>
      <c r="I360" s="276" t="n">
        <v>9.989</v>
      </c>
      <c r="J360" s="276" t="n">
        <v>43.598</v>
      </c>
      <c r="K360" s="276" t="n">
        <v>43.598</v>
      </c>
      <c r="L360" s="276" t="n">
        <v>43.598</v>
      </c>
      <c r="M360" s="276" t="n">
        <v>43.598</v>
      </c>
      <c r="N360" s="276" t="n">
        <v>43.598</v>
      </c>
      <c r="O360" s="276" t="n">
        <v>43.598</v>
      </c>
      <c r="P360" s="276" t="n">
        <v>43.598</v>
      </c>
      <c r="Q360" s="276" t="n">
        <v>55.84</v>
      </c>
      <c r="R360" s="276" t="n">
        <v>58.295</v>
      </c>
      <c r="S360" s="276" t="n">
        <v>39.876</v>
      </c>
      <c r="T360" s="276" t="n">
        <v>39.876</v>
      </c>
      <c r="U360" s="276" t="n">
        <v>39.876</v>
      </c>
      <c r="V360" s="276" t="n">
        <v>39.876</v>
      </c>
      <c r="W360" s="276" t="n">
        <v>19.557</v>
      </c>
      <c r="X360" s="276" t="n">
        <v>19.557</v>
      </c>
      <c r="Y360" s="276" t="n">
        <v>4.86</v>
      </c>
      <c r="Z360" s="276"/>
      <c r="AA360" s="276"/>
      <c r="AB360" s="276"/>
      <c r="AC360" s="276"/>
    </row>
    <row r="361" customFormat="false" ht="11.25" hidden="false" customHeight="false" outlineLevel="0" collapsed="false">
      <c r="A361" s="4"/>
      <c r="B361" s="138" t="s">
        <v>200</v>
      </c>
      <c r="E361" s="88"/>
      <c r="F361" s="88"/>
      <c r="G361" s="88"/>
      <c r="H361" s="88"/>
      <c r="I361" s="277" t="n">
        <f aca="false">I360*$J$358*$H$358</f>
        <v>9.989</v>
      </c>
      <c r="J361" s="88" t="n">
        <f aca="false">J360*$J$358*$H$358</f>
        <v>43.598</v>
      </c>
      <c r="K361" s="88" t="n">
        <f aca="false">K360*$J$358*$H$358</f>
        <v>43.598</v>
      </c>
      <c r="L361" s="88" t="n">
        <f aca="false">L360*$J$358*$H$358</f>
        <v>43.598</v>
      </c>
      <c r="M361" s="88" t="n">
        <f aca="false">M360*$J$358*$H$358</f>
        <v>43.598</v>
      </c>
      <c r="N361" s="88" t="n">
        <f aca="false">N360*$J$358*$H$358</f>
        <v>43.598</v>
      </c>
      <c r="O361" s="88" t="n">
        <f aca="false">O360*$J$358*$H$358</f>
        <v>43.598</v>
      </c>
      <c r="P361" s="88" t="n">
        <f aca="false">P360*$J$358*$H$358</f>
        <v>43.598</v>
      </c>
      <c r="Q361" s="88" t="n">
        <f aca="false">Q360*$J$358*$H$358</f>
        <v>55.84</v>
      </c>
      <c r="R361" s="88" t="n">
        <f aca="false">R360*$J$358*$H$358</f>
        <v>58.295</v>
      </c>
      <c r="S361" s="88" t="n">
        <f aca="false">S360*$J$358*$H$358</f>
        <v>39.876</v>
      </c>
      <c r="T361" s="88" t="n">
        <f aca="false">T360*$J$358*$H$358</f>
        <v>39.876</v>
      </c>
      <c r="U361" s="88" t="n">
        <f aca="false">U360*$J$358*$H$358</f>
        <v>39.876</v>
      </c>
      <c r="V361" s="88" t="n">
        <f aca="false">V360*$J$358*$H$358</f>
        <v>39.876</v>
      </c>
      <c r="W361" s="88" t="n">
        <f aca="false">W360*$J$358*$H$358</f>
        <v>19.557</v>
      </c>
      <c r="X361" s="88" t="n">
        <f aca="false">X360*$J$358*$H$358</f>
        <v>19.557</v>
      </c>
      <c r="Y361" s="88" t="n">
        <f aca="false">Y360*$J$358*$H$358</f>
        <v>4.86</v>
      </c>
      <c r="Z361" s="88" t="n">
        <f aca="false">Z360*$J$358*$H$358</f>
        <v>0</v>
      </c>
      <c r="AA361" s="88" t="n">
        <f aca="false">AA360*$J$358*$H$358</f>
        <v>0</v>
      </c>
      <c r="AB361" s="88" t="n">
        <f aca="false">AB360*$J$358*$H$358</f>
        <v>0</v>
      </c>
      <c r="AC361" s="88" t="n">
        <f aca="false">AC360*$J$358*$H$358</f>
        <v>0</v>
      </c>
    </row>
    <row r="362" customFormat="false" ht="11.25" hidden="false" customHeight="false" outlineLevel="0" collapsed="false">
      <c r="A362" s="4"/>
      <c r="B362" s="138"/>
      <c r="E362" s="88"/>
      <c r="F362" s="88"/>
      <c r="G362" s="88"/>
      <c r="H362" s="88"/>
      <c r="I362" s="88"/>
      <c r="J362" s="88"/>
      <c r="K362" s="88"/>
      <c r="L362" s="88"/>
      <c r="M362" s="88"/>
      <c r="N362" s="88"/>
      <c r="O362" s="88"/>
      <c r="P362" s="88"/>
      <c r="Q362" s="88"/>
      <c r="R362" s="88"/>
      <c r="S362" s="88"/>
      <c r="T362" s="88"/>
      <c r="U362" s="88"/>
      <c r="V362" s="88"/>
      <c r="W362" s="88"/>
      <c r="X362" s="88"/>
      <c r="Y362" s="88"/>
      <c r="Z362" s="88"/>
      <c r="AA362" s="88"/>
      <c r="AB362" s="88"/>
      <c r="AC362" s="88"/>
    </row>
    <row r="363" customFormat="false" ht="11.25" hidden="false" customHeight="false" outlineLevel="0" collapsed="false">
      <c r="A363" s="4"/>
      <c r="B363" s="138" t="s">
        <v>201</v>
      </c>
      <c r="E363" s="88" t="s">
        <v>533</v>
      </c>
      <c r="F363" s="88"/>
      <c r="G363" s="88"/>
      <c r="H363" s="84" t="n">
        <v>0.092</v>
      </c>
      <c r="I363" s="88" t="n">
        <f aca="false">+$H363*I351</f>
        <v>-0.5656965</v>
      </c>
      <c r="J363" s="88" t="n">
        <f aca="false">+$H363*J351</f>
        <v>-1.7796825</v>
      </c>
      <c r="K363" s="88" t="n">
        <f aca="false">+$H363*K351</f>
        <v>-1.0892225</v>
      </c>
      <c r="L363" s="88" t="n">
        <f aca="false">+$H363*L351</f>
        <v>-1.614715</v>
      </c>
      <c r="M363" s="88" t="n">
        <f aca="false">+$H363*M351</f>
        <v>-3.129794</v>
      </c>
      <c r="N363" s="88" t="n">
        <f aca="false">+$H363*N351</f>
        <v>-1.679828</v>
      </c>
      <c r="O363" s="88" t="n">
        <f aca="false">+$H363*O351</f>
        <v>-1.049674</v>
      </c>
      <c r="P363" s="88" t="n">
        <f aca="false">+$H363*P351</f>
        <v>-0.2825205</v>
      </c>
      <c r="Q363" s="88" t="n">
        <f aca="false">+$H363*Q351</f>
        <v>-0.2401315</v>
      </c>
      <c r="R363" s="88" t="n">
        <f aca="false">+$H363*R351</f>
        <v>-0.204079</v>
      </c>
      <c r="S363" s="88" t="n">
        <f aca="false">+$H363*S351</f>
        <v>-0.173489</v>
      </c>
      <c r="T363" s="88" t="n">
        <f aca="false">+$H363*T351</f>
        <v>-0.1474875</v>
      </c>
      <c r="U363" s="88" t="n">
        <f aca="false">+$H363*U351</f>
        <v>-0.125419</v>
      </c>
      <c r="V363" s="88" t="n">
        <f aca="false">+$H363*V351</f>
        <v>-0.106628</v>
      </c>
      <c r="W363" s="88" t="n">
        <f aca="false">+$H363*W351</f>
        <v>-0.090459</v>
      </c>
      <c r="X363" s="88" t="n">
        <f aca="false">+$H363*X351</f>
        <v>-0.076912</v>
      </c>
      <c r="Y363" s="88" t="n">
        <f aca="false">+$H363*Y351</f>
        <v>-0.0653315</v>
      </c>
      <c r="Z363" s="88" t="n">
        <f aca="false">+$H363*Z351</f>
        <v>0</v>
      </c>
      <c r="AA363" s="88" t="n">
        <f aca="false">+$H363*AA351</f>
        <v>0</v>
      </c>
      <c r="AB363" s="88" t="n">
        <f aca="false">+$H363*AB351</f>
        <v>0</v>
      </c>
      <c r="AC363" s="88" t="n">
        <f aca="false">+$H363*AC351</f>
        <v>0</v>
      </c>
    </row>
    <row r="364" customFormat="false" ht="11.25" hidden="false" customHeight="false" outlineLevel="0" collapsed="false">
      <c r="A364" s="4"/>
      <c r="B364" s="138"/>
      <c r="E364" s="88"/>
      <c r="F364" s="88"/>
      <c r="G364" s="88"/>
      <c r="H364" s="88"/>
      <c r="I364" s="88"/>
      <c r="J364" s="88"/>
      <c r="K364" s="88"/>
      <c r="L364" s="88"/>
      <c r="M364" s="88"/>
      <c r="N364" s="88"/>
      <c r="O364" s="88"/>
      <c r="P364" s="88"/>
      <c r="Q364" s="88"/>
      <c r="R364" s="88"/>
      <c r="S364" s="88"/>
      <c r="T364" s="88"/>
      <c r="U364" s="88"/>
      <c r="V364" s="88"/>
      <c r="W364" s="88"/>
      <c r="X364" s="88"/>
      <c r="Y364" s="88"/>
      <c r="Z364" s="88"/>
      <c r="AA364" s="88"/>
      <c r="AB364" s="88"/>
      <c r="AC364" s="88"/>
    </row>
    <row r="365" customFormat="false" ht="11.25" hidden="false" customHeight="false" outlineLevel="0" collapsed="false">
      <c r="A365" s="4"/>
      <c r="B365" s="138" t="s">
        <v>203</v>
      </c>
      <c r="E365" s="88"/>
      <c r="F365" s="88"/>
      <c r="G365" s="88"/>
      <c r="H365" s="88"/>
      <c r="I365" s="88"/>
      <c r="J365" s="88"/>
      <c r="K365" s="88"/>
      <c r="L365" s="88"/>
      <c r="M365" s="88"/>
      <c r="N365" s="88"/>
      <c r="O365" s="88"/>
      <c r="P365" s="88"/>
      <c r="Q365" s="88"/>
      <c r="R365" s="88"/>
      <c r="S365" s="88"/>
      <c r="T365" s="88"/>
      <c r="U365" s="88"/>
      <c r="V365" s="88"/>
      <c r="W365" s="88"/>
      <c r="X365" s="88"/>
      <c r="Y365" s="88"/>
      <c r="Z365" s="88"/>
      <c r="AA365" s="88"/>
      <c r="AB365" s="88"/>
      <c r="AC365" s="88"/>
    </row>
    <row r="366" customFormat="false" ht="11.25" hidden="false" customHeight="false" outlineLevel="0" collapsed="false">
      <c r="A366" s="4"/>
      <c r="B366" s="94" t="s">
        <v>157</v>
      </c>
      <c r="C366" s="132" t="s">
        <v>162</v>
      </c>
      <c r="E366" s="43" t="s">
        <v>204</v>
      </c>
      <c r="H366" s="141" t="n">
        <v>0</v>
      </c>
      <c r="I366" s="140"/>
      <c r="J366" s="140"/>
      <c r="K366" s="140"/>
      <c r="L366" s="140"/>
      <c r="M366" s="140"/>
      <c r="N366" s="140"/>
      <c r="O366" s="140"/>
      <c r="P366" s="140"/>
      <c r="Q366" s="140"/>
      <c r="R366" s="140"/>
      <c r="S366" s="140"/>
      <c r="T366" s="140"/>
      <c r="U366" s="140"/>
      <c r="V366" s="140"/>
      <c r="W366" s="140"/>
      <c r="X366" s="140"/>
      <c r="Y366" s="140"/>
      <c r="Z366" s="140"/>
      <c r="AA366" s="140"/>
      <c r="AB366" s="140"/>
      <c r="AC366" s="140"/>
    </row>
    <row r="367" customFormat="false" ht="11.25" hidden="false" customHeight="false" outlineLevel="0" collapsed="false">
      <c r="A367" s="4"/>
      <c r="B367" s="133" t="s">
        <v>158</v>
      </c>
      <c r="C367" s="132"/>
      <c r="E367" s="67" t="s">
        <v>197</v>
      </c>
      <c r="H367" s="26" t="n">
        <v>1</v>
      </c>
      <c r="I367" s="80"/>
      <c r="J367" s="80"/>
      <c r="K367" s="80"/>
      <c r="L367" s="80"/>
      <c r="M367" s="80"/>
      <c r="N367" s="80"/>
      <c r="O367" s="80"/>
      <c r="P367" s="80"/>
      <c r="Q367" s="80"/>
      <c r="R367" s="80"/>
      <c r="S367" s="80"/>
      <c r="T367" s="80"/>
      <c r="U367" s="80"/>
      <c r="V367" s="80"/>
      <c r="W367" s="80"/>
      <c r="X367" s="80"/>
      <c r="Y367" s="80"/>
      <c r="Z367" s="80"/>
      <c r="AA367" s="80"/>
      <c r="AB367" s="80"/>
      <c r="AC367" s="80"/>
    </row>
    <row r="368" customFormat="false" ht="11.25" hidden="false" customHeight="false" outlineLevel="0" collapsed="false">
      <c r="A368" s="4"/>
      <c r="B368" s="133" t="s">
        <v>159</v>
      </c>
      <c r="C368" s="132"/>
      <c r="E368" s="43" t="s">
        <v>198</v>
      </c>
      <c r="H368" s="88" t="n">
        <f aca="false">+H366*H367</f>
        <v>0</v>
      </c>
      <c r="I368" s="12"/>
      <c r="J368" s="12"/>
      <c r="K368" s="12"/>
      <c r="L368" s="12"/>
      <c r="M368" s="12"/>
      <c r="N368" s="12"/>
      <c r="O368" s="12"/>
      <c r="P368" s="12"/>
      <c r="Q368" s="12"/>
      <c r="R368" s="12"/>
      <c r="S368" s="12"/>
      <c r="T368" s="12"/>
      <c r="U368" s="12"/>
      <c r="V368" s="12"/>
      <c r="W368" s="12"/>
      <c r="X368" s="12"/>
      <c r="Y368" s="12"/>
      <c r="Z368" s="12"/>
      <c r="AA368" s="12"/>
      <c r="AB368" s="12"/>
      <c r="AC368" s="12"/>
    </row>
    <row r="369" customFormat="false" ht="11.25" hidden="false" customHeight="false" outlineLevel="0" collapsed="false">
      <c r="A369" s="4"/>
      <c r="B369" s="133" t="s">
        <v>160</v>
      </c>
      <c r="C369" s="132"/>
      <c r="E369" s="43" t="s">
        <v>199</v>
      </c>
      <c r="H369" s="141" t="n">
        <v>3</v>
      </c>
      <c r="I369" s="137"/>
      <c r="J369" s="137"/>
      <c r="K369" s="137"/>
      <c r="L369" s="137"/>
      <c r="M369" s="137"/>
      <c r="N369" s="137"/>
      <c r="O369" s="137"/>
      <c r="P369" s="137"/>
      <c r="Q369" s="137"/>
      <c r="R369" s="137"/>
      <c r="S369" s="137"/>
      <c r="T369" s="137"/>
      <c r="U369" s="137"/>
      <c r="V369" s="137"/>
      <c r="W369" s="137"/>
      <c r="X369" s="137"/>
      <c r="Y369" s="137"/>
      <c r="Z369" s="137"/>
      <c r="AA369" s="137"/>
      <c r="AB369" s="137"/>
      <c r="AC369" s="137"/>
    </row>
    <row r="370" customFormat="false" ht="11.25" hidden="false" customHeight="false" outlineLevel="0" collapsed="false">
      <c r="A370" s="4"/>
      <c r="B370" s="138" t="s">
        <v>205</v>
      </c>
      <c r="E370" s="88"/>
      <c r="F370" s="88"/>
      <c r="G370" s="88"/>
      <c r="H370" s="88"/>
      <c r="I370" s="88" t="n">
        <f aca="false">($H368)*(IF($H369=1,I$185,IF($H369=2,I$188,IF($H369=3,I$191,0))))*(stub)</f>
        <v>0</v>
      </c>
      <c r="J370" s="88" t="n">
        <f aca="false">($H368)*(IF($H369=1,J$185,IF($H369=2,J$188,IF($H369=3,J$191,0))))</f>
        <v>0</v>
      </c>
      <c r="K370" s="88" t="n">
        <f aca="false">($H368)*(IF($H369=1,K$185,IF($H369=2,K$188,IF($H369=3,K$191,0))))</f>
        <v>0</v>
      </c>
      <c r="L370" s="88" t="n">
        <f aca="false">($H368)*(IF($H369=1,L$185,IF($H369=2,L$188,IF($H369=3,L$191,0))))</f>
        <v>0</v>
      </c>
      <c r="M370" s="88" t="n">
        <f aca="false">($H368)*(IF($H369=1,M$185,IF($H369=2,M$188,IF($H369=3,M$191,0))))</f>
        <v>0</v>
      </c>
      <c r="N370" s="88" t="n">
        <f aca="false">($H368)*(IF($H369=1,N$185,IF($H369=2,N$188,IF($H369=3,N$191,0))))</f>
        <v>0</v>
      </c>
      <c r="O370" s="88" t="n">
        <f aca="false">($H368)*(IF($H369=1,O$185,IF($H369=2,O$188,IF($H369=3,O$191,0))))</f>
        <v>0</v>
      </c>
      <c r="P370" s="88" t="n">
        <f aca="false">($H368)*(IF($H369=1,P$185,IF($H369=2,P$188,IF($H369=3,P$191,0))))</f>
        <v>0</v>
      </c>
      <c r="Q370" s="88" t="n">
        <f aca="false">($H368)*(IF($H369=1,Q$185,IF($H369=2,Q$188,IF($H369=3,Q$191,0))))</f>
        <v>0</v>
      </c>
      <c r="R370" s="88" t="n">
        <f aca="false">($H368)*(IF($H369=1,R$185,IF($H369=2,R$188,IF($H369=3,R$191,0))))</f>
        <v>0</v>
      </c>
      <c r="S370" s="88" t="n">
        <f aca="false">($H368)*(IF($H369=1,S$185,IF($H369=2,S$188,IF($H369=3,S$191,0))))</f>
        <v>0</v>
      </c>
      <c r="T370" s="88" t="n">
        <f aca="false">($H368)*(IF($H369=1,T$185,IF($H369=2,T$188,IF($H369=3,T$191,0))))</f>
        <v>0</v>
      </c>
      <c r="U370" s="88" t="n">
        <f aca="false">($H368)*(IF($H369=1,U$185,IF($H369=2,U$188,IF($H369=3,U$191,0))))</f>
        <v>0</v>
      </c>
      <c r="V370" s="88" t="n">
        <f aca="false">($H368)*(IF($H369=1,V$185,IF($H369=2,V$188,IF($H369=3,V$191,0))))</f>
        <v>0</v>
      </c>
      <c r="W370" s="88" t="n">
        <f aca="false">($H368)*(IF($H369=1,W$185,IF($H369=2,W$188,IF($H369=3,W$191,0))))</f>
        <v>0</v>
      </c>
      <c r="X370" s="88" t="n">
        <f aca="false">($H368)*(IF($H369=1,X$185,IF($H369=2,X$188,IF($H369=3,X$191,0))))</f>
        <v>0</v>
      </c>
      <c r="Y370" s="88" t="n">
        <f aca="false">($H368)*(IF($H369=1,Y$185,IF($H369=2,Y$188,IF($H369=3,Y$191,0))))</f>
        <v>0</v>
      </c>
      <c r="Z370" s="88" t="n">
        <f aca="false">($H368)*(IF($H369=1,Z$185,IF($H369=2,Z$188,IF($H369=3,Z$191,0))))</f>
        <v>0</v>
      </c>
      <c r="AA370" s="88" t="n">
        <f aca="false">($H368)*(IF($H369=1,AA$185,IF($H369=2,AA$188,IF($H369=3,AA$191,0))))</f>
        <v>0</v>
      </c>
      <c r="AB370" s="88" t="n">
        <f aca="false">($H368)*(IF($H369=1,AB$185,IF($H369=2,AB$188,IF($H369=3,AB$191,0))))</f>
        <v>0</v>
      </c>
      <c r="AC370" s="88" t="n">
        <f aca="false">($H368)*(IF($H369=1,AC$185,IF($H369=2,AC$188,IF($H369=3,AC$191,0))))</f>
        <v>0</v>
      </c>
    </row>
    <row r="371" customFormat="false" ht="11.25" hidden="false" customHeight="false" outlineLevel="0" collapsed="false">
      <c r="A371" s="4"/>
      <c r="B371" s="138"/>
      <c r="E371" s="88"/>
      <c r="F371" s="88"/>
      <c r="G371" s="88"/>
      <c r="H371" s="88"/>
      <c r="I371" s="88"/>
      <c r="J371" s="88"/>
      <c r="K371" s="88"/>
      <c r="L371" s="88"/>
      <c r="M371" s="88"/>
      <c r="N371" s="88"/>
      <c r="O371" s="88"/>
      <c r="P371" s="88"/>
      <c r="Q371" s="88"/>
      <c r="R371" s="88"/>
      <c r="S371" s="88"/>
      <c r="T371" s="88"/>
      <c r="U371" s="88"/>
      <c r="V371" s="88"/>
      <c r="W371" s="88"/>
      <c r="X371" s="88"/>
      <c r="Y371" s="88"/>
      <c r="Z371" s="88"/>
      <c r="AA371" s="88"/>
      <c r="AB371" s="88"/>
      <c r="AC371" s="88"/>
    </row>
    <row r="372" customFormat="false" ht="11.25" hidden="false" customHeight="false" outlineLevel="0" collapsed="false">
      <c r="A372" s="4"/>
      <c r="B372" s="138" t="s">
        <v>206</v>
      </c>
      <c r="E372" s="88"/>
      <c r="F372" s="88"/>
      <c r="G372" s="88"/>
      <c r="H372" s="88"/>
      <c r="I372" s="141" t="n">
        <v>0</v>
      </c>
      <c r="J372" s="141" t="n">
        <v>0</v>
      </c>
      <c r="K372" s="141" t="n">
        <v>0</v>
      </c>
      <c r="L372" s="141" t="n">
        <v>0</v>
      </c>
      <c r="M372" s="141" t="n">
        <v>0</v>
      </c>
      <c r="N372" s="141" t="n">
        <v>0</v>
      </c>
      <c r="O372" s="141" t="n">
        <v>0</v>
      </c>
      <c r="P372" s="141" t="n">
        <v>0</v>
      </c>
      <c r="Q372" s="141" t="n">
        <v>0</v>
      </c>
      <c r="R372" s="141" t="n">
        <v>0</v>
      </c>
      <c r="S372" s="141" t="n">
        <v>0</v>
      </c>
      <c r="T372" s="141" t="n">
        <v>0</v>
      </c>
      <c r="U372" s="141" t="n">
        <v>0</v>
      </c>
      <c r="V372" s="141" t="n">
        <v>0</v>
      </c>
      <c r="W372" s="141" t="n">
        <v>0</v>
      </c>
      <c r="X372" s="141" t="n">
        <v>0</v>
      </c>
      <c r="Y372" s="141" t="n">
        <v>0</v>
      </c>
      <c r="Z372" s="141" t="n">
        <v>0</v>
      </c>
      <c r="AA372" s="141" t="n">
        <v>0</v>
      </c>
      <c r="AB372" s="141" t="n">
        <v>0</v>
      </c>
      <c r="AC372" s="141" t="n">
        <v>0</v>
      </c>
    </row>
    <row r="373" customFormat="false" ht="11.25" hidden="false" customHeight="false" outlineLevel="0" collapsed="false">
      <c r="A373" s="142" t="str">
        <f aca="false">"Total Production Costs - "&amp;C12</f>
        <v>Total Production Costs - PDNP</v>
      </c>
      <c r="E373" s="254" t="n">
        <v>0</v>
      </c>
      <c r="F373" s="254" t="n">
        <v>0</v>
      </c>
      <c r="G373" s="254" t="n">
        <v>0</v>
      </c>
      <c r="H373" s="254" t="n">
        <v>0</v>
      </c>
      <c r="I373" s="143" t="n">
        <f aca="false">+I370+I361+I363+I372</f>
        <v>9.4233035</v>
      </c>
      <c r="J373" s="143" t="n">
        <f aca="false">+J370+J361+J363+J372</f>
        <v>41.8183175</v>
      </c>
      <c r="K373" s="143" t="n">
        <f aca="false">+K370+K361+K363+K372</f>
        <v>42.5087775</v>
      </c>
      <c r="L373" s="143" t="n">
        <f aca="false">+L370+L361+L363+L372</f>
        <v>41.983285</v>
      </c>
      <c r="M373" s="143" t="n">
        <f aca="false">+M370+M361+M363+M372</f>
        <v>40.468206</v>
      </c>
      <c r="N373" s="143" t="n">
        <f aca="false">+N370+N361+N363+N372</f>
        <v>41.918172</v>
      </c>
      <c r="O373" s="143" t="n">
        <f aca="false">+O370+O361+O363+O372</f>
        <v>42.548326</v>
      </c>
      <c r="P373" s="143" t="n">
        <f aca="false">+P370+P361+P363+P372</f>
        <v>43.3154795</v>
      </c>
      <c r="Q373" s="143" t="n">
        <f aca="false">+Q370+Q361+Q363+Q372</f>
        <v>55.5998685</v>
      </c>
      <c r="R373" s="143" t="n">
        <f aca="false">+R370+R361+R363+R372</f>
        <v>58.090921</v>
      </c>
      <c r="S373" s="143" t="n">
        <f aca="false">+S370+S361+S363+S372</f>
        <v>39.702511</v>
      </c>
      <c r="T373" s="143" t="n">
        <f aca="false">+T370+T361+T363+T372</f>
        <v>39.7285125</v>
      </c>
      <c r="U373" s="143" t="n">
        <f aca="false">+U370+U361+U363+U372</f>
        <v>39.750581</v>
      </c>
      <c r="V373" s="143" t="n">
        <f aca="false">+V370+V361+V363+V372</f>
        <v>39.769372</v>
      </c>
      <c r="W373" s="143" t="n">
        <f aca="false">+W370+W361+W363+W372</f>
        <v>19.466541</v>
      </c>
      <c r="X373" s="143" t="n">
        <f aca="false">+X370+X361+X363+X372</f>
        <v>19.480088</v>
      </c>
      <c r="Y373" s="143" t="n">
        <f aca="false">+Y370+Y361+Y363+Y372</f>
        <v>4.7946685</v>
      </c>
      <c r="Z373" s="143" t="n">
        <f aca="false">+Z370+Z361+Z363+Z372</f>
        <v>0</v>
      </c>
      <c r="AA373" s="143" t="n">
        <f aca="false">+AA370+AA361+AA363+AA372</f>
        <v>0</v>
      </c>
      <c r="AB373" s="143" t="n">
        <f aca="false">+AB370+AB361+AB363+AB372</f>
        <v>0</v>
      </c>
      <c r="AC373" s="143" t="n">
        <f aca="false">+AC370+AC361+AC363+AC372</f>
        <v>0</v>
      </c>
    </row>
    <row r="374" customFormat="false" ht="11.25" hidden="false" customHeight="false" outlineLevel="0" collapsed="false">
      <c r="A374" s="4" t="str">
        <f aca="false">"Net Oil &amp; Gas Income - "&amp;C12</f>
        <v>Net Oil &amp; Gas Income - PDNP</v>
      </c>
      <c r="D374" s="35"/>
      <c r="E374" s="127" t="n">
        <f aca="false">+E351-E373</f>
        <v>0</v>
      </c>
      <c r="F374" s="127" t="n">
        <f aca="false">+F351-F373</f>
        <v>0</v>
      </c>
      <c r="G374" s="127" t="n">
        <f aca="false">+G351-G373</f>
        <v>0</v>
      </c>
      <c r="H374" s="116" t="n">
        <f aca="false">+H351-H373</f>
        <v>0</v>
      </c>
      <c r="I374" s="116" t="n">
        <f aca="false">+I351-I373</f>
        <v>-15.5721785</v>
      </c>
      <c r="J374" s="116" t="n">
        <f aca="false">+J351-J373</f>
        <v>-61.1626925</v>
      </c>
      <c r="K374" s="116" t="n">
        <f aca="false">+K351-K373</f>
        <v>-54.3481525</v>
      </c>
      <c r="L374" s="116" t="n">
        <f aca="false">+L351-L373</f>
        <v>-59.534535</v>
      </c>
      <c r="M374" s="116" t="n">
        <f aca="false">+M351-M373</f>
        <v>-74.487706</v>
      </c>
      <c r="N374" s="116" t="n">
        <f aca="false">+N351-N373</f>
        <v>-60.177172</v>
      </c>
      <c r="O374" s="116" t="n">
        <f aca="false">+O351-O373</f>
        <v>-53.957826</v>
      </c>
      <c r="P374" s="116" t="n">
        <f aca="false">+P351-P373</f>
        <v>-46.3863545</v>
      </c>
      <c r="Q374" s="116" t="n">
        <f aca="false">+Q351-Q373</f>
        <v>-58.2099935</v>
      </c>
      <c r="R374" s="116" t="n">
        <f aca="false">+R351-R373</f>
        <v>-60.309171</v>
      </c>
      <c r="S374" s="116" t="n">
        <f aca="false">+S351-S373</f>
        <v>-41.588261</v>
      </c>
      <c r="T374" s="116" t="n">
        <f aca="false">+T351-T373</f>
        <v>-41.3316375</v>
      </c>
      <c r="U374" s="116" t="n">
        <f aca="false">+U351-U373</f>
        <v>-41.113831</v>
      </c>
      <c r="V374" s="116" t="n">
        <f aca="false">+V351-V373</f>
        <v>-40.928372</v>
      </c>
      <c r="W374" s="116" t="n">
        <f aca="false">+W351-W373</f>
        <v>-20.449791</v>
      </c>
      <c r="X374" s="116" t="n">
        <f aca="false">+X351-X373</f>
        <v>-20.316088</v>
      </c>
      <c r="Y374" s="116" t="n">
        <f aca="false">+Y351-Y373</f>
        <v>-5.5047935</v>
      </c>
      <c r="Z374" s="116" t="n">
        <f aca="false">+Z351-Z373</f>
        <v>0</v>
      </c>
      <c r="AA374" s="116" t="n">
        <f aca="false">+AA351-AA373</f>
        <v>0</v>
      </c>
      <c r="AB374" s="116" t="n">
        <f aca="false">+AB351-AB373</f>
        <v>0</v>
      </c>
      <c r="AC374" s="116" t="n">
        <f aca="false">+AC351-AC373</f>
        <v>0</v>
      </c>
    </row>
    <row r="375" customFormat="false" ht="11.25" hidden="false" customHeight="false" outlineLevel="0" collapsed="false">
      <c r="A375" s="4"/>
      <c r="B375" s="35"/>
      <c r="D375" s="35"/>
      <c r="E375" s="110"/>
      <c r="F375" s="110"/>
      <c r="G375" s="110"/>
      <c r="H375" s="258"/>
      <c r="I375" s="258"/>
      <c r="J375" s="258"/>
      <c r="K375" s="258"/>
      <c r="L375" s="258"/>
      <c r="M375" s="258"/>
      <c r="N375" s="258"/>
      <c r="O375" s="258"/>
      <c r="P375" s="258"/>
      <c r="Q375" s="258"/>
      <c r="R375" s="258"/>
      <c r="S375" s="258"/>
      <c r="T375" s="258"/>
      <c r="U375" s="258"/>
      <c r="V375" s="258"/>
      <c r="W375" s="258"/>
      <c r="X375" s="258"/>
      <c r="Y375" s="268"/>
      <c r="Z375" s="268"/>
      <c r="AA375" s="268"/>
      <c r="AB375" s="268"/>
      <c r="AC375" s="268"/>
    </row>
    <row r="376" customFormat="false" ht="11.25" hidden="false" customHeight="false" outlineLevel="0" collapsed="false">
      <c r="A376" s="4"/>
      <c r="B376" s="35" t="s">
        <v>538</v>
      </c>
      <c r="D376" s="35"/>
      <c r="E376" s="110"/>
      <c r="F376" s="110"/>
      <c r="G376" s="110"/>
      <c r="I376" s="141" t="n">
        <v>0</v>
      </c>
      <c r="J376" s="141" t="n">
        <v>0</v>
      </c>
      <c r="K376" s="141" t="n">
        <v>0</v>
      </c>
      <c r="L376" s="141" t="n">
        <v>0</v>
      </c>
      <c r="M376" s="141" t="n">
        <v>0</v>
      </c>
      <c r="N376" s="141" t="n">
        <v>0</v>
      </c>
      <c r="O376" s="141" t="n">
        <v>0</v>
      </c>
      <c r="P376" s="141" t="n">
        <v>0</v>
      </c>
      <c r="Q376" s="141" t="n">
        <v>0</v>
      </c>
      <c r="R376" s="141" t="n">
        <v>0</v>
      </c>
      <c r="S376" s="141" t="n">
        <v>0</v>
      </c>
      <c r="T376" s="141" t="n">
        <v>0</v>
      </c>
      <c r="U376" s="141" t="n">
        <v>0</v>
      </c>
      <c r="V376" s="141" t="n">
        <v>0</v>
      </c>
      <c r="W376" s="141" t="n">
        <v>0</v>
      </c>
      <c r="X376" s="141" t="n">
        <v>0</v>
      </c>
      <c r="Y376" s="141" t="n">
        <v>0</v>
      </c>
      <c r="Z376" s="141" t="n">
        <v>0</v>
      </c>
      <c r="AA376" s="141" t="n">
        <v>0</v>
      </c>
      <c r="AB376" s="141" t="n">
        <v>0</v>
      </c>
      <c r="AC376" s="141" t="n">
        <v>0</v>
      </c>
    </row>
    <row r="377" customFormat="false" ht="11.25" hidden="false" customHeight="false" outlineLevel="0" collapsed="false">
      <c r="A377" s="4"/>
      <c r="B377" s="35" t="s">
        <v>539</v>
      </c>
      <c r="D377" s="35"/>
      <c r="E377" s="110"/>
      <c r="F377" s="110"/>
      <c r="G377" s="110"/>
      <c r="I377" s="278" t="n">
        <f aca="false">I374-I376</f>
        <v>-15.5721785</v>
      </c>
      <c r="J377" s="278" t="n">
        <f aca="false">J374-J376</f>
        <v>-61.1626925</v>
      </c>
      <c r="K377" s="278" t="n">
        <f aca="false">K374-K376</f>
        <v>-54.3481525</v>
      </c>
      <c r="L377" s="278" t="n">
        <f aca="false">L374-L376</f>
        <v>-59.534535</v>
      </c>
      <c r="M377" s="278" t="n">
        <f aca="false">M374-M376</f>
        <v>-74.487706</v>
      </c>
      <c r="N377" s="278" t="n">
        <f aca="false">N374-N376</f>
        <v>-60.177172</v>
      </c>
      <c r="O377" s="278" t="n">
        <f aca="false">O374-O376</f>
        <v>-53.957826</v>
      </c>
      <c r="P377" s="278" t="n">
        <f aca="false">P374-P376</f>
        <v>-46.3863545</v>
      </c>
      <c r="Q377" s="278" t="n">
        <f aca="false">Q374-Q376</f>
        <v>-58.2099935</v>
      </c>
      <c r="R377" s="278" t="n">
        <f aca="false">R374-R376</f>
        <v>-60.309171</v>
      </c>
      <c r="S377" s="278" t="n">
        <f aca="false">S374-S376</f>
        <v>-41.588261</v>
      </c>
      <c r="T377" s="278" t="n">
        <f aca="false">T374-T376</f>
        <v>-41.3316375</v>
      </c>
      <c r="U377" s="278" t="n">
        <f aca="false">U374-U376</f>
        <v>-41.113831</v>
      </c>
      <c r="V377" s="278" t="n">
        <f aca="false">V374-V376</f>
        <v>-40.928372</v>
      </c>
      <c r="W377" s="278" t="n">
        <f aca="false">W374-W376</f>
        <v>-20.449791</v>
      </c>
      <c r="X377" s="278" t="n">
        <f aca="false">X374-X376</f>
        <v>-20.316088</v>
      </c>
      <c r="Y377" s="278" t="n">
        <f aca="false">Y374-Y376</f>
        <v>-5.5047935</v>
      </c>
      <c r="Z377" s="278" t="n">
        <f aca="false">Z374-Z376</f>
        <v>0</v>
      </c>
      <c r="AA377" s="278" t="n">
        <f aca="false">AA374-AA376</f>
        <v>0</v>
      </c>
      <c r="AB377" s="278" t="n">
        <f aca="false">AB374-AB376</f>
        <v>0</v>
      </c>
      <c r="AC377" s="278" t="n">
        <f aca="false">AC374-AC376</f>
        <v>0</v>
      </c>
    </row>
    <row r="378" customFormat="false" ht="11.25" hidden="false" customHeight="false" outlineLevel="0" collapsed="false">
      <c r="A378" s="4"/>
      <c r="B378" s="35"/>
      <c r="D378" s="35"/>
      <c r="E378" s="110"/>
      <c r="F378" s="110"/>
      <c r="G378" s="110"/>
      <c r="I378" s="258"/>
      <c r="J378" s="258"/>
      <c r="K378" s="258"/>
      <c r="L378" s="258"/>
      <c r="M378" s="258"/>
      <c r="N378" s="258"/>
      <c r="O378" s="258"/>
      <c r="P378" s="258"/>
      <c r="Q378" s="258"/>
      <c r="R378" s="258"/>
      <c r="S378" s="258"/>
      <c r="T378" s="258"/>
      <c r="U378" s="258"/>
      <c r="V378" s="258"/>
      <c r="W378" s="258"/>
      <c r="X378" s="258"/>
      <c r="Y378" s="268"/>
      <c r="Z378" s="268"/>
      <c r="AA378" s="268"/>
      <c r="AB378" s="268"/>
      <c r="AC378" s="268"/>
    </row>
    <row r="379" customFormat="false" ht="11.25" hidden="false" customHeight="false" outlineLevel="0" collapsed="false">
      <c r="A379" s="4"/>
      <c r="B379" s="35" t="s">
        <v>534</v>
      </c>
      <c r="D379" s="35"/>
      <c r="E379" s="110"/>
      <c r="F379" s="110"/>
      <c r="G379" s="110"/>
      <c r="I379" s="141" t="n">
        <v>0</v>
      </c>
      <c r="J379" s="141" t="n">
        <v>0</v>
      </c>
      <c r="K379" s="141" t="n">
        <v>0</v>
      </c>
      <c r="L379" s="141" t="n">
        <v>0</v>
      </c>
      <c r="M379" s="141" t="n">
        <v>0</v>
      </c>
      <c r="N379" s="141" t="n">
        <v>0</v>
      </c>
      <c r="O379" s="141" t="n">
        <v>0</v>
      </c>
      <c r="P379" s="141" t="n">
        <v>0</v>
      </c>
      <c r="Q379" s="141" t="n">
        <v>0</v>
      </c>
      <c r="R379" s="141" t="n">
        <v>0</v>
      </c>
      <c r="S379" s="141" t="n">
        <v>0</v>
      </c>
      <c r="T379" s="141" t="n">
        <v>0</v>
      </c>
      <c r="U379" s="141" t="n">
        <v>0</v>
      </c>
      <c r="V379" s="141" t="n">
        <v>0</v>
      </c>
      <c r="W379" s="141" t="n">
        <v>0</v>
      </c>
      <c r="X379" s="141" t="n">
        <v>0</v>
      </c>
      <c r="Y379" s="141" t="n">
        <v>0</v>
      </c>
      <c r="Z379" s="141" t="n">
        <v>0</v>
      </c>
      <c r="AA379" s="141" t="n">
        <v>0</v>
      </c>
      <c r="AB379" s="141" t="n">
        <v>0</v>
      </c>
      <c r="AC379" s="141" t="n">
        <v>0</v>
      </c>
    </row>
    <row r="380" customFormat="false" ht="11.25" hidden="false" customHeight="false" outlineLevel="0" collapsed="false">
      <c r="A380" s="4"/>
      <c r="B380" s="35"/>
      <c r="D380" s="35"/>
      <c r="E380" s="110"/>
      <c r="F380" s="110"/>
      <c r="G380" s="110"/>
      <c r="H380" s="260"/>
      <c r="I380" s="260"/>
      <c r="J380" s="260"/>
      <c r="K380" s="260"/>
      <c r="L380" s="260"/>
      <c r="M380" s="260"/>
      <c r="N380" s="260"/>
      <c r="O380" s="260"/>
      <c r="P380" s="260"/>
      <c r="Q380" s="260"/>
      <c r="R380" s="260"/>
      <c r="S380" s="260"/>
      <c r="T380" s="260"/>
      <c r="U380" s="260"/>
      <c r="V380" s="260"/>
      <c r="W380" s="260"/>
      <c r="X380" s="260"/>
      <c r="Y380" s="271"/>
      <c r="Z380" s="271"/>
      <c r="AA380" s="271"/>
      <c r="AB380" s="271"/>
      <c r="AC380" s="271"/>
    </row>
    <row r="381" customFormat="false" ht="12" hidden="false" customHeight="false" outlineLevel="0" collapsed="false">
      <c r="A381" s="4"/>
      <c r="B381" s="35"/>
      <c r="D381" s="35"/>
      <c r="E381" s="110"/>
      <c r="F381" s="110"/>
      <c r="G381" s="110"/>
      <c r="H381" s="260"/>
      <c r="I381" s="260"/>
      <c r="J381" s="260"/>
      <c r="K381" s="260"/>
      <c r="L381" s="260"/>
      <c r="M381" s="260"/>
      <c r="N381" s="260"/>
      <c r="O381" s="260"/>
      <c r="P381" s="260"/>
      <c r="Q381" s="260"/>
      <c r="R381" s="260"/>
      <c r="S381" s="260"/>
      <c r="T381" s="260"/>
      <c r="U381" s="260"/>
      <c r="V381" s="260"/>
      <c r="W381" s="260"/>
      <c r="X381" s="260"/>
      <c r="Y381" s="271"/>
      <c r="Z381" s="271"/>
      <c r="AA381" s="271"/>
      <c r="AB381" s="271"/>
      <c r="AC381" s="271"/>
    </row>
    <row r="382" customFormat="false" ht="12.75" hidden="false" customHeight="false" outlineLevel="0" collapsed="false">
      <c r="A382" s="4" t="str">
        <f aca="false">A240&amp;" (Contd)"</f>
        <v>OIL &amp; GAS INCOME PROJECTIONS (Contd)</v>
      </c>
      <c r="B382" s="35"/>
      <c r="D382" s="35"/>
      <c r="E382" s="81" t="str">
        <f aca="false">+E3</f>
        <v>1996 </v>
      </c>
      <c r="F382" s="81" t="str">
        <f aca="false">+F3</f>
        <v>1997 </v>
      </c>
      <c r="G382" s="81" t="str">
        <f aca="false">+G3</f>
        <v>1998 </v>
      </c>
      <c r="H382" s="81" t="str">
        <f aca="false">+H3</f>
        <v>6 M/1999 </v>
      </c>
      <c r="I382" s="81" t="str">
        <f aca="false">+I3</f>
        <v>6 M/1999 </v>
      </c>
      <c r="J382" s="81" t="n">
        <f aca="false">+J3</f>
        <v>2000</v>
      </c>
      <c r="K382" s="81" t="n">
        <f aca="false">+K3</f>
        <v>2001</v>
      </c>
      <c r="L382" s="81" t="n">
        <f aca="false">+L3</f>
        <v>2002</v>
      </c>
      <c r="M382" s="81" t="n">
        <f aca="false">+M3</f>
        <v>2003</v>
      </c>
      <c r="N382" s="81" t="n">
        <f aca="false">+N3</f>
        <v>2004</v>
      </c>
      <c r="O382" s="81" t="n">
        <f aca="false">+O3</f>
        <v>2005</v>
      </c>
      <c r="P382" s="81" t="n">
        <f aca="false">+P3</f>
        <v>2006</v>
      </c>
      <c r="Q382" s="81" t="n">
        <f aca="false">+Q3</f>
        <v>2007</v>
      </c>
      <c r="R382" s="81" t="n">
        <f aca="false">+R3</f>
        <v>2008</v>
      </c>
      <c r="S382" s="81" t="n">
        <f aca="false">+S3</f>
        <v>2009</v>
      </c>
      <c r="T382" s="81" t="n">
        <f aca="false">+T3</f>
        <v>2010</v>
      </c>
      <c r="U382" s="81" t="n">
        <f aca="false">+U3</f>
        <v>2011</v>
      </c>
      <c r="V382" s="81" t="n">
        <f aca="false">+V3</f>
        <v>2012</v>
      </c>
      <c r="W382" s="81" t="n">
        <f aca="false">+W3</f>
        <v>2013</v>
      </c>
      <c r="X382" s="81" t="n">
        <f aca="false">+X3</f>
        <v>2014</v>
      </c>
      <c r="Y382" s="81" t="n">
        <f aca="false">+Y3</f>
        <v>2015</v>
      </c>
      <c r="Z382" s="81" t="n">
        <f aca="false">+Z3</f>
        <v>2016</v>
      </c>
      <c r="AA382" s="81" t="n">
        <f aca="false">+AA3</f>
        <v>2017</v>
      </c>
      <c r="AB382" s="81" t="n">
        <f aca="false">+AB3</f>
        <v>2018</v>
      </c>
      <c r="AC382" s="81" t="n">
        <f aca="false">+AC3</f>
        <v>2019</v>
      </c>
    </row>
    <row r="383" customFormat="false" ht="13.5" hidden="false" customHeight="false" outlineLevel="0" collapsed="false">
      <c r="A383" s="107" t="str">
        <f aca="false">+C14</f>
        <v>PUD</v>
      </c>
      <c r="B383" s="35"/>
      <c r="D383" s="35"/>
      <c r="E383" s="108" t="s">
        <v>388</v>
      </c>
      <c r="F383" s="108" t="s">
        <v>535</v>
      </c>
      <c r="G383" s="108" t="s">
        <v>390</v>
      </c>
      <c r="H383" s="108"/>
      <c r="I383" s="250"/>
      <c r="J383" s="250"/>
      <c r="K383" s="250"/>
      <c r="L383" s="250"/>
      <c r="M383" s="250"/>
      <c r="N383" s="250"/>
      <c r="O383" s="250"/>
      <c r="P383" s="250"/>
      <c r="Q383" s="250"/>
      <c r="R383" s="250"/>
      <c r="S383" s="250"/>
      <c r="T383" s="250"/>
      <c r="U383" s="250"/>
      <c r="V383" s="250"/>
      <c r="W383" s="250"/>
      <c r="X383" s="250"/>
      <c r="Y383" s="250"/>
      <c r="Z383" s="250"/>
      <c r="AA383" s="250"/>
      <c r="AB383" s="250"/>
      <c r="AC383" s="250"/>
    </row>
    <row r="384" customFormat="false" ht="12.75" hidden="false" customHeight="false" outlineLevel="0" collapsed="false">
      <c r="A384" s="107"/>
      <c r="B384" s="35"/>
      <c r="D384" s="35"/>
      <c r="E384" s="259" t="n">
        <v>0.7</v>
      </c>
      <c r="F384" s="273" t="n">
        <v>1</v>
      </c>
      <c r="G384" s="259" t="n">
        <v>1.15</v>
      </c>
      <c r="H384" s="108"/>
      <c r="I384" s="250"/>
      <c r="J384" s="250"/>
      <c r="K384" s="250"/>
      <c r="L384" s="250"/>
      <c r="M384" s="250"/>
      <c r="N384" s="250"/>
      <c r="O384" s="250"/>
      <c r="P384" s="250"/>
      <c r="Q384" s="250"/>
      <c r="R384" s="250"/>
      <c r="S384" s="250"/>
      <c r="T384" s="250"/>
      <c r="U384" s="250"/>
      <c r="V384" s="250"/>
      <c r="W384" s="250"/>
      <c r="X384" s="250"/>
      <c r="Y384" s="250"/>
      <c r="Z384" s="250"/>
      <c r="AA384" s="250"/>
      <c r="AB384" s="250"/>
      <c r="AC384" s="250"/>
    </row>
    <row r="385" customFormat="false" ht="12.75" hidden="false" customHeight="false" outlineLevel="0" collapsed="false">
      <c r="A385" s="107"/>
      <c r="B385" s="35"/>
      <c r="D385" s="35"/>
      <c r="E385" s="108"/>
      <c r="F385" s="108"/>
      <c r="G385" s="108"/>
      <c r="H385" s="108"/>
      <c r="I385" s="250" t="n">
        <v>0</v>
      </c>
      <c r="J385" s="250" t="n">
        <v>0</v>
      </c>
      <c r="K385" s="250" t="n">
        <v>0</v>
      </c>
      <c r="L385" s="250" t="n">
        <v>0</v>
      </c>
      <c r="M385" s="250" t="n">
        <v>0</v>
      </c>
      <c r="N385" s="250" t="n">
        <v>0</v>
      </c>
      <c r="O385" s="250" t="n">
        <v>0</v>
      </c>
      <c r="P385" s="250" t="n">
        <v>0</v>
      </c>
      <c r="Q385" s="250" t="n">
        <v>0</v>
      </c>
      <c r="R385" s="250" t="n">
        <v>0</v>
      </c>
      <c r="S385" s="250" t="n">
        <v>0</v>
      </c>
      <c r="T385" s="250" t="n">
        <v>0</v>
      </c>
      <c r="U385" s="250" t="n">
        <v>0</v>
      </c>
      <c r="V385" s="250" t="n">
        <v>0</v>
      </c>
      <c r="W385" s="250" t="n">
        <v>0</v>
      </c>
      <c r="X385" s="250" t="n">
        <v>0</v>
      </c>
      <c r="Y385" s="250" t="n">
        <v>0</v>
      </c>
      <c r="Z385" s="250" t="n">
        <v>0</v>
      </c>
      <c r="AA385" s="250" t="n">
        <v>0</v>
      </c>
      <c r="AB385" s="250" t="n">
        <v>0</v>
      </c>
      <c r="AC385" s="250" t="n">
        <v>0</v>
      </c>
    </row>
    <row r="386" customFormat="false" ht="11.25" hidden="false" customHeight="false" outlineLevel="0" collapsed="false">
      <c r="A386" s="109" t="s">
        <v>174</v>
      </c>
      <c r="B386" s="43" t="s">
        <v>515</v>
      </c>
      <c r="D386" s="35"/>
      <c r="E386" s="108"/>
      <c r="F386" s="108"/>
      <c r="G386" s="108"/>
      <c r="H386" s="108"/>
      <c r="I386" s="141" t="n">
        <f aca="false">I385*$F$384</f>
        <v>0</v>
      </c>
      <c r="J386" s="141" t="n">
        <f aca="false">J385*$F$384</f>
        <v>0</v>
      </c>
      <c r="K386" s="141" t="n">
        <f aca="false">K385*$F$384</f>
        <v>0</v>
      </c>
      <c r="L386" s="141" t="n">
        <f aca="false">L385*$F$384</f>
        <v>0</v>
      </c>
      <c r="M386" s="141" t="n">
        <f aca="false">M385*$F$384</f>
        <v>0</v>
      </c>
      <c r="N386" s="141" t="n">
        <f aca="false">N385*$F$384</f>
        <v>0</v>
      </c>
      <c r="O386" s="141" t="n">
        <f aca="false">O385*$F$384</f>
        <v>0</v>
      </c>
      <c r="P386" s="141" t="n">
        <f aca="false">P385*$F$384</f>
        <v>0</v>
      </c>
      <c r="Q386" s="141" t="n">
        <f aca="false">Q385*$F$384</f>
        <v>0</v>
      </c>
      <c r="R386" s="141" t="n">
        <f aca="false">R385*$F$384</f>
        <v>0</v>
      </c>
      <c r="S386" s="141" t="n">
        <f aca="false">S385*$F$384</f>
        <v>0</v>
      </c>
      <c r="T386" s="141" t="n">
        <f aca="false">T385*$F$384</f>
        <v>0</v>
      </c>
      <c r="U386" s="141" t="n">
        <f aca="false">U385*$F$384</f>
        <v>0</v>
      </c>
      <c r="V386" s="141" t="n">
        <f aca="false">V385*$F$384</f>
        <v>0</v>
      </c>
      <c r="W386" s="141" t="n">
        <f aca="false">W385*$F$384</f>
        <v>0</v>
      </c>
      <c r="X386" s="141" t="n">
        <f aca="false">X385*$F$384</f>
        <v>0</v>
      </c>
      <c r="Y386" s="141" t="n">
        <f aca="false">Y385*$F$384</f>
        <v>0</v>
      </c>
      <c r="Z386" s="141" t="n">
        <f aca="false">Z385*$F$384</f>
        <v>0</v>
      </c>
      <c r="AA386" s="141" t="n">
        <f aca="false">AA385*$F$384</f>
        <v>0</v>
      </c>
      <c r="AB386" s="141" t="n">
        <f aca="false">AB385*$F$384</f>
        <v>0</v>
      </c>
      <c r="AC386" s="141" t="n">
        <f aca="false">AC385*$F$384</f>
        <v>0</v>
      </c>
      <c r="AD386" s="141" t="n">
        <v>0</v>
      </c>
    </row>
    <row r="387" customFormat="false" ht="12.75" hidden="false" customHeight="false" outlineLevel="0" collapsed="false">
      <c r="A387" s="107"/>
      <c r="B387" s="43" t="s">
        <v>517</v>
      </c>
      <c r="D387" s="35"/>
      <c r="E387" s="108"/>
      <c r="F387" s="108"/>
      <c r="G387" s="108"/>
      <c r="H387" s="108"/>
      <c r="I387" s="26" t="n">
        <v>1</v>
      </c>
      <c r="J387" s="26" t="n">
        <f aca="false">I387</f>
        <v>1</v>
      </c>
      <c r="K387" s="26" t="n">
        <f aca="false">J387</f>
        <v>1</v>
      </c>
      <c r="L387" s="26" t="n">
        <f aca="false">K387</f>
        <v>1</v>
      </c>
      <c r="M387" s="26" t="n">
        <f aca="false">L387</f>
        <v>1</v>
      </c>
      <c r="N387" s="26" t="n">
        <f aca="false">M387</f>
        <v>1</v>
      </c>
      <c r="O387" s="26" t="n">
        <f aca="false">N387</f>
        <v>1</v>
      </c>
      <c r="P387" s="26" t="n">
        <f aca="false">O387</f>
        <v>1</v>
      </c>
      <c r="Q387" s="26" t="n">
        <f aca="false">P387</f>
        <v>1</v>
      </c>
      <c r="R387" s="26" t="n">
        <f aca="false">Q387</f>
        <v>1</v>
      </c>
      <c r="S387" s="26" t="n">
        <f aca="false">R387</f>
        <v>1</v>
      </c>
      <c r="T387" s="26" t="n">
        <f aca="false">S387</f>
        <v>1</v>
      </c>
      <c r="U387" s="26" t="n">
        <f aca="false">T387</f>
        <v>1</v>
      </c>
      <c r="V387" s="26" t="n">
        <f aca="false">U387</f>
        <v>1</v>
      </c>
      <c r="W387" s="26" t="n">
        <f aca="false">V387</f>
        <v>1</v>
      </c>
      <c r="X387" s="26" t="n">
        <f aca="false">W387</f>
        <v>1</v>
      </c>
      <c r="Y387" s="26" t="n">
        <f aca="false">X387</f>
        <v>1</v>
      </c>
      <c r="Z387" s="26" t="n">
        <f aca="false">Y387</f>
        <v>1</v>
      </c>
      <c r="AA387" s="26" t="n">
        <f aca="false">Z387</f>
        <v>1</v>
      </c>
      <c r="AB387" s="26" t="n">
        <f aca="false">AA387</f>
        <v>1</v>
      </c>
      <c r="AC387" s="26" t="n">
        <f aca="false">AB387</f>
        <v>1</v>
      </c>
    </row>
    <row r="388" customFormat="false" ht="11.25" hidden="false" customHeight="false" outlineLevel="0" collapsed="false">
      <c r="B388" s="43" t="s">
        <v>518</v>
      </c>
      <c r="C388" s="35"/>
      <c r="D388" s="35"/>
      <c r="E388" s="108"/>
      <c r="F388" s="108"/>
      <c r="G388" s="108"/>
      <c r="H388" s="250"/>
      <c r="I388" s="120" t="n">
        <f aca="false">+I386*I387</f>
        <v>0</v>
      </c>
      <c r="J388" s="120" t="n">
        <f aca="false">+J386*J387</f>
        <v>0</v>
      </c>
      <c r="K388" s="120" t="n">
        <f aca="false">+K386*K387</f>
        <v>0</v>
      </c>
      <c r="L388" s="120" t="n">
        <f aca="false">+L386*L387</f>
        <v>0</v>
      </c>
      <c r="M388" s="120" t="n">
        <f aca="false">+M386*M387</f>
        <v>0</v>
      </c>
      <c r="N388" s="120" t="n">
        <f aca="false">+N386*N387</f>
        <v>0</v>
      </c>
      <c r="O388" s="120" t="n">
        <f aca="false">+O386*O387</f>
        <v>0</v>
      </c>
      <c r="P388" s="120" t="n">
        <f aca="false">+P386*P387</f>
        <v>0</v>
      </c>
      <c r="Q388" s="120" t="n">
        <f aca="false">+Q386*Q387</f>
        <v>0</v>
      </c>
      <c r="R388" s="120" t="n">
        <f aca="false">+R386*R387</f>
        <v>0</v>
      </c>
      <c r="S388" s="120" t="n">
        <f aca="false">+S386*S387</f>
        <v>0</v>
      </c>
      <c r="T388" s="120" t="n">
        <f aca="false">+T386*T387</f>
        <v>0</v>
      </c>
      <c r="U388" s="120" t="n">
        <f aca="false">+U386*U387</f>
        <v>0</v>
      </c>
      <c r="V388" s="120" t="n">
        <f aca="false">+V386*V387</f>
        <v>0</v>
      </c>
      <c r="W388" s="120" t="n">
        <f aca="false">+W386*W387</f>
        <v>0</v>
      </c>
      <c r="X388" s="120" t="n">
        <f aca="false">+X386*X387</f>
        <v>0</v>
      </c>
      <c r="Y388" s="120" t="n">
        <f aca="false">+Y386*Y387</f>
        <v>0</v>
      </c>
      <c r="Z388" s="120" t="n">
        <f aca="false">+Z386*Z387</f>
        <v>0</v>
      </c>
      <c r="AA388" s="120" t="n">
        <f aca="false">+AA386*AA387</f>
        <v>0</v>
      </c>
      <c r="AB388" s="120" t="n">
        <f aca="false">+AB386*AB387</f>
        <v>0</v>
      </c>
      <c r="AC388" s="120" t="n">
        <f aca="false">+AC386*AC387</f>
        <v>0</v>
      </c>
    </row>
    <row r="389" customFormat="false" ht="12.75" hidden="false" customHeight="false" outlineLevel="0" collapsed="false">
      <c r="A389" s="107"/>
      <c r="B389" s="35" t="s">
        <v>176</v>
      </c>
      <c r="C389" s="35"/>
      <c r="D389" s="35"/>
      <c r="E389" s="108"/>
      <c r="F389" s="108"/>
      <c r="G389" s="108"/>
      <c r="H389" s="250"/>
      <c r="I389" s="26" t="n">
        <v>1</v>
      </c>
      <c r="J389" s="26" t="n">
        <f aca="false">I389</f>
        <v>1</v>
      </c>
      <c r="K389" s="26" t="n">
        <f aca="false">J389</f>
        <v>1</v>
      </c>
      <c r="L389" s="26" t="n">
        <f aca="false">K389</f>
        <v>1</v>
      </c>
      <c r="M389" s="26" t="n">
        <f aca="false">L389</f>
        <v>1</v>
      </c>
      <c r="N389" s="26" t="n">
        <f aca="false">M389</f>
        <v>1</v>
      </c>
      <c r="O389" s="26" t="n">
        <f aca="false">N389</f>
        <v>1</v>
      </c>
      <c r="P389" s="26" t="n">
        <f aca="false">O389</f>
        <v>1</v>
      </c>
      <c r="Q389" s="26" t="n">
        <f aca="false">P389</f>
        <v>1</v>
      </c>
      <c r="R389" s="26" t="n">
        <f aca="false">Q389</f>
        <v>1</v>
      </c>
      <c r="S389" s="26" t="n">
        <f aca="false">R389</f>
        <v>1</v>
      </c>
      <c r="T389" s="26" t="n">
        <f aca="false">S389</f>
        <v>1</v>
      </c>
      <c r="U389" s="26" t="n">
        <f aca="false">T389</f>
        <v>1</v>
      </c>
      <c r="V389" s="26" t="n">
        <f aca="false">U389</f>
        <v>1</v>
      </c>
      <c r="W389" s="26" t="n">
        <f aca="false">V389</f>
        <v>1</v>
      </c>
      <c r="X389" s="26" t="n">
        <f aca="false">W389</f>
        <v>1</v>
      </c>
      <c r="Y389" s="26" t="n">
        <f aca="false">X389</f>
        <v>1</v>
      </c>
      <c r="Z389" s="26" t="n">
        <f aca="false">Y389</f>
        <v>1</v>
      </c>
      <c r="AA389" s="26" t="n">
        <f aca="false">Z389</f>
        <v>1</v>
      </c>
      <c r="AB389" s="26" t="n">
        <f aca="false">AA389</f>
        <v>1</v>
      </c>
      <c r="AC389" s="26" t="n">
        <f aca="false">AB389</f>
        <v>1</v>
      </c>
    </row>
    <row r="390" customFormat="false" ht="11.25" hidden="false" customHeight="false" outlineLevel="0" collapsed="false">
      <c r="B390" s="43" t="s">
        <v>519</v>
      </c>
      <c r="D390" s="35"/>
      <c r="E390" s="110"/>
      <c r="F390" s="110"/>
      <c r="H390" s="258"/>
      <c r="I390" s="120" t="n">
        <f aca="false">+I388*I389</f>
        <v>0</v>
      </c>
      <c r="J390" s="120" t="n">
        <f aca="false">+J388*J389</f>
        <v>0</v>
      </c>
      <c r="K390" s="120" t="n">
        <f aca="false">+K388*K389</f>
        <v>0</v>
      </c>
      <c r="L390" s="120" t="n">
        <f aca="false">+L388*L389</f>
        <v>0</v>
      </c>
      <c r="M390" s="120" t="n">
        <f aca="false">+M388*M389</f>
        <v>0</v>
      </c>
      <c r="N390" s="120" t="n">
        <f aca="false">+N388*N389</f>
        <v>0</v>
      </c>
      <c r="O390" s="120" t="n">
        <f aca="false">+O388*O389</f>
        <v>0</v>
      </c>
      <c r="P390" s="120" t="n">
        <f aca="false">+P388*P389</f>
        <v>0</v>
      </c>
      <c r="Q390" s="120" t="n">
        <f aca="false">+Q388*Q389</f>
        <v>0</v>
      </c>
      <c r="R390" s="120" t="n">
        <f aca="false">+R388*R389</f>
        <v>0</v>
      </c>
      <c r="S390" s="120" t="n">
        <f aca="false">+S388*S389</f>
        <v>0</v>
      </c>
      <c r="T390" s="120" t="n">
        <f aca="false">+T388*T389</f>
        <v>0</v>
      </c>
      <c r="U390" s="120" t="n">
        <f aca="false">+U388*U389</f>
        <v>0</v>
      </c>
      <c r="V390" s="120" t="n">
        <f aca="false">+V388*V389</f>
        <v>0</v>
      </c>
      <c r="W390" s="120" t="n">
        <f aca="false">+W388*W389</f>
        <v>0</v>
      </c>
      <c r="X390" s="120" t="n">
        <f aca="false">+X388*X389</f>
        <v>0</v>
      </c>
      <c r="Y390" s="120" t="n">
        <f aca="false">+Y388*Y389</f>
        <v>0</v>
      </c>
      <c r="Z390" s="120" t="n">
        <f aca="false">+Z388*Z389</f>
        <v>0</v>
      </c>
      <c r="AA390" s="120" t="n">
        <f aca="false">+AA388*AA389</f>
        <v>0</v>
      </c>
      <c r="AB390" s="120" t="n">
        <f aca="false">+AB388*AB389</f>
        <v>0</v>
      </c>
      <c r="AC390" s="120" t="n">
        <f aca="false">+AC388*AC389</f>
        <v>0</v>
      </c>
      <c r="AD390" s="67" t="n">
        <f aca="false">SUM(E390:AC390)</f>
        <v>0</v>
      </c>
    </row>
    <row r="391" customFormat="false" ht="11.25" hidden="false" customHeight="false" outlineLevel="0" collapsed="false">
      <c r="D391" s="35"/>
      <c r="E391" s="110"/>
      <c r="F391" s="110"/>
      <c r="G391" s="110"/>
    </row>
    <row r="392" customFormat="false" ht="11.25" hidden="false" customHeight="false" outlineLevel="0" collapsed="false">
      <c r="A392" s="109"/>
      <c r="B392" s="43" t="s">
        <v>520</v>
      </c>
      <c r="D392" s="102" t="n">
        <v>5</v>
      </c>
      <c r="I392" s="112" t="n">
        <f aca="false">IF($D392=1,I$212,IF($D392=2,I$215,IF($D392=3,I$217,IF($D392=4,I$219,IF($D392=5,I$221,IF($D392=5,I$223,I$212))))))</f>
        <v>0</v>
      </c>
      <c r="J392" s="112" t="n">
        <f aca="false">IF($D392=1,J$212,IF($D392=2,J$215,IF($D392=3,J$217,IF($D392=4,J$219,IF($D392=5,J$221,IF($D392=5,J$223,J$212))))))</f>
        <v>0</v>
      </c>
      <c r="K392" s="112" t="n">
        <f aca="false">IF($D392=1,K$212,IF($D392=2,K$215,IF($D392=3,K$217,IF($D392=4,K$219,IF($D392=5,K$221,IF($D392=5,K$223,K$212))))))</f>
        <v>0</v>
      </c>
      <c r="L392" s="112" t="n">
        <f aca="false">IF($D392=1,L$212,IF($D392=2,L$215,IF($D392=3,L$217,IF($D392=4,L$219,IF($D392=5,L$221,IF($D392=5,L$223,L$212))))))</f>
        <v>0</v>
      </c>
      <c r="M392" s="112" t="n">
        <f aca="false">IF($D392=1,M$212,IF($D392=2,M$215,IF($D392=3,M$217,IF($D392=4,M$219,IF($D392=5,M$221,IF($D392=5,M$223,M$212))))))</f>
        <v>0</v>
      </c>
      <c r="N392" s="112" t="n">
        <f aca="false">IF($D392=1,N$212,IF($D392=2,N$215,IF($D392=3,N$217,IF($D392=4,N$219,IF($D392=5,N$221,IF($D392=5,N$223,N$212))))))</f>
        <v>0</v>
      </c>
      <c r="O392" s="112" t="n">
        <f aca="false">IF($D392=1,O$212,IF($D392=2,O$215,IF($D392=3,O$217,IF($D392=4,O$219,IF($D392=5,O$221,IF($D392=5,O$223,O$212))))))</f>
        <v>0</v>
      </c>
      <c r="P392" s="112" t="n">
        <f aca="false">IF($D392=1,P$212,IF($D392=2,P$215,IF($D392=3,P$217,IF($D392=4,P$219,IF($D392=5,P$221,IF($D392=5,P$223,P$212))))))</f>
        <v>0</v>
      </c>
      <c r="Q392" s="112" t="n">
        <f aca="false">IF($D392=1,Q$212,IF($D392=2,Q$215,IF($D392=3,Q$217,IF($D392=4,Q$219,IF($D392=5,Q$221,IF($D392=5,Q$223,Q$212))))))</f>
        <v>0</v>
      </c>
      <c r="R392" s="112" t="n">
        <f aca="false">IF($D392=1,R$212,IF($D392=2,R$215,IF($D392=3,R$217,IF($D392=4,R$219,IF($D392=5,R$221,IF($D392=5,R$223,R$212))))))</f>
        <v>0</v>
      </c>
      <c r="S392" s="112" t="n">
        <f aca="false">IF($D392=1,S$212,IF($D392=2,S$215,IF($D392=3,S$217,IF($D392=4,S$219,IF($D392=5,S$221,IF($D392=5,S$223,S$212))))))</f>
        <v>0</v>
      </c>
      <c r="T392" s="112" t="n">
        <f aca="false">IF($D392=1,T$212,IF($D392=2,T$215,IF($D392=3,T$217,IF($D392=4,T$219,IF($D392=5,T$221,IF($D392=5,T$223,T$212))))))</f>
        <v>0</v>
      </c>
      <c r="U392" s="112" t="n">
        <f aca="false">IF($D392=1,U$212,IF($D392=2,U$215,IF($D392=3,U$217,IF($D392=4,U$219,IF($D392=5,U$221,IF($D392=5,U$223,U$212))))))</f>
        <v>0</v>
      </c>
      <c r="V392" s="112" t="n">
        <f aca="false">IF($D392=1,V$212,IF($D392=2,V$215,IF($D392=3,V$217,IF($D392=4,V$219,IF($D392=5,V$221,IF($D392=5,V$223,V$212))))))</f>
        <v>0</v>
      </c>
      <c r="W392" s="112" t="n">
        <f aca="false">IF($D392=1,W$212,IF($D392=2,W$215,IF($D392=3,W$217,IF($D392=4,W$219,IF($D392=5,W$221,IF($D392=5,W$223,W$212))))))</f>
        <v>0</v>
      </c>
      <c r="X392" s="112" t="n">
        <f aca="false">IF($D392=1,X$212,IF($D392=2,X$215,IF($D392=3,X$217,IF($D392=4,X$219,IF($D392=5,X$221,IF($D392=5,X$223,X$212))))))</f>
        <v>0</v>
      </c>
      <c r="Y392" s="112" t="n">
        <f aca="false">IF($D392=1,Y$212,IF($D392=2,Y$215,IF($D392=3,Y$217,IF($D392=4,Y$219,IF($D392=5,Y$221,IF($D392=5,Y$223,Y$212))))))</f>
        <v>0</v>
      </c>
      <c r="Z392" s="112" t="n">
        <f aca="false">IF($D392=1,Z$212,IF($D392=2,Z$215,IF($D392=3,Z$217,IF($D392=4,Z$219,IF($D392=5,Z$221,IF($D392=5,Z$223,Z$212))))))</f>
        <v>0</v>
      </c>
      <c r="AA392" s="112" t="n">
        <f aca="false">IF($D392=1,AA$212,IF($D392=2,AA$215,IF($D392=3,AA$217,IF($D392=4,AA$219,IF($D392=5,AA$221,IF($D392=5,AA$223,AA$212))))))</f>
        <v>0</v>
      </c>
      <c r="AB392" s="112" t="n">
        <f aca="false">IF($D392=1,AB$212,IF($D392=2,AB$215,IF($D392=3,AB$217,IF($D392=4,AB$219,IF($D392=5,AB$221,IF($D392=5,AB$223,AB$212))))))</f>
        <v>0</v>
      </c>
      <c r="AC392" s="112" t="n">
        <f aca="false">IF($D392=1,AC$212,IF($D392=2,AC$215,IF($D392=3,AC$217,IF($D392=4,AC$219,IF($D392=5,AC$221,IF($D392=5,AC$223,AC$212))))))</f>
        <v>0</v>
      </c>
    </row>
    <row r="393" customFormat="false" ht="11.25" hidden="false" customHeight="false" outlineLevel="0" collapsed="false">
      <c r="A393" s="279"/>
      <c r="B393" s="43" t="s">
        <v>179</v>
      </c>
      <c r="D393" s="35"/>
      <c r="I393" s="99" t="n">
        <v>-2.375</v>
      </c>
      <c r="J393" s="99" t="n">
        <f aca="false">I393</f>
        <v>-2.375</v>
      </c>
      <c r="K393" s="99" t="n">
        <f aca="false">J393</f>
        <v>-2.375</v>
      </c>
      <c r="L393" s="99" t="n">
        <f aca="false">K393</f>
        <v>-2.375</v>
      </c>
      <c r="M393" s="99" t="n">
        <f aca="false">L393</f>
        <v>-2.375</v>
      </c>
      <c r="N393" s="99" t="n">
        <f aca="false">M393</f>
        <v>-2.375</v>
      </c>
      <c r="O393" s="99" t="n">
        <f aca="false">N393</f>
        <v>-2.375</v>
      </c>
      <c r="P393" s="99" t="n">
        <f aca="false">O393</f>
        <v>-2.375</v>
      </c>
      <c r="Q393" s="99" t="n">
        <f aca="false">P393</f>
        <v>-2.375</v>
      </c>
      <c r="R393" s="99" t="n">
        <f aca="false">Q393</f>
        <v>-2.375</v>
      </c>
      <c r="S393" s="99" t="n">
        <f aca="false">R393</f>
        <v>-2.375</v>
      </c>
      <c r="T393" s="99" t="n">
        <f aca="false">S393</f>
        <v>-2.375</v>
      </c>
      <c r="U393" s="99" t="n">
        <f aca="false">T393</f>
        <v>-2.375</v>
      </c>
      <c r="V393" s="99" t="n">
        <f aca="false">U393</f>
        <v>-2.375</v>
      </c>
      <c r="W393" s="99" t="n">
        <f aca="false">V393</f>
        <v>-2.375</v>
      </c>
      <c r="X393" s="99" t="n">
        <f aca="false">W393</f>
        <v>-2.375</v>
      </c>
      <c r="Y393" s="99" t="n">
        <f aca="false">X393</f>
        <v>-2.375</v>
      </c>
      <c r="Z393" s="99" t="n">
        <f aca="false">Y393</f>
        <v>-2.375</v>
      </c>
      <c r="AA393" s="99" t="n">
        <f aca="false">Z393</f>
        <v>-2.375</v>
      </c>
      <c r="AB393" s="99" t="n">
        <f aca="false">AA393</f>
        <v>-2.375</v>
      </c>
      <c r="AC393" s="99" t="n">
        <f aca="false">AB393</f>
        <v>-2.375</v>
      </c>
    </row>
    <row r="394" customFormat="false" ht="11.25" hidden="false" customHeight="false" outlineLevel="0" collapsed="false">
      <c r="A394" s="133"/>
      <c r="B394" s="43" t="s">
        <v>180</v>
      </c>
      <c r="D394" s="35"/>
      <c r="I394" s="257" t="n">
        <f aca="false">+I392+I393</f>
        <v>-2.375</v>
      </c>
      <c r="J394" s="257" t="n">
        <f aca="false">+J392+J393</f>
        <v>-2.375</v>
      </c>
      <c r="K394" s="257" t="n">
        <f aca="false">+K392+K393</f>
        <v>-2.375</v>
      </c>
      <c r="L394" s="257" t="n">
        <f aca="false">+L392+L393</f>
        <v>-2.375</v>
      </c>
      <c r="M394" s="257" t="n">
        <f aca="false">+M392+M393</f>
        <v>-2.375</v>
      </c>
      <c r="N394" s="257" t="n">
        <f aca="false">+N392+N393</f>
        <v>-2.375</v>
      </c>
      <c r="O394" s="257" t="n">
        <f aca="false">+O392+O393</f>
        <v>-2.375</v>
      </c>
      <c r="P394" s="257" t="n">
        <f aca="false">+P392+P393</f>
        <v>-2.375</v>
      </c>
      <c r="Q394" s="257" t="n">
        <f aca="false">+Q392+Q393</f>
        <v>-2.375</v>
      </c>
      <c r="R394" s="257" t="n">
        <f aca="false">+R392+R393</f>
        <v>-2.375</v>
      </c>
      <c r="S394" s="257" t="n">
        <f aca="false">+S392+S393</f>
        <v>-2.375</v>
      </c>
      <c r="T394" s="257" t="n">
        <f aca="false">+T392+T393</f>
        <v>-2.375</v>
      </c>
      <c r="U394" s="257" t="n">
        <f aca="false">+U392+U393</f>
        <v>-2.375</v>
      </c>
      <c r="V394" s="257" t="n">
        <f aca="false">+V392+V393</f>
        <v>-2.375</v>
      </c>
      <c r="W394" s="257" t="n">
        <f aca="false">+W392+W393</f>
        <v>-2.375</v>
      </c>
      <c r="X394" s="257" t="n">
        <f aca="false">+X392+X393</f>
        <v>-2.375</v>
      </c>
      <c r="Y394" s="257" t="n">
        <f aca="false">+Y392+Y393</f>
        <v>-2.375</v>
      </c>
      <c r="Z394" s="257" t="n">
        <f aca="false">+Z392+Z393</f>
        <v>-2.375</v>
      </c>
      <c r="AA394" s="257" t="n">
        <f aca="false">+AA392+AA393</f>
        <v>-2.375</v>
      </c>
      <c r="AB394" s="257" t="n">
        <f aca="false">+AB392+AB393</f>
        <v>-2.375</v>
      </c>
      <c r="AC394" s="257" t="n">
        <f aca="false">+AC392+AC393</f>
        <v>-2.375</v>
      </c>
    </row>
    <row r="395" customFormat="false" ht="11.25" hidden="false" customHeight="false" outlineLevel="0" collapsed="false">
      <c r="A395" s="109"/>
      <c r="B395" s="35" t="str">
        <f aca="false">+"Oil Revenue ($"&amp;$F$5</f>
        <v>Oil Revenue ($Thousands)</v>
      </c>
      <c r="D395" s="35"/>
      <c r="E395" s="110"/>
      <c r="F395" s="110"/>
      <c r="G395" s="110"/>
      <c r="I395" s="116" t="n">
        <f aca="false">I390*I394*1000/unit</f>
        <v>-0</v>
      </c>
      <c r="J395" s="116" t="n">
        <f aca="false">J390*J394*1000/unit</f>
        <v>-0</v>
      </c>
      <c r="K395" s="116" t="n">
        <f aca="false">K390*K394*1000/unit</f>
        <v>-0</v>
      </c>
      <c r="L395" s="116" t="n">
        <f aca="false">L390*L394*1000/unit</f>
        <v>-0</v>
      </c>
      <c r="M395" s="116" t="n">
        <f aca="false">M390*M394*1000/unit</f>
        <v>-0</v>
      </c>
      <c r="N395" s="116" t="n">
        <f aca="false">N390*N394*1000/unit</f>
        <v>-0</v>
      </c>
      <c r="O395" s="116" t="n">
        <f aca="false">O390*O394*1000/unit</f>
        <v>-0</v>
      </c>
      <c r="P395" s="116" t="n">
        <f aca="false">P390*P394*1000/unit</f>
        <v>-0</v>
      </c>
      <c r="Q395" s="116" t="n">
        <f aca="false">Q390*Q394*1000/unit</f>
        <v>-0</v>
      </c>
      <c r="R395" s="116" t="n">
        <f aca="false">R390*R394*1000/unit</f>
        <v>-0</v>
      </c>
      <c r="S395" s="116" t="n">
        <f aca="false">S390*S394*1000/unit</f>
        <v>-0</v>
      </c>
      <c r="T395" s="116" t="n">
        <f aca="false">T390*T394*1000/unit</f>
        <v>-0</v>
      </c>
      <c r="U395" s="116" t="n">
        <f aca="false">U390*U394*1000/unit</f>
        <v>-0</v>
      </c>
      <c r="V395" s="116" t="n">
        <f aca="false">V390*V394*1000/unit</f>
        <v>-0</v>
      </c>
      <c r="W395" s="116" t="n">
        <f aca="false">W390*W394*1000/unit</f>
        <v>-0</v>
      </c>
      <c r="X395" s="116" t="n">
        <f aca="false">X390*X394*1000/unit</f>
        <v>-0</v>
      </c>
      <c r="Y395" s="116" t="n">
        <f aca="false">Y390*Y394*1000/unit</f>
        <v>-0</v>
      </c>
      <c r="Z395" s="116" t="n">
        <f aca="false">Z390*Z394*1000/unit</f>
        <v>-0</v>
      </c>
      <c r="AA395" s="116" t="n">
        <f aca="false">AA390*AA394*1000/unit</f>
        <v>-0</v>
      </c>
      <c r="AB395" s="116" t="n">
        <f aca="false">AB390*AB394*1000/unit</f>
        <v>-0</v>
      </c>
      <c r="AC395" s="116" t="n">
        <f aca="false">AC390*AC394*1000/unit</f>
        <v>-0</v>
      </c>
    </row>
    <row r="396" customFormat="false" ht="11.25" hidden="false" customHeight="false" outlineLevel="0" collapsed="false">
      <c r="A396" s="109"/>
      <c r="B396" s="35"/>
      <c r="D396" s="35"/>
      <c r="E396" s="108" t="s">
        <v>388</v>
      </c>
      <c r="F396" s="108" t="s">
        <v>535</v>
      </c>
      <c r="G396" s="108" t="s">
        <v>390</v>
      </c>
      <c r="I396" s="258"/>
      <c r="J396" s="258"/>
      <c r="K396" s="258"/>
      <c r="L396" s="258"/>
      <c r="M396" s="258"/>
      <c r="N396" s="258"/>
      <c r="O396" s="258"/>
      <c r="P396" s="258"/>
      <c r="Q396" s="258"/>
      <c r="R396" s="258"/>
      <c r="S396" s="258"/>
      <c r="T396" s="258"/>
      <c r="U396" s="258"/>
      <c r="V396" s="258"/>
      <c r="W396" s="258"/>
      <c r="X396" s="258"/>
      <c r="Y396" s="203"/>
      <c r="Z396" s="203"/>
      <c r="AA396" s="203"/>
      <c r="AB396" s="203"/>
      <c r="AC396" s="203"/>
    </row>
    <row r="397" customFormat="false" ht="11.25" hidden="false" customHeight="false" outlineLevel="0" collapsed="false">
      <c r="A397" s="109"/>
      <c r="B397" s="35"/>
      <c r="D397" s="35"/>
      <c r="E397" s="259" t="n">
        <v>0.7</v>
      </c>
      <c r="F397" s="273" t="n">
        <v>1</v>
      </c>
      <c r="G397" s="259" t="n">
        <v>1.15</v>
      </c>
      <c r="I397" s="258"/>
      <c r="J397" s="258"/>
      <c r="K397" s="258"/>
      <c r="L397" s="258"/>
      <c r="M397" s="258"/>
      <c r="N397" s="258"/>
      <c r="O397" s="258"/>
      <c r="P397" s="258"/>
      <c r="Q397" s="258"/>
      <c r="R397" s="258"/>
      <c r="S397" s="258"/>
      <c r="T397" s="258"/>
      <c r="U397" s="258"/>
      <c r="V397" s="258"/>
      <c r="W397" s="258"/>
      <c r="X397" s="258"/>
      <c r="Y397" s="203"/>
      <c r="Z397" s="203"/>
      <c r="AA397" s="203"/>
      <c r="AB397" s="203"/>
      <c r="AC397" s="203"/>
    </row>
    <row r="398" customFormat="false" ht="11.25" hidden="false" customHeight="false" outlineLevel="0" collapsed="false">
      <c r="A398" s="109"/>
      <c r="B398" s="35"/>
      <c r="D398" s="35"/>
      <c r="E398" s="110"/>
      <c r="F398" s="110"/>
      <c r="G398" s="110"/>
      <c r="I398" s="258" t="n">
        <v>16.143</v>
      </c>
      <c r="J398" s="258" t="n">
        <v>362.264</v>
      </c>
      <c r="K398" s="258" t="n">
        <v>611.795</v>
      </c>
      <c r="L398" s="258" t="n">
        <v>803.259</v>
      </c>
      <c r="M398" s="258" t="n">
        <v>888.624</v>
      </c>
      <c r="N398" s="258" t="n">
        <v>969.214</v>
      </c>
      <c r="O398" s="258" t="n">
        <v>902.536</v>
      </c>
      <c r="P398" s="258" t="n">
        <v>809.743</v>
      </c>
      <c r="Q398" s="258" t="n">
        <v>722.288</v>
      </c>
      <c r="R398" s="258" t="n">
        <v>621.26</v>
      </c>
      <c r="S398" s="258" t="n">
        <v>525.72</v>
      </c>
      <c r="T398" s="258" t="n">
        <v>436.474</v>
      </c>
      <c r="U398" s="258" t="n">
        <v>360.151</v>
      </c>
      <c r="V398" s="258" t="n">
        <v>283.332</v>
      </c>
      <c r="W398" s="258" t="n">
        <v>221.216</v>
      </c>
      <c r="X398" s="258" t="n">
        <v>167.08</v>
      </c>
      <c r="Y398" s="203" t="n">
        <v>115.007</v>
      </c>
      <c r="Z398" s="203" t="n">
        <v>59.918</v>
      </c>
      <c r="AA398" s="203" t="n">
        <v>29.212</v>
      </c>
      <c r="AB398" s="203" t="n">
        <v>8.934</v>
      </c>
      <c r="AC398" s="203" t="n">
        <v>3.516</v>
      </c>
    </row>
    <row r="399" customFormat="false" ht="11.25" hidden="false" customHeight="false" outlineLevel="0" collapsed="false">
      <c r="A399" s="109" t="s">
        <v>181</v>
      </c>
      <c r="B399" s="43" t="s">
        <v>521</v>
      </c>
      <c r="D399" s="35"/>
      <c r="E399" s="110"/>
      <c r="F399" s="110"/>
      <c r="G399" s="110"/>
      <c r="I399" s="141" t="n">
        <f aca="false">I398*$F$397</f>
        <v>16.143</v>
      </c>
      <c r="J399" s="141" t="n">
        <f aca="false">J398*$F$397</f>
        <v>362.264</v>
      </c>
      <c r="K399" s="141" t="n">
        <f aca="false">K398*$F$397</f>
        <v>611.795</v>
      </c>
      <c r="L399" s="141" t="n">
        <f aca="false">L398*$F$397</f>
        <v>803.259</v>
      </c>
      <c r="M399" s="141" t="n">
        <f aca="false">M398*$F$397</f>
        <v>888.624</v>
      </c>
      <c r="N399" s="141" t="n">
        <f aca="false">N398*$F$397</f>
        <v>969.214</v>
      </c>
      <c r="O399" s="141" t="n">
        <f aca="false">O398*$F$397</f>
        <v>902.536</v>
      </c>
      <c r="P399" s="141" t="n">
        <f aca="false">P398*$F$397</f>
        <v>809.743</v>
      </c>
      <c r="Q399" s="141" t="n">
        <f aca="false">Q398*$F$397</f>
        <v>722.288</v>
      </c>
      <c r="R399" s="141" t="n">
        <f aca="false">R398*$F$397</f>
        <v>621.26</v>
      </c>
      <c r="S399" s="141" t="n">
        <f aca="false">S398*$F$397</f>
        <v>525.72</v>
      </c>
      <c r="T399" s="141" t="n">
        <f aca="false">T398*$F$397</f>
        <v>436.474</v>
      </c>
      <c r="U399" s="141" t="n">
        <f aca="false">U398*$F$397</f>
        <v>360.151</v>
      </c>
      <c r="V399" s="141" t="n">
        <f aca="false">V398*$F$397</f>
        <v>283.332</v>
      </c>
      <c r="W399" s="141" t="n">
        <f aca="false">W398*$F$397</f>
        <v>221.216</v>
      </c>
      <c r="X399" s="141" t="n">
        <f aca="false">X398*$F$397</f>
        <v>167.08</v>
      </c>
      <c r="Y399" s="141" t="n">
        <f aca="false">Y398*$F$397</f>
        <v>115.007</v>
      </c>
      <c r="Z399" s="141" t="n">
        <f aca="false">Z398*$F$397</f>
        <v>59.918</v>
      </c>
      <c r="AA399" s="141" t="n">
        <f aca="false">AA398*$F$397</f>
        <v>29.212</v>
      </c>
      <c r="AB399" s="141" t="n">
        <f aca="false">AB398*$F$397</f>
        <v>8.934</v>
      </c>
      <c r="AC399" s="141" t="n">
        <f aca="false">AC398*$F$397</f>
        <v>3.516</v>
      </c>
      <c r="AD399" s="141" t="n">
        <v>0</v>
      </c>
    </row>
    <row r="400" customFormat="false" ht="11.25" hidden="false" customHeight="false" outlineLevel="0" collapsed="false">
      <c r="A400" s="109"/>
      <c r="B400" s="43" t="s">
        <v>517</v>
      </c>
      <c r="D400" s="35"/>
      <c r="E400" s="110"/>
      <c r="F400" s="110"/>
      <c r="G400" s="110"/>
      <c r="I400" s="26" t="n">
        <v>1</v>
      </c>
      <c r="J400" s="26" t="n">
        <f aca="false">I400</f>
        <v>1</v>
      </c>
      <c r="K400" s="26" t="n">
        <f aca="false">J400</f>
        <v>1</v>
      </c>
      <c r="L400" s="26" t="n">
        <f aca="false">K400</f>
        <v>1</v>
      </c>
      <c r="M400" s="26" t="n">
        <f aca="false">L400</f>
        <v>1</v>
      </c>
      <c r="N400" s="26" t="n">
        <f aca="false">M400</f>
        <v>1</v>
      </c>
      <c r="O400" s="26" t="n">
        <f aca="false">N400</f>
        <v>1</v>
      </c>
      <c r="P400" s="26" t="n">
        <f aca="false">O400</f>
        <v>1</v>
      </c>
      <c r="Q400" s="26" t="n">
        <f aca="false">P400</f>
        <v>1</v>
      </c>
      <c r="R400" s="26" t="n">
        <f aca="false">Q400</f>
        <v>1</v>
      </c>
      <c r="S400" s="26" t="n">
        <f aca="false">R400</f>
        <v>1</v>
      </c>
      <c r="T400" s="26" t="n">
        <f aca="false">S400</f>
        <v>1</v>
      </c>
      <c r="U400" s="26" t="n">
        <f aca="false">T400</f>
        <v>1</v>
      </c>
      <c r="V400" s="26" t="n">
        <f aca="false">U400</f>
        <v>1</v>
      </c>
      <c r="W400" s="26" t="n">
        <f aca="false">V400</f>
        <v>1</v>
      </c>
      <c r="X400" s="26" t="n">
        <f aca="false">W400</f>
        <v>1</v>
      </c>
      <c r="Y400" s="26" t="n">
        <f aca="false">X400</f>
        <v>1</v>
      </c>
      <c r="Z400" s="26" t="n">
        <f aca="false">Y400</f>
        <v>1</v>
      </c>
      <c r="AA400" s="26" t="n">
        <f aca="false">Z400</f>
        <v>1</v>
      </c>
      <c r="AB400" s="26" t="n">
        <f aca="false">AA400</f>
        <v>1</v>
      </c>
      <c r="AC400" s="26" t="n">
        <f aca="false">AB400</f>
        <v>1</v>
      </c>
    </row>
    <row r="401" customFormat="false" ht="11.25" hidden="false" customHeight="false" outlineLevel="0" collapsed="false">
      <c r="B401" s="43" t="s">
        <v>522</v>
      </c>
      <c r="D401" s="35"/>
      <c r="E401" s="110"/>
      <c r="F401" s="110"/>
      <c r="G401" s="110"/>
      <c r="H401" s="258"/>
      <c r="I401" s="120" t="n">
        <f aca="false">+I399*I400</f>
        <v>16.143</v>
      </c>
      <c r="J401" s="120" t="n">
        <f aca="false">+J399*J400</f>
        <v>362.264</v>
      </c>
      <c r="K401" s="120" t="n">
        <f aca="false">+K399*K400</f>
        <v>611.795</v>
      </c>
      <c r="L401" s="120" t="n">
        <f aca="false">+L399*L400</f>
        <v>803.259</v>
      </c>
      <c r="M401" s="120" t="n">
        <f aca="false">+M399*M400</f>
        <v>888.624</v>
      </c>
      <c r="N401" s="120" t="n">
        <f aca="false">+N399*N400</f>
        <v>969.214</v>
      </c>
      <c r="O401" s="120" t="n">
        <f aca="false">+O399*O400</f>
        <v>902.536</v>
      </c>
      <c r="P401" s="120" t="n">
        <f aca="false">+P399*P400</f>
        <v>809.743</v>
      </c>
      <c r="Q401" s="120" t="n">
        <f aca="false">+Q399*Q400</f>
        <v>722.288</v>
      </c>
      <c r="R401" s="120" t="n">
        <f aca="false">+R399*R400</f>
        <v>621.26</v>
      </c>
      <c r="S401" s="120" t="n">
        <f aca="false">+S399*S400</f>
        <v>525.72</v>
      </c>
      <c r="T401" s="120" t="n">
        <f aca="false">+T399*T400</f>
        <v>436.474</v>
      </c>
      <c r="U401" s="120" t="n">
        <f aca="false">+U399*U400</f>
        <v>360.151</v>
      </c>
      <c r="V401" s="120" t="n">
        <f aca="false">+V399*V400</f>
        <v>283.332</v>
      </c>
      <c r="W401" s="120" t="n">
        <f aca="false">+W399*W400</f>
        <v>221.216</v>
      </c>
      <c r="X401" s="120" t="n">
        <f aca="false">+X399*X400</f>
        <v>167.08</v>
      </c>
      <c r="Y401" s="120" t="n">
        <f aca="false">+Y399*Y400</f>
        <v>115.007</v>
      </c>
      <c r="Z401" s="120" t="n">
        <f aca="false">+Z399*Z400</f>
        <v>59.918</v>
      </c>
      <c r="AA401" s="120" t="n">
        <f aca="false">+AA399*AA400</f>
        <v>29.212</v>
      </c>
      <c r="AB401" s="120" t="n">
        <f aca="false">+AB399*AB400</f>
        <v>8.934</v>
      </c>
      <c r="AC401" s="120" t="n">
        <f aca="false">+AC399*AC400</f>
        <v>3.516</v>
      </c>
    </row>
    <row r="402" customFormat="false" ht="11.25" hidden="false" customHeight="false" outlineLevel="0" collapsed="false">
      <c r="A402" s="109"/>
      <c r="B402" s="35" t="s">
        <v>176</v>
      </c>
      <c r="D402" s="35"/>
      <c r="E402" s="110"/>
      <c r="F402" s="110"/>
      <c r="G402" s="110"/>
      <c r="H402" s="258"/>
      <c r="I402" s="26" t="n">
        <v>1</v>
      </c>
      <c r="J402" s="26" t="n">
        <f aca="false">I402</f>
        <v>1</v>
      </c>
      <c r="K402" s="26" t="n">
        <f aca="false">J402</f>
        <v>1</v>
      </c>
      <c r="L402" s="26" t="n">
        <f aca="false">K402</f>
        <v>1</v>
      </c>
      <c r="M402" s="26" t="n">
        <f aca="false">L402</f>
        <v>1</v>
      </c>
      <c r="N402" s="26" t="n">
        <f aca="false">M402</f>
        <v>1</v>
      </c>
      <c r="O402" s="26" t="n">
        <f aca="false">N402</f>
        <v>1</v>
      </c>
      <c r="P402" s="26" t="n">
        <f aca="false">O402</f>
        <v>1</v>
      </c>
      <c r="Q402" s="26" t="n">
        <f aca="false">P402</f>
        <v>1</v>
      </c>
      <c r="R402" s="26" t="n">
        <f aca="false">Q402</f>
        <v>1</v>
      </c>
      <c r="S402" s="26" t="n">
        <f aca="false">R402</f>
        <v>1</v>
      </c>
      <c r="T402" s="26" t="n">
        <f aca="false">S402</f>
        <v>1</v>
      </c>
      <c r="U402" s="26" t="n">
        <f aca="false">T402</f>
        <v>1</v>
      </c>
      <c r="V402" s="26" t="n">
        <f aca="false">U402</f>
        <v>1</v>
      </c>
      <c r="W402" s="26" t="n">
        <f aca="false">V402</f>
        <v>1</v>
      </c>
      <c r="X402" s="26" t="n">
        <f aca="false">W402</f>
        <v>1</v>
      </c>
      <c r="Y402" s="26" t="n">
        <f aca="false">X402</f>
        <v>1</v>
      </c>
      <c r="Z402" s="26" t="n">
        <f aca="false">Y402</f>
        <v>1</v>
      </c>
      <c r="AA402" s="26" t="n">
        <f aca="false">Z402</f>
        <v>1</v>
      </c>
      <c r="AB402" s="26" t="n">
        <f aca="false">AA402</f>
        <v>1</v>
      </c>
      <c r="AC402" s="26" t="n">
        <f aca="false">AB402</f>
        <v>1</v>
      </c>
    </row>
    <row r="403" customFormat="false" ht="11.25" hidden="false" customHeight="false" outlineLevel="0" collapsed="false">
      <c r="B403" s="43" t="s">
        <v>183</v>
      </c>
      <c r="D403" s="35"/>
      <c r="E403" s="110"/>
      <c r="F403" s="110"/>
      <c r="G403" s="110"/>
      <c r="H403" s="258"/>
      <c r="I403" s="120" t="n">
        <f aca="false">+I401*I402</f>
        <v>16.143</v>
      </c>
      <c r="J403" s="120" t="n">
        <f aca="false">+J401*J402</f>
        <v>362.264</v>
      </c>
      <c r="K403" s="120" t="n">
        <f aca="false">+K401*K402</f>
        <v>611.795</v>
      </c>
      <c r="L403" s="120" t="n">
        <f aca="false">+L401*L402</f>
        <v>803.259</v>
      </c>
      <c r="M403" s="120" t="n">
        <f aca="false">+M401*M402</f>
        <v>888.624</v>
      </c>
      <c r="N403" s="120" t="n">
        <f aca="false">+N401*N402</f>
        <v>969.214</v>
      </c>
      <c r="O403" s="120" t="n">
        <f aca="false">+O401*O402</f>
        <v>902.536</v>
      </c>
      <c r="P403" s="120" t="n">
        <f aca="false">+P401*P402</f>
        <v>809.743</v>
      </c>
      <c r="Q403" s="120" t="n">
        <f aca="false">+Q401*Q402</f>
        <v>722.288</v>
      </c>
      <c r="R403" s="120" t="n">
        <f aca="false">+R401*R402</f>
        <v>621.26</v>
      </c>
      <c r="S403" s="120" t="n">
        <f aca="false">+S401*S402</f>
        <v>525.72</v>
      </c>
      <c r="T403" s="120" t="n">
        <f aca="false">+T401*T402</f>
        <v>436.474</v>
      </c>
      <c r="U403" s="120" t="n">
        <f aca="false">+U401*U402</f>
        <v>360.151</v>
      </c>
      <c r="V403" s="120" t="n">
        <f aca="false">+V401*V402</f>
        <v>283.332</v>
      </c>
      <c r="W403" s="120" t="n">
        <f aca="false">+W401*W402</f>
        <v>221.216</v>
      </c>
      <c r="X403" s="120" t="n">
        <f aca="false">+X401*X402</f>
        <v>167.08</v>
      </c>
      <c r="Y403" s="120" t="n">
        <f aca="false">+Y401*Y402</f>
        <v>115.007</v>
      </c>
      <c r="Z403" s="120" t="n">
        <f aca="false">+Z401*Z402</f>
        <v>59.918</v>
      </c>
      <c r="AA403" s="120" t="n">
        <f aca="false">+AA401*AA402</f>
        <v>29.212</v>
      </c>
      <c r="AB403" s="120" t="n">
        <f aca="false">+AB401*AB402</f>
        <v>8.934</v>
      </c>
      <c r="AC403" s="120" t="n">
        <f aca="false">+AC401*AC402</f>
        <v>3.516</v>
      </c>
      <c r="AD403" s="67" t="n">
        <f aca="false">SUM(E403:AC403)</f>
        <v>8917.686</v>
      </c>
    </row>
    <row r="404" customFormat="false" ht="11.25" hidden="false" customHeight="false" outlineLevel="0" collapsed="false">
      <c r="A404" s="109"/>
      <c r="B404" s="43" t="s">
        <v>187</v>
      </c>
      <c r="D404" s="118" t="s">
        <v>157</v>
      </c>
      <c r="E404" s="119" t="s">
        <v>184</v>
      </c>
      <c r="F404" s="119" t="s">
        <v>185</v>
      </c>
      <c r="G404" s="119" t="s">
        <v>186</v>
      </c>
      <c r="H404" s="111"/>
      <c r="I404" s="258"/>
      <c r="J404" s="258"/>
      <c r="K404" s="258"/>
      <c r="L404" s="258"/>
      <c r="M404" s="258"/>
      <c r="N404" s="258"/>
      <c r="O404" s="258"/>
      <c r="P404" s="258"/>
      <c r="Q404" s="258"/>
      <c r="R404" s="258"/>
      <c r="S404" s="258"/>
      <c r="T404" s="258"/>
      <c r="U404" s="258"/>
      <c r="V404" s="258"/>
      <c r="W404" s="258"/>
      <c r="X404" s="258"/>
      <c r="Y404" s="258"/>
      <c r="Z404" s="258"/>
      <c r="AA404" s="258"/>
      <c r="AB404" s="258"/>
      <c r="AC404" s="258"/>
    </row>
    <row r="405" customFormat="false" ht="11.25" hidden="false" customHeight="false" outlineLevel="0" collapsed="false">
      <c r="A405" s="109"/>
      <c r="D405" s="100" t="s">
        <v>162</v>
      </c>
      <c r="E405" s="121"/>
      <c r="F405" s="121"/>
      <c r="G405" s="121"/>
      <c r="H405" s="111"/>
      <c r="I405" s="264" t="n">
        <v>1</v>
      </c>
      <c r="J405" s="264" t="n">
        <v>1</v>
      </c>
      <c r="K405" s="264" t="n">
        <v>1</v>
      </c>
      <c r="L405" s="264" t="n">
        <v>1</v>
      </c>
      <c r="M405" s="264" t="n">
        <v>1</v>
      </c>
      <c r="N405" s="264" t="n">
        <v>1</v>
      </c>
      <c r="O405" s="264" t="n">
        <v>1</v>
      </c>
      <c r="P405" s="264" t="n">
        <v>1</v>
      </c>
      <c r="Q405" s="264" t="n">
        <v>1</v>
      </c>
      <c r="R405" s="264" t="n">
        <v>1</v>
      </c>
      <c r="S405" s="264" t="n">
        <v>1</v>
      </c>
      <c r="T405" s="264" t="n">
        <v>1</v>
      </c>
      <c r="U405" s="264" t="n">
        <v>1</v>
      </c>
      <c r="V405" s="264" t="n">
        <v>1</v>
      </c>
      <c r="W405" s="264" t="n">
        <v>1</v>
      </c>
      <c r="X405" s="264" t="n">
        <v>1</v>
      </c>
      <c r="Y405" s="264" t="n">
        <v>1</v>
      </c>
      <c r="Z405" s="264" t="n">
        <v>1</v>
      </c>
      <c r="AA405" s="264" t="n">
        <v>1</v>
      </c>
      <c r="AB405" s="264" t="n">
        <v>1</v>
      </c>
      <c r="AC405" s="264" t="n">
        <v>1</v>
      </c>
    </row>
    <row r="406" customFormat="false" ht="11.25" hidden="false" customHeight="false" outlineLevel="0" collapsed="false">
      <c r="A406" s="109"/>
      <c r="B406" s="43" t="s">
        <v>188</v>
      </c>
      <c r="D406" s="35"/>
      <c r="I406" s="116" t="n">
        <f aca="false">+I405*I403</f>
        <v>16.143</v>
      </c>
      <c r="J406" s="116" t="n">
        <f aca="false">+J405*J403</f>
        <v>362.264</v>
      </c>
      <c r="K406" s="116" t="n">
        <f aca="false">+K405*K403</f>
        <v>611.795</v>
      </c>
      <c r="L406" s="116" t="n">
        <f aca="false">+L405*L403</f>
        <v>803.259</v>
      </c>
      <c r="M406" s="116" t="n">
        <f aca="false">+M405*M403</f>
        <v>888.624</v>
      </c>
      <c r="N406" s="116" t="n">
        <f aca="false">+N405*N403</f>
        <v>969.214</v>
      </c>
      <c r="O406" s="116" t="n">
        <f aca="false">+O405*O403</f>
        <v>902.536</v>
      </c>
      <c r="P406" s="116" t="n">
        <f aca="false">+P405*P403</f>
        <v>809.743</v>
      </c>
      <c r="Q406" s="116" t="n">
        <f aca="false">+Q405*Q403</f>
        <v>722.288</v>
      </c>
      <c r="R406" s="116" t="n">
        <f aca="false">+R405*R403</f>
        <v>621.26</v>
      </c>
      <c r="S406" s="116" t="n">
        <f aca="false">+S405*S403</f>
        <v>525.72</v>
      </c>
      <c r="T406" s="116" t="n">
        <f aca="false">+T405*T403</f>
        <v>436.474</v>
      </c>
      <c r="U406" s="116" t="n">
        <f aca="false">+U405*U403</f>
        <v>360.151</v>
      </c>
      <c r="V406" s="116" t="n">
        <f aca="false">+V405*V403</f>
        <v>283.332</v>
      </c>
      <c r="W406" s="116" t="n">
        <f aca="false">+W405*W403</f>
        <v>221.216</v>
      </c>
      <c r="X406" s="116" t="n">
        <f aca="false">+X405*X403</f>
        <v>167.08</v>
      </c>
      <c r="Y406" s="116" t="n">
        <f aca="false">+Y405*Y403</f>
        <v>115.007</v>
      </c>
      <c r="Z406" s="116" t="n">
        <f aca="false">+Z405*Z403</f>
        <v>59.918</v>
      </c>
      <c r="AA406" s="116" t="n">
        <f aca="false">+AA405*AA403</f>
        <v>29.212</v>
      </c>
      <c r="AB406" s="116" t="n">
        <f aca="false">+AB405*AB403</f>
        <v>8.934</v>
      </c>
      <c r="AC406" s="116" t="n">
        <f aca="false">+AC405*AC403</f>
        <v>3.516</v>
      </c>
    </row>
    <row r="407" customFormat="false" ht="11.25" hidden="false" customHeight="false" outlineLevel="0" collapsed="false">
      <c r="A407" s="109"/>
      <c r="B407" s="43"/>
      <c r="D407" s="35"/>
      <c r="I407" s="258"/>
      <c r="J407" s="258"/>
      <c r="K407" s="258"/>
      <c r="L407" s="258"/>
      <c r="M407" s="258"/>
      <c r="N407" s="258"/>
      <c r="O407" s="258"/>
      <c r="P407" s="258"/>
      <c r="Q407" s="258"/>
      <c r="R407" s="258"/>
      <c r="S407" s="258"/>
      <c r="T407" s="258"/>
      <c r="U407" s="258"/>
      <c r="V407" s="258"/>
      <c r="W407" s="258"/>
      <c r="X407" s="258"/>
      <c r="Y407" s="258"/>
      <c r="Z407" s="258"/>
      <c r="AA407" s="258"/>
      <c r="AB407" s="258"/>
      <c r="AC407" s="258"/>
    </row>
    <row r="408" customFormat="false" ht="11.25" hidden="false" customHeight="false" outlineLevel="0" collapsed="false">
      <c r="A408" s="109"/>
      <c r="B408" s="43" t="s">
        <v>523</v>
      </c>
      <c r="D408" s="102" t="n">
        <v>5</v>
      </c>
      <c r="I408" s="123" t="n">
        <f aca="false">IF($D408=1,I$197,IF($D408=2,I$200,IF($D408=3,I$202,IF($D408=4,I$204,IF($D408=5,I$206,IF($D408=5,I$208,I$197))))))</f>
        <v>0</v>
      </c>
      <c r="J408" s="123" t="n">
        <f aca="false">IF($D408=1,J$197,IF($D408=2,J$200,IF($D408=3,J$202,IF($D408=4,J$204,IF($D408=5,J$206,IF($D408=5,J$208,J$197))))))</f>
        <v>0</v>
      </c>
      <c r="K408" s="123" t="n">
        <f aca="false">IF($D408=1,K$197,IF($D408=2,K$200,IF($D408=3,K$202,IF($D408=4,K$204,IF($D408=5,K$206,IF($D408=5,K$208,K$197))))))</f>
        <v>0</v>
      </c>
      <c r="L408" s="123" t="n">
        <f aca="false">IF($D408=1,L$197,IF($D408=2,L$200,IF($D408=3,L$202,IF($D408=4,L$204,IF($D408=5,L$206,IF($D408=5,L$208,L$197))))))</f>
        <v>0</v>
      </c>
      <c r="M408" s="123" t="n">
        <f aca="false">IF($D408=1,M$197,IF($D408=2,M$200,IF($D408=3,M$202,IF($D408=4,M$204,IF($D408=5,M$206,IF($D408=5,M$208,M$197))))))</f>
        <v>0</v>
      </c>
      <c r="N408" s="123" t="n">
        <f aca="false">IF($D408=1,N$197,IF($D408=2,N$200,IF($D408=3,N$202,IF($D408=4,N$204,IF($D408=5,N$206,IF($D408=5,N$208,N$197))))))</f>
        <v>0</v>
      </c>
      <c r="O408" s="123" t="n">
        <f aca="false">IF($D408=1,O$197,IF($D408=2,O$200,IF($D408=3,O$202,IF($D408=4,O$204,IF($D408=5,O$206,IF($D408=5,O$208,O$197))))))</f>
        <v>0</v>
      </c>
      <c r="P408" s="123" t="n">
        <f aca="false">IF($D408=1,P$197,IF($D408=2,P$200,IF($D408=3,P$202,IF($D408=4,P$204,IF($D408=5,P$206,IF($D408=5,P$208,P$197))))))</f>
        <v>0</v>
      </c>
      <c r="Q408" s="123" t="n">
        <f aca="false">IF($D408=1,Q$197,IF($D408=2,Q$200,IF($D408=3,Q$202,IF($D408=4,Q$204,IF($D408=5,Q$206,IF($D408=5,Q$208,Q$197))))))</f>
        <v>0</v>
      </c>
      <c r="R408" s="123" t="n">
        <f aca="false">IF($D408=1,R$197,IF($D408=2,R$200,IF($D408=3,R$202,IF($D408=4,R$204,IF($D408=5,R$206,IF($D408=5,R$208,R$197))))))</f>
        <v>0</v>
      </c>
      <c r="S408" s="123" t="n">
        <f aca="false">IF($D408=1,S$197,IF($D408=2,S$200,IF($D408=3,S$202,IF($D408=4,S$204,IF($D408=5,S$206,IF($D408=5,S$208,S$197))))))</f>
        <v>0</v>
      </c>
      <c r="T408" s="123" t="n">
        <f aca="false">IF($D408=1,T$197,IF($D408=2,T$200,IF($D408=3,T$202,IF($D408=4,T$204,IF($D408=5,T$206,IF($D408=5,T$208,T$197))))))</f>
        <v>0</v>
      </c>
      <c r="U408" s="123" t="n">
        <f aca="false">IF($D408=1,U$197,IF($D408=2,U$200,IF($D408=3,U$202,IF($D408=4,U$204,IF($D408=5,U$206,IF($D408=5,U$208,U$197))))))</f>
        <v>0</v>
      </c>
      <c r="V408" s="123" t="n">
        <f aca="false">IF($D408=1,V$197,IF($D408=2,V$200,IF($D408=3,V$202,IF($D408=4,V$204,IF($D408=5,V$206,IF($D408=5,V$208,V$197))))))</f>
        <v>0</v>
      </c>
      <c r="W408" s="123" t="n">
        <f aca="false">IF($D408=1,W$197,IF($D408=2,W$200,IF($D408=3,W$202,IF($D408=4,W$204,IF($D408=5,W$206,IF($D408=5,W$208,W$197))))))</f>
        <v>0</v>
      </c>
      <c r="X408" s="123" t="n">
        <f aca="false">IF($D408=1,X$197,IF($D408=2,X$200,IF($D408=3,X$202,IF($D408=4,X$204,IF($D408=5,X$206,IF($D408=5,X$208,X$197))))))</f>
        <v>0</v>
      </c>
      <c r="Y408" s="123" t="n">
        <f aca="false">IF($D408=1,Y$197,IF($D408=2,Y$200,IF($D408=3,Y$202,IF($D408=4,Y$204,IF($D408=5,Y$206,IF($D408=5,Y$208,Y$197))))))</f>
        <v>0</v>
      </c>
      <c r="Z408" s="123" t="n">
        <f aca="false">IF($D408=1,Z$197,IF($D408=2,Z$200,IF($D408=3,Z$202,IF($D408=4,Z$204,IF($D408=5,Z$206,IF($D408=5,Z$208,Z$197))))))</f>
        <v>0</v>
      </c>
      <c r="AA408" s="123" t="n">
        <f aca="false">IF($D408=1,AA$197,IF($D408=2,AA$200,IF($D408=3,AA$202,IF($D408=4,AA$204,IF($D408=5,AA$206,IF($D408=5,AA$208,AA$197))))))</f>
        <v>0</v>
      </c>
      <c r="AB408" s="123" t="n">
        <f aca="false">IF($D408=1,AB$197,IF($D408=2,AB$200,IF($D408=3,AB$202,IF($D408=4,AB$204,IF($D408=5,AB$206,IF($D408=5,AB$208,AB$197))))))</f>
        <v>0</v>
      </c>
      <c r="AC408" s="123" t="n">
        <f aca="false">IF($D408=1,AC$197,IF($D408=2,AC$200,IF($D408=3,AC$202,IF($D408=4,AC$204,IF($D408=5,AC$206,IF($D408=5,AC$208,AC$197))))))</f>
        <v>0</v>
      </c>
    </row>
    <row r="409" customFormat="false" ht="11.25" hidden="false" customHeight="false" outlineLevel="0" collapsed="false">
      <c r="A409" s="109"/>
      <c r="B409" s="43" t="s">
        <v>179</v>
      </c>
      <c r="D409" s="35"/>
      <c r="E409" s="124"/>
      <c r="F409" s="124"/>
      <c r="G409" s="124"/>
      <c r="H409" s="125"/>
      <c r="I409" s="264" t="n">
        <f aca="false">-0.375</f>
        <v>-0.375</v>
      </c>
      <c r="J409" s="264" t="n">
        <f aca="false">I409</f>
        <v>-0.375</v>
      </c>
      <c r="K409" s="264" t="n">
        <f aca="false">J409</f>
        <v>-0.375</v>
      </c>
      <c r="L409" s="264" t="n">
        <f aca="false">K409</f>
        <v>-0.375</v>
      </c>
      <c r="M409" s="264" t="n">
        <f aca="false">L409</f>
        <v>-0.375</v>
      </c>
      <c r="N409" s="264" t="n">
        <f aca="false">M409</f>
        <v>-0.375</v>
      </c>
      <c r="O409" s="264" t="n">
        <f aca="false">N409</f>
        <v>-0.375</v>
      </c>
      <c r="P409" s="264" t="n">
        <f aca="false">O409</f>
        <v>-0.375</v>
      </c>
      <c r="Q409" s="264" t="n">
        <f aca="false">P409</f>
        <v>-0.375</v>
      </c>
      <c r="R409" s="264" t="n">
        <f aca="false">Q409</f>
        <v>-0.375</v>
      </c>
      <c r="S409" s="264" t="n">
        <f aca="false">R409</f>
        <v>-0.375</v>
      </c>
      <c r="T409" s="264" t="n">
        <f aca="false">S409</f>
        <v>-0.375</v>
      </c>
      <c r="U409" s="264" t="n">
        <f aca="false">T409</f>
        <v>-0.375</v>
      </c>
      <c r="V409" s="264" t="n">
        <f aca="false">U409</f>
        <v>-0.375</v>
      </c>
      <c r="W409" s="264" t="n">
        <f aca="false">V409</f>
        <v>-0.375</v>
      </c>
      <c r="X409" s="264" t="n">
        <f aca="false">W409</f>
        <v>-0.375</v>
      </c>
      <c r="Y409" s="264" t="n">
        <f aca="false">X409</f>
        <v>-0.375</v>
      </c>
      <c r="Z409" s="264" t="n">
        <f aca="false">Y409</f>
        <v>-0.375</v>
      </c>
      <c r="AA409" s="264" t="n">
        <f aca="false">Z409</f>
        <v>-0.375</v>
      </c>
      <c r="AB409" s="264" t="n">
        <f aca="false">AA409</f>
        <v>-0.375</v>
      </c>
      <c r="AC409" s="264" t="n">
        <f aca="false">AB409</f>
        <v>-0.375</v>
      </c>
    </row>
    <row r="410" customFormat="false" ht="11.25" hidden="false" customHeight="false" outlineLevel="0" collapsed="false">
      <c r="A410" s="109"/>
      <c r="B410" s="43" t="s">
        <v>190</v>
      </c>
      <c r="D410" s="35"/>
      <c r="I410" s="267" t="n">
        <f aca="false">+I408+I409</f>
        <v>-0.375</v>
      </c>
      <c r="J410" s="267" t="n">
        <f aca="false">+J408+J409</f>
        <v>-0.375</v>
      </c>
      <c r="K410" s="267" t="n">
        <f aca="false">+K408+K409</f>
        <v>-0.375</v>
      </c>
      <c r="L410" s="267" t="n">
        <f aca="false">+L408+L409</f>
        <v>-0.375</v>
      </c>
      <c r="M410" s="267" t="n">
        <f aca="false">+M408+M409</f>
        <v>-0.375</v>
      </c>
      <c r="N410" s="267" t="n">
        <f aca="false">+N408+N409</f>
        <v>-0.375</v>
      </c>
      <c r="O410" s="267" t="n">
        <f aca="false">+O408+O409</f>
        <v>-0.375</v>
      </c>
      <c r="P410" s="267" t="n">
        <f aca="false">+P408+P409</f>
        <v>-0.375</v>
      </c>
      <c r="Q410" s="267" t="n">
        <f aca="false">+Q408+Q409</f>
        <v>-0.375</v>
      </c>
      <c r="R410" s="267" t="n">
        <f aca="false">+R408+R409</f>
        <v>-0.375</v>
      </c>
      <c r="S410" s="267" t="n">
        <f aca="false">+S408+S409</f>
        <v>-0.375</v>
      </c>
      <c r="T410" s="267" t="n">
        <f aca="false">+T408+T409</f>
        <v>-0.375</v>
      </c>
      <c r="U410" s="267" t="n">
        <f aca="false">+U408+U409</f>
        <v>-0.375</v>
      </c>
      <c r="V410" s="267" t="n">
        <f aca="false">+V408+V409</f>
        <v>-0.375</v>
      </c>
      <c r="W410" s="267" t="n">
        <f aca="false">+W408+W409</f>
        <v>-0.375</v>
      </c>
      <c r="X410" s="267" t="n">
        <f aca="false">+X408+X409</f>
        <v>-0.375</v>
      </c>
      <c r="Y410" s="267" t="n">
        <f aca="false">+Y408+Y409</f>
        <v>-0.375</v>
      </c>
      <c r="Z410" s="267" t="n">
        <f aca="false">+Z408+Z409</f>
        <v>-0.375</v>
      </c>
      <c r="AA410" s="267" t="n">
        <f aca="false">+AA408+AA409</f>
        <v>-0.375</v>
      </c>
      <c r="AB410" s="267" t="n">
        <f aca="false">+AB408+AB409</f>
        <v>-0.375</v>
      </c>
      <c r="AC410" s="267" t="n">
        <f aca="false">+AC408+AC409</f>
        <v>-0.375</v>
      </c>
    </row>
    <row r="411" customFormat="false" ht="11.25" hidden="false" customHeight="false" outlineLevel="0" collapsed="false">
      <c r="A411" s="109"/>
      <c r="B411" s="35" t="str">
        <f aca="false">+"Gas Revenues ($"&amp;$F$5</f>
        <v>Gas Revenues ($Thousands)</v>
      </c>
      <c r="D411" s="35"/>
      <c r="I411" s="116" t="n">
        <f aca="false">I406*1000*I410/unit</f>
        <v>-6.053625</v>
      </c>
      <c r="J411" s="116" t="n">
        <f aca="false">J406*1000*J410/unit</f>
        <v>-135.849</v>
      </c>
      <c r="K411" s="116" t="n">
        <f aca="false">K406*1000*K410/unit</f>
        <v>-229.423125</v>
      </c>
      <c r="L411" s="116" t="n">
        <f aca="false">L406*1000*L410/unit</f>
        <v>-301.222125</v>
      </c>
      <c r="M411" s="116" t="n">
        <f aca="false">M406*1000*M410/unit</f>
        <v>-333.234</v>
      </c>
      <c r="N411" s="116" t="n">
        <f aca="false">N406*1000*N410/unit</f>
        <v>-363.45525</v>
      </c>
      <c r="O411" s="116" t="n">
        <f aca="false">O406*1000*O410/unit</f>
        <v>-338.451</v>
      </c>
      <c r="P411" s="116" t="n">
        <f aca="false">P406*1000*P410/unit</f>
        <v>-303.653625</v>
      </c>
      <c r="Q411" s="116" t="n">
        <f aca="false">Q406*1000*Q410/unit</f>
        <v>-270.858</v>
      </c>
      <c r="R411" s="116" t="n">
        <f aca="false">R406*1000*R410/unit</f>
        <v>-232.9725</v>
      </c>
      <c r="S411" s="116" t="n">
        <f aca="false">S406*1000*S410/unit</f>
        <v>-197.145</v>
      </c>
      <c r="T411" s="116" t="n">
        <f aca="false">T406*1000*T410/unit</f>
        <v>-163.67775</v>
      </c>
      <c r="U411" s="116" t="n">
        <f aca="false">U406*1000*U410/unit</f>
        <v>-135.056625</v>
      </c>
      <c r="V411" s="116" t="n">
        <f aca="false">V406*1000*V410/unit</f>
        <v>-106.2495</v>
      </c>
      <c r="W411" s="116" t="n">
        <f aca="false">W406*1000*W410/unit</f>
        <v>-82.956</v>
      </c>
      <c r="X411" s="116" t="n">
        <f aca="false">X406*1000*X410/unit</f>
        <v>-62.655</v>
      </c>
      <c r="Y411" s="116" t="n">
        <f aca="false">Y406*1000*Y410/unit</f>
        <v>-43.127625</v>
      </c>
      <c r="Z411" s="116" t="n">
        <f aca="false">Z406*1000*Z410/unit</f>
        <v>-22.46925</v>
      </c>
      <c r="AA411" s="116" t="n">
        <f aca="false">AA406*1000*AA410/unit</f>
        <v>-10.9545</v>
      </c>
      <c r="AB411" s="116" t="n">
        <f aca="false">AB406*1000*AB410/unit</f>
        <v>-3.35025</v>
      </c>
      <c r="AC411" s="116" t="n">
        <f aca="false">AC406*1000*AC410/unit</f>
        <v>-1.3185</v>
      </c>
    </row>
    <row r="412" customFormat="false" ht="11.25" hidden="false" customHeight="false" outlineLevel="0" collapsed="false">
      <c r="A412" s="109"/>
      <c r="B412" s="35"/>
      <c r="D412" s="35"/>
      <c r="E412" s="110"/>
      <c r="F412" s="110"/>
      <c r="G412" s="110"/>
      <c r="H412" s="111"/>
      <c r="I412" s="258"/>
      <c r="J412" s="258"/>
      <c r="K412" s="258"/>
      <c r="L412" s="258"/>
      <c r="M412" s="258"/>
      <c r="N412" s="258"/>
      <c r="O412" s="258"/>
      <c r="P412" s="258"/>
      <c r="Q412" s="258"/>
      <c r="R412" s="258"/>
      <c r="S412" s="258"/>
      <c r="T412" s="258"/>
      <c r="U412" s="258"/>
      <c r="V412" s="258"/>
      <c r="W412" s="258"/>
      <c r="X412" s="258"/>
      <c r="Y412" s="268"/>
      <c r="Z412" s="268"/>
      <c r="AA412" s="268"/>
      <c r="AB412" s="268"/>
      <c r="AC412" s="268"/>
    </row>
    <row r="413" customFormat="false" ht="11.25" hidden="false" customHeight="false" outlineLevel="0" collapsed="false">
      <c r="A413" s="109" t="s">
        <v>524</v>
      </c>
      <c r="B413" s="35" t="s">
        <v>525</v>
      </c>
      <c r="D413" s="35"/>
      <c r="E413" s="110"/>
      <c r="F413" s="110"/>
      <c r="G413" s="110"/>
      <c r="H413" s="111"/>
      <c r="I413" s="141" t="n">
        <v>0</v>
      </c>
      <c r="J413" s="141" t="n">
        <v>0</v>
      </c>
      <c r="K413" s="141" t="n">
        <v>0</v>
      </c>
      <c r="L413" s="141" t="n">
        <v>0</v>
      </c>
      <c r="M413" s="141" t="n">
        <v>0</v>
      </c>
      <c r="N413" s="141" t="n">
        <v>0</v>
      </c>
      <c r="O413" s="141" t="n">
        <v>0</v>
      </c>
      <c r="P413" s="141" t="n">
        <v>0</v>
      </c>
      <c r="Q413" s="141" t="n">
        <v>0</v>
      </c>
      <c r="R413" s="141" t="n">
        <v>0</v>
      </c>
      <c r="S413" s="141" t="n">
        <v>0</v>
      </c>
      <c r="T413" s="141" t="n">
        <v>0</v>
      </c>
      <c r="U413" s="141" t="n">
        <v>0</v>
      </c>
      <c r="V413" s="141" t="n">
        <v>0</v>
      </c>
      <c r="W413" s="141" t="n">
        <v>0</v>
      </c>
      <c r="X413" s="141" t="n">
        <v>0</v>
      </c>
      <c r="Y413" s="141" t="n">
        <v>0</v>
      </c>
      <c r="Z413" s="141" t="n">
        <v>0</v>
      </c>
      <c r="AA413" s="141" t="n">
        <v>0</v>
      </c>
      <c r="AB413" s="141" t="n">
        <v>0</v>
      </c>
      <c r="AC413" s="141" t="n">
        <v>0</v>
      </c>
    </row>
    <row r="414" customFormat="false" ht="11.25" hidden="false" customHeight="false" outlineLevel="0" collapsed="false">
      <c r="A414" s="109"/>
      <c r="B414" s="43" t="s">
        <v>517</v>
      </c>
      <c r="D414" s="35"/>
      <c r="E414" s="110"/>
      <c r="F414" s="110"/>
      <c r="G414" s="110"/>
      <c r="H414" s="111"/>
      <c r="I414" s="26" t="n">
        <v>1</v>
      </c>
      <c r="J414" s="26" t="n">
        <f aca="false">I414</f>
        <v>1</v>
      </c>
      <c r="K414" s="26" t="n">
        <f aca="false">J414</f>
        <v>1</v>
      </c>
      <c r="L414" s="26" t="n">
        <f aca="false">K414</f>
        <v>1</v>
      </c>
      <c r="M414" s="26" t="n">
        <f aca="false">L414</f>
        <v>1</v>
      </c>
      <c r="N414" s="26" t="n">
        <f aca="false">M414</f>
        <v>1</v>
      </c>
      <c r="O414" s="26" t="n">
        <f aca="false">N414</f>
        <v>1</v>
      </c>
      <c r="P414" s="26" t="n">
        <f aca="false">O414</f>
        <v>1</v>
      </c>
      <c r="Q414" s="26" t="n">
        <f aca="false">P414</f>
        <v>1</v>
      </c>
      <c r="R414" s="26" t="n">
        <f aca="false">Q414</f>
        <v>1</v>
      </c>
      <c r="S414" s="26" t="n">
        <f aca="false">R414</f>
        <v>1</v>
      </c>
      <c r="T414" s="26" t="n">
        <f aca="false">S414</f>
        <v>1</v>
      </c>
      <c r="U414" s="26" t="n">
        <f aca="false">T414</f>
        <v>1</v>
      </c>
      <c r="V414" s="26" t="n">
        <f aca="false">U414</f>
        <v>1</v>
      </c>
      <c r="W414" s="26" t="n">
        <f aca="false">V414</f>
        <v>1</v>
      </c>
      <c r="X414" s="26" t="n">
        <f aca="false">W414</f>
        <v>1</v>
      </c>
      <c r="Y414" s="26" t="n">
        <f aca="false">X414</f>
        <v>1</v>
      </c>
      <c r="Z414" s="26" t="n">
        <f aca="false">Y414</f>
        <v>1</v>
      </c>
      <c r="AA414" s="26" t="n">
        <f aca="false">Z414</f>
        <v>1</v>
      </c>
      <c r="AB414" s="26" t="n">
        <f aca="false">AA414</f>
        <v>1</v>
      </c>
      <c r="AC414" s="26" t="n">
        <f aca="false">AB414</f>
        <v>1</v>
      </c>
    </row>
    <row r="415" customFormat="false" ht="11.25" hidden="false" customHeight="false" outlineLevel="0" collapsed="false">
      <c r="B415" s="43" t="s">
        <v>526</v>
      </c>
      <c r="D415" s="35"/>
      <c r="E415" s="128"/>
      <c r="F415" s="128"/>
      <c r="G415" s="128"/>
      <c r="H415" s="258"/>
      <c r="I415" s="120" t="n">
        <f aca="false">+I413*I414</f>
        <v>0</v>
      </c>
      <c r="J415" s="120" t="n">
        <f aca="false">+J413*J414</f>
        <v>0</v>
      </c>
      <c r="K415" s="120" t="n">
        <f aca="false">+K413*K414</f>
        <v>0</v>
      </c>
      <c r="L415" s="120" t="n">
        <f aca="false">+L413*L414</f>
        <v>0</v>
      </c>
      <c r="M415" s="120" t="n">
        <f aca="false">+M413*M414</f>
        <v>0</v>
      </c>
      <c r="N415" s="120" t="n">
        <f aca="false">+N413*N414</f>
        <v>0</v>
      </c>
      <c r="O415" s="120" t="n">
        <f aca="false">+O413*O414</f>
        <v>0</v>
      </c>
      <c r="P415" s="120" t="n">
        <f aca="false">+P413*P414</f>
        <v>0</v>
      </c>
      <c r="Q415" s="120" t="n">
        <f aca="false">+Q413*Q414</f>
        <v>0</v>
      </c>
      <c r="R415" s="120" t="n">
        <f aca="false">+R413*R414</f>
        <v>0</v>
      </c>
      <c r="S415" s="120" t="n">
        <f aca="false">+S413*S414</f>
        <v>0</v>
      </c>
      <c r="T415" s="120" t="n">
        <f aca="false">+T413*T414</f>
        <v>0</v>
      </c>
      <c r="U415" s="120" t="n">
        <f aca="false">+U413*U414</f>
        <v>0</v>
      </c>
      <c r="V415" s="120" t="n">
        <f aca="false">+V413*V414</f>
        <v>0</v>
      </c>
      <c r="W415" s="120" t="n">
        <f aca="false">+W413*W414</f>
        <v>0</v>
      </c>
      <c r="X415" s="120" t="n">
        <f aca="false">+X413*X414</f>
        <v>0</v>
      </c>
      <c r="Y415" s="120" t="n">
        <f aca="false">+Y413*Y414</f>
        <v>0</v>
      </c>
      <c r="Z415" s="120" t="n">
        <f aca="false">+Z413*Z414</f>
        <v>0</v>
      </c>
      <c r="AA415" s="120" t="n">
        <f aca="false">+AA413*AA414</f>
        <v>0</v>
      </c>
      <c r="AB415" s="120" t="n">
        <f aca="false">+AB413*AB414</f>
        <v>0</v>
      </c>
      <c r="AC415" s="120" t="n">
        <f aca="false">+AC413*AC414</f>
        <v>0</v>
      </c>
    </row>
    <row r="416" customFormat="false" ht="11.25" hidden="false" customHeight="false" outlineLevel="0" collapsed="false">
      <c r="A416" s="109"/>
      <c r="B416" s="35" t="s">
        <v>176</v>
      </c>
      <c r="D416" s="35"/>
      <c r="E416" s="128"/>
      <c r="F416" s="128"/>
      <c r="G416" s="128"/>
      <c r="H416" s="258"/>
      <c r="I416" s="26" t="n">
        <v>1</v>
      </c>
      <c r="J416" s="26" t="n">
        <f aca="false">I416</f>
        <v>1</v>
      </c>
      <c r="K416" s="26" t="n">
        <f aca="false">J416</f>
        <v>1</v>
      </c>
      <c r="L416" s="26" t="n">
        <f aca="false">K416</f>
        <v>1</v>
      </c>
      <c r="M416" s="26" t="n">
        <f aca="false">L416</f>
        <v>1</v>
      </c>
      <c r="N416" s="26" t="n">
        <f aca="false">M416</f>
        <v>1</v>
      </c>
      <c r="O416" s="26" t="n">
        <f aca="false">N416</f>
        <v>1</v>
      </c>
      <c r="P416" s="26" t="n">
        <f aca="false">O416</f>
        <v>1</v>
      </c>
      <c r="Q416" s="26" t="n">
        <f aca="false">P416</f>
        <v>1</v>
      </c>
      <c r="R416" s="26" t="n">
        <f aca="false">Q416</f>
        <v>1</v>
      </c>
      <c r="S416" s="26" t="n">
        <f aca="false">R416</f>
        <v>1</v>
      </c>
      <c r="T416" s="26" t="n">
        <f aca="false">S416</f>
        <v>1</v>
      </c>
      <c r="U416" s="26" t="n">
        <f aca="false">T416</f>
        <v>1</v>
      </c>
      <c r="V416" s="26" t="n">
        <f aca="false">U416</f>
        <v>1</v>
      </c>
      <c r="W416" s="26" t="n">
        <f aca="false">V416</f>
        <v>1</v>
      </c>
      <c r="X416" s="26" t="n">
        <f aca="false">W416</f>
        <v>1</v>
      </c>
      <c r="Y416" s="26" t="n">
        <f aca="false">X416</f>
        <v>1</v>
      </c>
      <c r="Z416" s="26" t="n">
        <f aca="false">Y416</f>
        <v>1</v>
      </c>
      <c r="AA416" s="26" t="n">
        <f aca="false">Z416</f>
        <v>1</v>
      </c>
      <c r="AB416" s="26" t="n">
        <f aca="false">AA416</f>
        <v>1</v>
      </c>
      <c r="AC416" s="26" t="n">
        <f aca="false">AB416</f>
        <v>1</v>
      </c>
    </row>
    <row r="417" customFormat="false" ht="11.25" hidden="false" customHeight="false" outlineLevel="0" collapsed="false">
      <c r="B417" s="43" t="s">
        <v>527</v>
      </c>
      <c r="D417" s="35"/>
      <c r="H417" s="12"/>
      <c r="I417" s="120" t="n">
        <f aca="false">+I415*I416</f>
        <v>0</v>
      </c>
      <c r="J417" s="120" t="n">
        <f aca="false">+J415*J416</f>
        <v>0</v>
      </c>
      <c r="K417" s="120" t="n">
        <f aca="false">+K415*K416</f>
        <v>0</v>
      </c>
      <c r="L417" s="120" t="n">
        <f aca="false">+L415*L416</f>
        <v>0</v>
      </c>
      <c r="M417" s="120" t="n">
        <f aca="false">+M415*M416</f>
        <v>0</v>
      </c>
      <c r="N417" s="120" t="n">
        <f aca="false">+N415*N416</f>
        <v>0</v>
      </c>
      <c r="O417" s="120" t="n">
        <f aca="false">+O415*O416</f>
        <v>0</v>
      </c>
      <c r="P417" s="120" t="n">
        <f aca="false">+P415*P416</f>
        <v>0</v>
      </c>
      <c r="Q417" s="120" t="n">
        <f aca="false">+Q415*Q416</f>
        <v>0</v>
      </c>
      <c r="R417" s="120" t="n">
        <f aca="false">+R415*R416</f>
        <v>0</v>
      </c>
      <c r="S417" s="120" t="n">
        <f aca="false">+S415*S416</f>
        <v>0</v>
      </c>
      <c r="T417" s="120" t="n">
        <f aca="false">+T415*T416</f>
        <v>0</v>
      </c>
      <c r="U417" s="120" t="n">
        <f aca="false">+U415*U416</f>
        <v>0</v>
      </c>
      <c r="V417" s="120" t="n">
        <f aca="false">+V415*V416</f>
        <v>0</v>
      </c>
      <c r="W417" s="120" t="n">
        <f aca="false">+W415*W416</f>
        <v>0</v>
      </c>
      <c r="X417" s="120" t="n">
        <f aca="false">+X415*X416</f>
        <v>0</v>
      </c>
      <c r="Y417" s="120" t="n">
        <f aca="false">+Y415*Y416</f>
        <v>0</v>
      </c>
      <c r="Z417" s="120" t="n">
        <f aca="false">+Z415*Z416</f>
        <v>0</v>
      </c>
      <c r="AA417" s="120" t="n">
        <f aca="false">+AA415*AA416</f>
        <v>0</v>
      </c>
      <c r="AB417" s="120" t="n">
        <f aca="false">+AB415*AB416</f>
        <v>0</v>
      </c>
      <c r="AC417" s="120" t="n">
        <f aca="false">+AC415*AC416</f>
        <v>0</v>
      </c>
    </row>
    <row r="418" customFormat="false" ht="11.25" hidden="false" customHeight="false" outlineLevel="0" collapsed="false">
      <c r="D418" s="35"/>
    </row>
    <row r="419" customFormat="false" ht="11.25" hidden="false" customHeight="false" outlineLevel="0" collapsed="false">
      <c r="A419" s="4"/>
      <c r="B419" s="43" t="s">
        <v>528</v>
      </c>
      <c r="D419" s="102" t="n">
        <v>1</v>
      </c>
      <c r="I419" s="112" t="n">
        <f aca="false">IF($D419=1,I$227,IF($D419=2,I$230,IF($D419=3,I$232,IF($D419=4,I$234,IF($D419=5,I$236,I$227)))))</f>
        <v>0</v>
      </c>
      <c r="J419" s="112" t="n">
        <f aca="false">IF($D419=1,J$227,IF($D419=2,J$230,IF($D419=3,J$232,IF($D419=4,J$234,IF($D419=5,J$236,J$227)))))</f>
        <v>0</v>
      </c>
      <c r="K419" s="112" t="n">
        <f aca="false">IF($D419=1,K$227,IF($D419=2,K$230,IF($D419=3,K$232,IF($D419=4,K$234,IF($D419=5,K$236,K$227)))))</f>
        <v>0</v>
      </c>
      <c r="L419" s="112" t="n">
        <f aca="false">IF($D419=1,L$227,IF($D419=2,L$230,IF($D419=3,L$232,IF($D419=4,L$234,IF($D419=5,L$236,L$227)))))</f>
        <v>0</v>
      </c>
      <c r="M419" s="112" t="n">
        <f aca="false">IF($D419=1,M$227,IF($D419=2,M$230,IF($D419=3,M$232,IF($D419=4,M$234,IF($D419=5,M$236,M$227)))))</f>
        <v>0</v>
      </c>
      <c r="N419" s="112" t="n">
        <f aca="false">IF($D419=1,N$227,IF($D419=2,N$230,IF($D419=3,N$232,IF($D419=4,N$234,IF($D419=5,N$236,N$227)))))</f>
        <v>0</v>
      </c>
      <c r="O419" s="112" t="n">
        <f aca="false">IF($D419=1,O$227,IF($D419=2,O$230,IF($D419=3,O$232,IF($D419=4,O$234,IF($D419=5,O$236,O$227)))))</f>
        <v>0</v>
      </c>
      <c r="P419" s="112" t="n">
        <f aca="false">IF($D419=1,P$227,IF($D419=2,P$230,IF($D419=3,P$232,IF($D419=4,P$234,IF($D419=5,P$236,P$227)))))</f>
        <v>0</v>
      </c>
      <c r="Q419" s="112" t="n">
        <f aca="false">IF($D419=1,Q$227,IF($D419=2,Q$230,IF($D419=3,Q$232,IF($D419=4,Q$234,IF($D419=5,Q$236,Q$227)))))</f>
        <v>0</v>
      </c>
      <c r="R419" s="112" t="n">
        <f aca="false">IF($D419=1,R$227,IF($D419=2,R$230,IF($D419=3,R$232,IF($D419=4,R$234,IF($D419=5,R$236,R$227)))))</f>
        <v>0</v>
      </c>
      <c r="S419" s="112" t="n">
        <f aca="false">IF($D419=1,S$227,IF($D419=2,S$230,IF($D419=3,S$232,IF($D419=4,S$234,IF($D419=5,S$236,S$227)))))</f>
        <v>0</v>
      </c>
      <c r="T419" s="112" t="n">
        <f aca="false">IF($D419=1,T$227,IF($D419=2,T$230,IF($D419=3,T$232,IF($D419=4,T$234,IF($D419=5,T$236,T$227)))))</f>
        <v>0</v>
      </c>
      <c r="U419" s="112" t="n">
        <f aca="false">IF($D419=1,U$227,IF($D419=2,U$230,IF($D419=3,U$232,IF($D419=4,U$234,IF($D419=5,U$236,U$227)))))</f>
        <v>0</v>
      </c>
      <c r="V419" s="112" t="n">
        <f aca="false">IF($D419=1,V$227,IF($D419=2,V$230,IF($D419=3,V$232,IF($D419=4,V$234,IF($D419=5,V$236,V$227)))))</f>
        <v>0</v>
      </c>
      <c r="W419" s="112" t="n">
        <f aca="false">IF($D419=1,W$227,IF($D419=2,W$230,IF($D419=3,W$232,IF($D419=4,W$234,IF($D419=5,W$236,W$227)))))</f>
        <v>0</v>
      </c>
      <c r="X419" s="112" t="n">
        <f aca="false">IF($D419=1,X$227,IF($D419=2,X$230,IF($D419=3,X$232,IF($D419=4,X$234,IF($D419=5,X$236,X$227)))))</f>
        <v>0</v>
      </c>
      <c r="Y419" s="112" t="n">
        <f aca="false">IF($D419=1,Y$227,IF($D419=2,Y$230,IF($D419=3,Y$232,IF($D419=4,Y$234,IF($D419=5,Y$236,Y$227)))))</f>
        <v>0</v>
      </c>
      <c r="Z419" s="112" t="n">
        <f aca="false">IF($D419=1,Z$227,IF($D419=2,Z$230,IF($D419=3,Z$232,IF($D419=4,Z$234,IF($D419=5,Z$236,Z$227)))))</f>
        <v>0</v>
      </c>
      <c r="AA419" s="112" t="n">
        <f aca="false">IF($D419=1,AA$227,IF($D419=2,AA$230,IF($D419=3,AA$232,IF($D419=4,AA$234,IF($D419=5,AA$236,AA$227)))))</f>
        <v>0</v>
      </c>
      <c r="AB419" s="112" t="n">
        <f aca="false">IF($D419=1,AB$227,IF($D419=2,AB$230,IF($D419=3,AB$232,IF($D419=4,AB$234,IF($D419=5,AB$236,AB$227)))))</f>
        <v>0</v>
      </c>
      <c r="AC419" s="112" t="n">
        <f aca="false">IF($D419=1,AC$227,IF($D419=2,AC$230,IF($D419=3,AC$232,IF($D419=4,AC$234,IF($D419=5,AC$236,AC$227)))))</f>
        <v>0</v>
      </c>
    </row>
    <row r="420" customFormat="false" ht="11.25" hidden="false" customHeight="false" outlineLevel="0" collapsed="false">
      <c r="A420" s="4"/>
      <c r="B420" s="43" t="s">
        <v>179</v>
      </c>
      <c r="D420" s="35"/>
      <c r="I420" s="99" t="n">
        <v>0</v>
      </c>
      <c r="J420" s="99" t="n">
        <v>0</v>
      </c>
      <c r="K420" s="99" t="n">
        <v>0</v>
      </c>
      <c r="L420" s="99" t="n">
        <v>0</v>
      </c>
      <c r="M420" s="99" t="n">
        <v>0</v>
      </c>
      <c r="N420" s="99" t="n">
        <v>0</v>
      </c>
      <c r="O420" s="99" t="n">
        <v>0</v>
      </c>
      <c r="P420" s="99" t="n">
        <v>0</v>
      </c>
      <c r="Q420" s="99" t="n">
        <v>0</v>
      </c>
      <c r="R420" s="99" t="n">
        <v>0</v>
      </c>
      <c r="S420" s="99" t="n">
        <v>0</v>
      </c>
      <c r="T420" s="99" t="n">
        <v>0</v>
      </c>
      <c r="U420" s="99" t="n">
        <v>0</v>
      </c>
      <c r="V420" s="99" t="n">
        <v>0</v>
      </c>
      <c r="W420" s="99" t="n">
        <v>0</v>
      </c>
      <c r="X420" s="99" t="n">
        <v>0</v>
      </c>
      <c r="Y420" s="99" t="n">
        <v>0</v>
      </c>
      <c r="Z420" s="99" t="n">
        <v>0</v>
      </c>
      <c r="AA420" s="99" t="n">
        <v>0</v>
      </c>
      <c r="AB420" s="99" t="n">
        <v>0</v>
      </c>
      <c r="AC420" s="99" t="n">
        <v>0</v>
      </c>
    </row>
    <row r="421" customFormat="false" ht="11.25" hidden="false" customHeight="false" outlineLevel="0" collapsed="false">
      <c r="A421" s="4"/>
      <c r="B421" s="43" t="s">
        <v>529</v>
      </c>
      <c r="D421" s="35"/>
      <c r="I421" s="257" t="n">
        <f aca="false">+I419+I420</f>
        <v>0</v>
      </c>
      <c r="J421" s="257" t="n">
        <f aca="false">+J419+J420</f>
        <v>0</v>
      </c>
      <c r="K421" s="257" t="n">
        <f aca="false">+K419+K420</f>
        <v>0</v>
      </c>
      <c r="L421" s="257" t="n">
        <f aca="false">+L419+L420</f>
        <v>0</v>
      </c>
      <c r="M421" s="257" t="n">
        <f aca="false">+M419+M420</f>
        <v>0</v>
      </c>
      <c r="N421" s="257" t="n">
        <f aca="false">+N419+N420</f>
        <v>0</v>
      </c>
      <c r="O421" s="257" t="n">
        <f aca="false">+O419+O420</f>
        <v>0</v>
      </c>
      <c r="P421" s="257" t="n">
        <f aca="false">+P419+P420</f>
        <v>0</v>
      </c>
      <c r="Q421" s="257" t="n">
        <f aca="false">+Q419+Q420</f>
        <v>0</v>
      </c>
      <c r="R421" s="257" t="n">
        <f aca="false">+R419+R420</f>
        <v>0</v>
      </c>
      <c r="S421" s="257" t="n">
        <f aca="false">+S419+S420</f>
        <v>0</v>
      </c>
      <c r="T421" s="257" t="n">
        <f aca="false">+T419+T420</f>
        <v>0</v>
      </c>
      <c r="U421" s="257" t="n">
        <f aca="false">+U419+U420</f>
        <v>0</v>
      </c>
      <c r="V421" s="257" t="n">
        <f aca="false">+V419+V420</f>
        <v>0</v>
      </c>
      <c r="W421" s="257" t="n">
        <f aca="false">+W419+W420</f>
        <v>0</v>
      </c>
      <c r="X421" s="257" t="n">
        <f aca="false">+X419+X420</f>
        <v>0</v>
      </c>
      <c r="Y421" s="257" t="n">
        <f aca="false">+Y419+Y420</f>
        <v>0</v>
      </c>
      <c r="Z421" s="257" t="n">
        <f aca="false">+Z419+Z420</f>
        <v>0</v>
      </c>
      <c r="AA421" s="257" t="n">
        <f aca="false">+AA419+AA420</f>
        <v>0</v>
      </c>
      <c r="AB421" s="257" t="n">
        <f aca="false">+AB419+AB420</f>
        <v>0</v>
      </c>
      <c r="AC421" s="257" t="n">
        <f aca="false">+AC419+AC420</f>
        <v>0</v>
      </c>
    </row>
    <row r="422" customFormat="false" ht="11.25" hidden="false" customHeight="false" outlineLevel="0" collapsed="false">
      <c r="A422" s="4"/>
      <c r="B422" s="35" t="str">
        <f aca="false">+"NGL Revenue ($"&amp;$F$5</f>
        <v>NGL Revenue ($Thousands)</v>
      </c>
      <c r="D422" s="35"/>
      <c r="I422" s="116" t="n">
        <f aca="false">I417*I421*1000/unit</f>
        <v>0</v>
      </c>
      <c r="J422" s="116" t="n">
        <f aca="false">J417*J421*1000/unit</f>
        <v>0</v>
      </c>
      <c r="K422" s="116" t="n">
        <f aca="false">K417*K421*1000/unit</f>
        <v>0</v>
      </c>
      <c r="L422" s="116" t="n">
        <f aca="false">L417*L421*1000/unit</f>
        <v>0</v>
      </c>
      <c r="M422" s="116" t="n">
        <f aca="false">M417*M421*1000/unit</f>
        <v>0</v>
      </c>
      <c r="N422" s="116" t="n">
        <f aca="false">N417*N421*1000/unit</f>
        <v>0</v>
      </c>
      <c r="O422" s="116" t="n">
        <f aca="false">O417*O421*1000/unit</f>
        <v>0</v>
      </c>
      <c r="P422" s="116" t="n">
        <f aca="false">P417*P421*1000/unit</f>
        <v>0</v>
      </c>
      <c r="Q422" s="116" t="n">
        <f aca="false">Q417*Q421*1000/unit</f>
        <v>0</v>
      </c>
      <c r="R422" s="116" t="n">
        <f aca="false">R417*R421*1000/unit</f>
        <v>0</v>
      </c>
      <c r="S422" s="116" t="n">
        <f aca="false">S417*S421*1000/unit</f>
        <v>0</v>
      </c>
      <c r="T422" s="116" t="n">
        <f aca="false">T417*T421*1000/unit</f>
        <v>0</v>
      </c>
      <c r="U422" s="116" t="n">
        <f aca="false">U417*U421*1000/unit</f>
        <v>0</v>
      </c>
      <c r="V422" s="116" t="n">
        <f aca="false">V417*V421*1000/unit</f>
        <v>0</v>
      </c>
      <c r="W422" s="116" t="n">
        <f aca="false">W417*W421*1000/unit</f>
        <v>0</v>
      </c>
      <c r="X422" s="116" t="n">
        <f aca="false">X417*X421*1000/unit</f>
        <v>0</v>
      </c>
      <c r="Y422" s="116" t="n">
        <f aca="false">Y417*Y421*1000/unit</f>
        <v>0</v>
      </c>
      <c r="Z422" s="116" t="n">
        <f aca="false">Z417*Z421*1000/unit</f>
        <v>0</v>
      </c>
      <c r="AA422" s="116" t="n">
        <f aca="false">AA417*AA421*1000/unit</f>
        <v>0</v>
      </c>
      <c r="AB422" s="116" t="n">
        <f aca="false">AB417*AB421*1000/unit</f>
        <v>0</v>
      </c>
      <c r="AC422" s="116" t="n">
        <f aca="false">AC417*AC421*1000/unit</f>
        <v>0</v>
      </c>
    </row>
    <row r="423" customFormat="false" ht="11.25" hidden="false" customHeight="false" outlineLevel="0" collapsed="false">
      <c r="A423" s="4"/>
      <c r="B423" s="35"/>
      <c r="D423" s="35"/>
      <c r="E423" s="128"/>
      <c r="F423" s="128"/>
      <c r="G423" s="128"/>
      <c r="H423" s="111"/>
      <c r="I423" s="258"/>
      <c r="J423" s="258"/>
      <c r="K423" s="258"/>
      <c r="L423" s="258"/>
      <c r="M423" s="258"/>
      <c r="N423" s="258"/>
      <c r="O423" s="258"/>
      <c r="P423" s="258"/>
      <c r="Q423" s="258"/>
      <c r="R423" s="258"/>
      <c r="S423" s="258"/>
      <c r="T423" s="258"/>
      <c r="U423" s="258"/>
      <c r="V423" s="258"/>
      <c r="W423" s="258"/>
      <c r="X423" s="258"/>
      <c r="Y423" s="268"/>
      <c r="Z423" s="268"/>
      <c r="AA423" s="268"/>
      <c r="AB423" s="268"/>
      <c r="AC423" s="268"/>
    </row>
    <row r="424" customFormat="false" ht="11.25" hidden="false" customHeight="false" outlineLevel="0" collapsed="false">
      <c r="A424" s="153" t="str">
        <f aca="false">+"Total Revenues - "&amp;C14</f>
        <v>Total Revenues - PUD</v>
      </c>
      <c r="D424" s="35"/>
      <c r="E424" s="50" t="n">
        <v>0</v>
      </c>
      <c r="F424" s="50" t="n">
        <v>0</v>
      </c>
      <c r="G424" s="50" t="n">
        <v>0</v>
      </c>
      <c r="H424" s="50" t="n">
        <v>0</v>
      </c>
      <c r="I424" s="258" t="n">
        <f aca="false">I411+I395+I422</f>
        <v>-6.053625</v>
      </c>
      <c r="J424" s="258" t="n">
        <f aca="false">J411+J395+J422</f>
        <v>-135.849</v>
      </c>
      <c r="K424" s="258" t="n">
        <f aca="false">K411+K395+K422</f>
        <v>-229.423125</v>
      </c>
      <c r="L424" s="258" t="n">
        <f aca="false">L411+L395+L422</f>
        <v>-301.222125</v>
      </c>
      <c r="M424" s="258" t="n">
        <f aca="false">M411+M395+M422</f>
        <v>-333.234</v>
      </c>
      <c r="N424" s="258" t="n">
        <f aca="false">N411+N395+N422</f>
        <v>-363.45525</v>
      </c>
      <c r="O424" s="258" t="n">
        <f aca="false">O411+O395+O422</f>
        <v>-338.451</v>
      </c>
      <c r="P424" s="258" t="n">
        <f aca="false">P411+P395+P422</f>
        <v>-303.653625</v>
      </c>
      <c r="Q424" s="258" t="n">
        <f aca="false">Q411+Q395+Q422</f>
        <v>-270.858</v>
      </c>
      <c r="R424" s="258" t="n">
        <f aca="false">R411+R395+R422</f>
        <v>-232.9725</v>
      </c>
      <c r="S424" s="258" t="n">
        <f aca="false">S411+S395+S422</f>
        <v>-197.145</v>
      </c>
      <c r="T424" s="258" t="n">
        <f aca="false">T411+T395+T422</f>
        <v>-163.67775</v>
      </c>
      <c r="U424" s="258" t="n">
        <f aca="false">U411+U395+U422</f>
        <v>-135.056625</v>
      </c>
      <c r="V424" s="258" t="n">
        <f aca="false">V411+V395+V422</f>
        <v>-106.2495</v>
      </c>
      <c r="W424" s="258" t="n">
        <f aca="false">W411+W395+W422</f>
        <v>-82.956</v>
      </c>
      <c r="X424" s="258" t="n">
        <f aca="false">X411+X395+X422</f>
        <v>-62.655</v>
      </c>
      <c r="Y424" s="258" t="n">
        <f aca="false">Y411+Y395+Y422</f>
        <v>-43.127625</v>
      </c>
      <c r="Z424" s="258" t="n">
        <f aca="false">Z411+Z395+Z422</f>
        <v>-22.46925</v>
      </c>
      <c r="AA424" s="258" t="n">
        <f aca="false">AA411+AA395+AA422</f>
        <v>-10.9545</v>
      </c>
      <c r="AB424" s="258" t="n">
        <f aca="false">AB411+AB395+AB422</f>
        <v>-3.35025</v>
      </c>
      <c r="AC424" s="258" t="n">
        <f aca="false">AC411+AC395+AC422</f>
        <v>-1.3185</v>
      </c>
    </row>
    <row r="425" customFormat="false" ht="12" hidden="false" customHeight="false" outlineLevel="0" collapsed="false">
      <c r="A425" s="4"/>
      <c r="B425" s="35"/>
      <c r="D425" s="35"/>
      <c r="E425" s="110"/>
      <c r="F425" s="110"/>
      <c r="G425" s="110"/>
      <c r="H425" s="111"/>
      <c r="I425" s="258"/>
      <c r="J425" s="258"/>
      <c r="K425" s="258"/>
      <c r="L425" s="258"/>
      <c r="M425" s="258"/>
      <c r="N425" s="258"/>
      <c r="O425" s="258"/>
      <c r="P425" s="258"/>
      <c r="Q425" s="258"/>
      <c r="R425" s="258"/>
      <c r="S425" s="258"/>
      <c r="T425" s="258"/>
      <c r="U425" s="258"/>
      <c r="V425" s="258"/>
      <c r="W425" s="258"/>
      <c r="X425" s="258"/>
      <c r="Y425" s="268"/>
      <c r="Z425" s="268"/>
      <c r="AA425" s="268"/>
      <c r="AB425" s="268"/>
      <c r="AC425" s="268"/>
    </row>
    <row r="426" customFormat="false" ht="12" hidden="false" customHeight="false" outlineLevel="0" collapsed="false">
      <c r="A426" s="130"/>
      <c r="B426" s="130"/>
      <c r="C426" s="130"/>
      <c r="D426" s="130"/>
      <c r="E426" s="130"/>
      <c r="F426" s="130"/>
      <c r="G426" s="130"/>
      <c r="H426" s="130"/>
      <c r="I426" s="130"/>
      <c r="J426" s="130"/>
      <c r="K426" s="130"/>
      <c r="L426" s="130"/>
      <c r="M426" s="130"/>
      <c r="N426" s="130"/>
      <c r="O426" s="130"/>
      <c r="P426" s="130"/>
      <c r="Q426" s="130"/>
      <c r="R426" s="130"/>
      <c r="S426" s="130"/>
      <c r="T426" s="130"/>
      <c r="U426" s="130"/>
      <c r="V426" s="130"/>
      <c r="W426" s="130"/>
      <c r="X426" s="130"/>
      <c r="Y426" s="130"/>
      <c r="Z426" s="130"/>
      <c r="AA426" s="130"/>
      <c r="AB426" s="130"/>
      <c r="AC426" s="130"/>
    </row>
    <row r="427" customFormat="false" ht="11.25" hidden="false" customHeight="false" outlineLevel="0" collapsed="false">
      <c r="A427" s="4"/>
      <c r="B427" s="4" t="s">
        <v>192</v>
      </c>
      <c r="C427" s="103"/>
      <c r="D427" s="103"/>
      <c r="E427" s="111"/>
      <c r="F427" s="111"/>
      <c r="G427" s="111"/>
      <c r="H427" s="111"/>
      <c r="I427" s="258"/>
      <c r="J427" s="258"/>
      <c r="K427" s="258"/>
      <c r="L427" s="258"/>
      <c r="M427" s="258"/>
      <c r="N427" s="258"/>
      <c r="O427" s="258"/>
      <c r="P427" s="258"/>
      <c r="Q427" s="258"/>
      <c r="R427" s="258"/>
      <c r="S427" s="258"/>
      <c r="T427" s="258"/>
      <c r="U427" s="258"/>
      <c r="V427" s="258"/>
      <c r="W427" s="258"/>
      <c r="X427" s="258"/>
      <c r="Y427" s="258"/>
      <c r="Z427" s="258"/>
      <c r="AA427" s="258"/>
      <c r="AB427" s="258"/>
      <c r="AC427" s="258"/>
    </row>
    <row r="428" customFormat="false" ht="11.25" hidden="false" customHeight="false" outlineLevel="0" collapsed="false">
      <c r="A428" s="4"/>
      <c r="B428" s="43" t="s">
        <v>193</v>
      </c>
      <c r="C428" s="131" t="s">
        <v>194</v>
      </c>
      <c r="D428" s="102" t="n">
        <v>6</v>
      </c>
      <c r="F428" s="111"/>
      <c r="G428" s="111"/>
      <c r="H428" s="111" t="s">
        <v>195</v>
      </c>
      <c r="I428" s="258" t="n">
        <f aca="false">(I390+(I406/$D428)+I417)*1000</f>
        <v>2690.5</v>
      </c>
      <c r="J428" s="258" t="n">
        <f aca="false">(J390+(J406/$D428)+J417)*1000</f>
        <v>60377.3333333333</v>
      </c>
      <c r="K428" s="258" t="n">
        <f aca="false">(K390+(K406/$D428)+K417)*1000</f>
        <v>101965.833333333</v>
      </c>
      <c r="L428" s="258" t="n">
        <f aca="false">(L390+(L406/$D428)+L417)*1000</f>
        <v>133876.5</v>
      </c>
      <c r="M428" s="258" t="n">
        <f aca="false">(M390+(M406/$D428)+M417)*1000</f>
        <v>148104</v>
      </c>
      <c r="N428" s="258" t="n">
        <f aca="false">(N390+(N406/$D428)+N417)*1000</f>
        <v>161535.666666667</v>
      </c>
      <c r="O428" s="258" t="n">
        <f aca="false">(O390+(O406/$D428)+O417)*1000</f>
        <v>150422.666666667</v>
      </c>
      <c r="P428" s="258" t="n">
        <f aca="false">(P390+(P406/$D428)+P417)*1000</f>
        <v>134957.166666667</v>
      </c>
      <c r="Q428" s="258" t="n">
        <f aca="false">(Q390+(Q406/$D428)+Q417)*1000</f>
        <v>120381.333333333</v>
      </c>
      <c r="R428" s="258" t="n">
        <f aca="false">(R390+(R406/$D428)+R417)*1000</f>
        <v>103543.333333333</v>
      </c>
      <c r="S428" s="258" t="n">
        <f aca="false">(S390+(S406/$D428)+S417)*1000</f>
        <v>87620</v>
      </c>
      <c r="T428" s="258" t="n">
        <f aca="false">(T390+(T406/$D428)+T417)*1000</f>
        <v>72745.6666666667</v>
      </c>
      <c r="U428" s="258" t="n">
        <f aca="false">(U390+(U406/$D428)+U417)*1000</f>
        <v>60025.1666666667</v>
      </c>
      <c r="V428" s="258" t="n">
        <f aca="false">(V390+(V406/$D428)+V417)*1000</f>
        <v>47222</v>
      </c>
      <c r="W428" s="258" t="n">
        <f aca="false">(W390+(W406/$D428)+W417)*1000</f>
        <v>36869.3333333333</v>
      </c>
      <c r="X428" s="258" t="n">
        <f aca="false">(X390+(X406/$D428)+X417)*1000</f>
        <v>27846.6666666667</v>
      </c>
      <c r="Y428" s="258" t="n">
        <f aca="false">(Y390+(Y406/$D428)+Y417)*1000</f>
        <v>19167.8333333333</v>
      </c>
      <c r="Z428" s="258" t="n">
        <f aca="false">(Z390+(Z406/$D428)+Z417)*1000</f>
        <v>9986.33333333333</v>
      </c>
      <c r="AA428" s="258" t="n">
        <f aca="false">(AA390+(AA406/$D428)+AA417)*1000</f>
        <v>4868.66666666667</v>
      </c>
      <c r="AB428" s="258" t="n">
        <f aca="false">(AB390+(AB406/$D428)+AB417)*1000</f>
        <v>1489</v>
      </c>
      <c r="AC428" s="258" t="n">
        <f aca="false">(AC390+(AC406/$D428)+AC417)*1000</f>
        <v>586</v>
      </c>
    </row>
    <row r="429" customFormat="false" ht="11.25" hidden="false" customHeight="false" outlineLevel="0" collapsed="false">
      <c r="A429" s="4"/>
      <c r="B429" s="65"/>
      <c r="C429" s="131"/>
      <c r="D429" s="103"/>
      <c r="E429" s="111"/>
      <c r="F429" s="111"/>
      <c r="G429" s="111"/>
      <c r="H429" s="111"/>
      <c r="I429" s="258"/>
      <c r="J429" s="258"/>
      <c r="K429" s="258"/>
      <c r="L429" s="258"/>
      <c r="M429" s="258"/>
      <c r="N429" s="258"/>
      <c r="O429" s="258"/>
      <c r="P429" s="258"/>
      <c r="Q429" s="258"/>
      <c r="R429" s="258"/>
      <c r="S429" s="258"/>
      <c r="T429" s="258"/>
      <c r="U429" s="258"/>
      <c r="V429" s="258"/>
      <c r="W429" s="258"/>
      <c r="X429" s="258"/>
      <c r="Y429" s="258"/>
      <c r="Z429" s="258"/>
      <c r="AA429" s="258"/>
      <c r="AB429" s="258"/>
      <c r="AC429" s="258"/>
    </row>
    <row r="430" customFormat="false" ht="11.25" hidden="false" customHeight="false" outlineLevel="0" collapsed="false">
      <c r="A430" s="4"/>
      <c r="B430" s="138" t="s">
        <v>157</v>
      </c>
      <c r="C430" s="132" t="s">
        <v>162</v>
      </c>
      <c r="E430" s="43" t="s">
        <v>196</v>
      </c>
      <c r="H430" s="245" t="n">
        <v>0</v>
      </c>
      <c r="I430" s="274" t="s">
        <v>530</v>
      </c>
      <c r="J430" s="274" t="s">
        <v>537</v>
      </c>
      <c r="K430" s="274" t="s">
        <v>532</v>
      </c>
      <c r="L430" s="12"/>
      <c r="M430" s="12"/>
      <c r="N430" s="12"/>
      <c r="O430" s="12"/>
      <c r="P430" s="12"/>
      <c r="Q430" s="12"/>
      <c r="R430" s="12"/>
      <c r="S430" s="12"/>
      <c r="T430" s="12"/>
      <c r="U430" s="12"/>
      <c r="V430" s="12"/>
      <c r="W430" s="12"/>
      <c r="X430" s="12"/>
      <c r="Y430" s="12"/>
      <c r="Z430" s="12"/>
      <c r="AA430" s="12"/>
      <c r="AB430" s="12"/>
      <c r="AC430" s="12"/>
    </row>
    <row r="431" customFormat="false" ht="11.25" hidden="false" customHeight="false" outlineLevel="0" collapsed="false">
      <c r="A431" s="4"/>
      <c r="B431" s="43" t="s">
        <v>158</v>
      </c>
      <c r="C431" s="132"/>
      <c r="E431" s="67" t="s">
        <v>197</v>
      </c>
      <c r="H431" s="26" t="n">
        <v>1</v>
      </c>
      <c r="I431" s="274" t="n">
        <v>0.7</v>
      </c>
      <c r="J431" s="275" t="n">
        <v>1</v>
      </c>
      <c r="K431" s="274" t="n">
        <v>1.15</v>
      </c>
      <c r="L431" s="12"/>
      <c r="M431" s="12"/>
      <c r="N431" s="12"/>
      <c r="O431" s="12"/>
      <c r="P431" s="12"/>
      <c r="Q431" s="12"/>
      <c r="R431" s="12"/>
      <c r="S431" s="12"/>
      <c r="T431" s="12"/>
      <c r="U431" s="12"/>
      <c r="V431" s="12"/>
      <c r="W431" s="12"/>
      <c r="X431" s="12"/>
      <c r="Y431" s="12"/>
      <c r="Z431" s="12"/>
      <c r="AA431" s="12"/>
      <c r="AB431" s="12"/>
      <c r="AC431" s="12"/>
    </row>
    <row r="432" customFormat="false" ht="11.25" hidden="false" customHeight="false" outlineLevel="0" collapsed="false">
      <c r="A432" s="4"/>
      <c r="B432" s="43" t="s">
        <v>159</v>
      </c>
      <c r="C432" s="132"/>
      <c r="E432" s="43" t="s">
        <v>198</v>
      </c>
      <c r="H432" s="88" t="n">
        <f aca="false">+H430*H431</f>
        <v>0</v>
      </c>
      <c r="I432" s="12"/>
      <c r="J432" s="12"/>
      <c r="K432" s="12"/>
      <c r="L432" s="12"/>
      <c r="M432" s="12"/>
      <c r="N432" s="12"/>
      <c r="O432" s="12"/>
      <c r="P432" s="12"/>
      <c r="Q432" s="12"/>
      <c r="R432" s="12"/>
      <c r="S432" s="12"/>
      <c r="T432" s="12"/>
      <c r="U432" s="12"/>
      <c r="V432" s="12"/>
      <c r="W432" s="12"/>
      <c r="X432" s="12"/>
      <c r="Y432" s="12"/>
      <c r="Z432" s="12"/>
      <c r="AA432" s="12"/>
      <c r="AB432" s="12"/>
      <c r="AC432" s="12"/>
    </row>
    <row r="433" customFormat="false" ht="11.25" hidden="false" customHeight="false" outlineLevel="0" collapsed="false">
      <c r="A433" s="4"/>
      <c r="B433" s="43" t="s">
        <v>160</v>
      </c>
      <c r="C433" s="132"/>
      <c r="E433" s="43" t="s">
        <v>199</v>
      </c>
      <c r="H433" s="141" t="n">
        <v>3</v>
      </c>
      <c r="I433" s="276" t="n">
        <v>0</v>
      </c>
      <c r="J433" s="276" t="n">
        <v>0</v>
      </c>
      <c r="K433" s="276" t="n">
        <v>0</v>
      </c>
      <c r="L433" s="276" t="n">
        <v>0</v>
      </c>
      <c r="M433" s="276" t="n">
        <v>0</v>
      </c>
      <c r="N433" s="276" t="n">
        <v>0</v>
      </c>
      <c r="O433" s="276" t="n">
        <v>0</v>
      </c>
      <c r="P433" s="276" t="n">
        <v>0</v>
      </c>
      <c r="Q433" s="276" t="n">
        <v>0</v>
      </c>
      <c r="R433" s="276" t="n">
        <v>0</v>
      </c>
      <c r="S433" s="276" t="n">
        <v>0</v>
      </c>
      <c r="T433" s="276" t="n">
        <v>0</v>
      </c>
      <c r="U433" s="276" t="n">
        <v>0</v>
      </c>
      <c r="V433" s="276" t="n">
        <v>0</v>
      </c>
      <c r="W433" s="276" t="n">
        <v>0</v>
      </c>
      <c r="X433" s="276" t="n">
        <v>0</v>
      </c>
      <c r="Y433" s="276" t="n">
        <v>0</v>
      </c>
      <c r="Z433" s="276" t="n">
        <v>0</v>
      </c>
      <c r="AA433" s="276" t="n">
        <v>0</v>
      </c>
      <c r="AB433" s="276" t="n">
        <v>0</v>
      </c>
      <c r="AC433" s="276" t="n">
        <v>0</v>
      </c>
    </row>
    <row r="434" customFormat="false" ht="11.25" hidden="false" customHeight="false" outlineLevel="0" collapsed="false">
      <c r="A434" s="4"/>
      <c r="B434" s="138" t="s">
        <v>200</v>
      </c>
      <c r="E434" s="88"/>
      <c r="F434" s="88"/>
      <c r="G434" s="88"/>
      <c r="H434" s="88"/>
      <c r="I434" s="88" t="n">
        <f aca="false">I433*$J$431*$H$431</f>
        <v>0</v>
      </c>
      <c r="J434" s="88" t="n">
        <f aca="false">J433*$J$431*$H$431</f>
        <v>0</v>
      </c>
      <c r="K434" s="88" t="n">
        <f aca="false">K433*$J$431*$H$431</f>
        <v>0</v>
      </c>
      <c r="L434" s="88" t="n">
        <f aca="false">L433*$J$431*$H$431</f>
        <v>0</v>
      </c>
      <c r="M434" s="88" t="n">
        <f aca="false">M433*$J$431*$H$431</f>
        <v>0</v>
      </c>
      <c r="N434" s="88" t="n">
        <f aca="false">N433*$J$431*$H$431</f>
        <v>0</v>
      </c>
      <c r="O434" s="88" t="n">
        <f aca="false">O433*$J$431*$H$431</f>
        <v>0</v>
      </c>
      <c r="P434" s="88" t="n">
        <f aca="false">P433*$J$431*$H$431</f>
        <v>0</v>
      </c>
      <c r="Q434" s="88" t="n">
        <f aca="false">Q433*$J$431*$H$431</f>
        <v>0</v>
      </c>
      <c r="R434" s="88" t="n">
        <f aca="false">R433*$J$431*$H$431</f>
        <v>0</v>
      </c>
      <c r="S434" s="88" t="n">
        <f aca="false">S433*$J$431*$H$431</f>
        <v>0</v>
      </c>
      <c r="T434" s="88" t="n">
        <f aca="false">T433*$J$431*$H$431</f>
        <v>0</v>
      </c>
      <c r="U434" s="88" t="n">
        <f aca="false">U433*$J$431*$H$431</f>
        <v>0</v>
      </c>
      <c r="V434" s="88" t="n">
        <f aca="false">V433*$J$431*$H$431</f>
        <v>0</v>
      </c>
      <c r="W434" s="88" t="n">
        <f aca="false">W433*$J$431*$H$431</f>
        <v>0</v>
      </c>
      <c r="X434" s="88" t="n">
        <f aca="false">X433*$J$431*$H$431</f>
        <v>0</v>
      </c>
      <c r="Y434" s="88" t="n">
        <f aca="false">Y433*$J$431*$H$431</f>
        <v>0</v>
      </c>
      <c r="Z434" s="88" t="n">
        <f aca="false">Z433*$J$431*$H$431</f>
        <v>0</v>
      </c>
      <c r="AA434" s="88" t="n">
        <f aca="false">AA433*$J$431*$H$431</f>
        <v>0</v>
      </c>
      <c r="AB434" s="88" t="n">
        <f aca="false">AB433*$J$431*$H$431</f>
        <v>0</v>
      </c>
      <c r="AC434" s="88" t="n">
        <f aca="false">AC433*$J$431*$H$431</f>
        <v>0</v>
      </c>
    </row>
    <row r="435" customFormat="false" ht="11.25" hidden="false" customHeight="false" outlineLevel="0" collapsed="false">
      <c r="A435" s="4"/>
      <c r="B435" s="138"/>
      <c r="E435" s="88"/>
      <c r="F435" s="88"/>
      <c r="G435" s="88"/>
      <c r="H435" s="88"/>
      <c r="I435" s="88"/>
      <c r="J435" s="88"/>
      <c r="K435" s="88"/>
      <c r="L435" s="88"/>
      <c r="M435" s="88"/>
      <c r="N435" s="88"/>
      <c r="O435" s="88"/>
      <c r="P435" s="88"/>
      <c r="Q435" s="88"/>
      <c r="R435" s="88"/>
      <c r="S435" s="88"/>
      <c r="T435" s="88"/>
      <c r="U435" s="88"/>
      <c r="V435" s="88"/>
      <c r="W435" s="88"/>
      <c r="X435" s="88"/>
      <c r="Y435" s="88"/>
      <c r="Z435" s="88"/>
      <c r="AA435" s="88"/>
      <c r="AB435" s="88"/>
      <c r="AC435" s="88"/>
    </row>
    <row r="436" customFormat="false" ht="11.25" hidden="false" customHeight="false" outlineLevel="0" collapsed="false">
      <c r="A436" s="4"/>
      <c r="B436" s="138" t="s">
        <v>201</v>
      </c>
      <c r="E436" s="88" t="s">
        <v>533</v>
      </c>
      <c r="F436" s="88"/>
      <c r="G436" s="88"/>
      <c r="H436" s="26" t="n">
        <v>0.092</v>
      </c>
      <c r="I436" s="88" t="n">
        <f aca="false">+$H436*I424</f>
        <v>-0.5569335</v>
      </c>
      <c r="J436" s="88" t="n">
        <f aca="false">+$H436*J424</f>
        <v>-12.498108</v>
      </c>
      <c r="K436" s="88" t="n">
        <f aca="false">+$H436*K424</f>
        <v>-21.1069275</v>
      </c>
      <c r="L436" s="88" t="n">
        <f aca="false">+$H436*L424</f>
        <v>-27.7124355</v>
      </c>
      <c r="M436" s="88" t="n">
        <f aca="false">+$H436*M424</f>
        <v>-30.657528</v>
      </c>
      <c r="N436" s="88" t="n">
        <f aca="false">+$H436*N424</f>
        <v>-33.437883</v>
      </c>
      <c r="O436" s="88" t="n">
        <f aca="false">+$H436*O424</f>
        <v>-31.137492</v>
      </c>
      <c r="P436" s="88" t="n">
        <f aca="false">+$H436*P424</f>
        <v>-27.9361335</v>
      </c>
      <c r="Q436" s="88" t="n">
        <f aca="false">+$H436*Q424</f>
        <v>-24.918936</v>
      </c>
      <c r="R436" s="88" t="n">
        <f aca="false">+$H436*R424</f>
        <v>-21.43347</v>
      </c>
      <c r="S436" s="88" t="n">
        <f aca="false">+$H436*S424</f>
        <v>-18.13734</v>
      </c>
      <c r="T436" s="88" t="n">
        <f aca="false">+$H436*T424</f>
        <v>-15.058353</v>
      </c>
      <c r="U436" s="88" t="n">
        <f aca="false">+$H436*U424</f>
        <v>-12.4252095</v>
      </c>
      <c r="V436" s="88" t="n">
        <f aca="false">+$H436*V424</f>
        <v>-9.774954</v>
      </c>
      <c r="W436" s="88" t="n">
        <f aca="false">+$H436*W424</f>
        <v>-7.631952</v>
      </c>
      <c r="X436" s="88" t="n">
        <f aca="false">+$H436*X424</f>
        <v>-5.76426</v>
      </c>
      <c r="Y436" s="88" t="n">
        <f aca="false">+$H436*Y424</f>
        <v>-3.9677415</v>
      </c>
      <c r="Z436" s="88" t="n">
        <f aca="false">+$H436*Z424</f>
        <v>-2.067171</v>
      </c>
      <c r="AA436" s="88" t="n">
        <f aca="false">+$H436*AA424</f>
        <v>-1.007814</v>
      </c>
      <c r="AB436" s="88" t="n">
        <f aca="false">+$H436*AB424</f>
        <v>-0.308223</v>
      </c>
      <c r="AC436" s="88" t="n">
        <f aca="false">+$H436*AC424</f>
        <v>-0.121302</v>
      </c>
    </row>
    <row r="437" customFormat="false" ht="11.25" hidden="false" customHeight="false" outlineLevel="0" collapsed="false">
      <c r="A437" s="4"/>
      <c r="B437" s="138"/>
      <c r="E437" s="88"/>
      <c r="F437" s="88"/>
      <c r="G437" s="88"/>
      <c r="H437" s="88"/>
      <c r="I437" s="88"/>
      <c r="J437" s="88"/>
      <c r="K437" s="88"/>
      <c r="L437" s="88"/>
      <c r="M437" s="88"/>
      <c r="N437" s="88"/>
      <c r="O437" s="88"/>
      <c r="P437" s="88"/>
      <c r="Q437" s="88"/>
      <c r="R437" s="88"/>
      <c r="S437" s="88"/>
      <c r="T437" s="88"/>
      <c r="U437" s="88"/>
      <c r="V437" s="88"/>
      <c r="W437" s="88"/>
      <c r="X437" s="88"/>
      <c r="Y437" s="88"/>
      <c r="Z437" s="88"/>
      <c r="AA437" s="88"/>
      <c r="AB437" s="88"/>
      <c r="AC437" s="88"/>
    </row>
    <row r="438" customFormat="false" ht="11.25" hidden="false" customHeight="false" outlineLevel="0" collapsed="false">
      <c r="A438" s="4"/>
      <c r="B438" s="138" t="s">
        <v>203</v>
      </c>
      <c r="E438" s="88"/>
      <c r="F438" s="88"/>
      <c r="G438" s="88"/>
      <c r="H438" s="88"/>
      <c r="I438" s="88"/>
      <c r="J438" s="88"/>
      <c r="K438" s="88"/>
      <c r="L438" s="88"/>
      <c r="M438" s="88"/>
      <c r="N438" s="88"/>
      <c r="O438" s="88"/>
      <c r="P438" s="88"/>
      <c r="Q438" s="88"/>
      <c r="R438" s="88"/>
      <c r="S438" s="88"/>
      <c r="T438" s="88"/>
      <c r="U438" s="88"/>
      <c r="V438" s="88"/>
      <c r="W438" s="88"/>
      <c r="X438" s="88"/>
      <c r="Y438" s="88"/>
      <c r="Z438" s="88"/>
      <c r="AA438" s="88"/>
      <c r="AB438" s="88"/>
      <c r="AC438" s="88"/>
    </row>
    <row r="439" customFormat="false" ht="11.25" hidden="false" customHeight="false" outlineLevel="0" collapsed="false">
      <c r="A439" s="4"/>
      <c r="B439" s="94" t="s">
        <v>157</v>
      </c>
      <c r="C439" s="132" t="s">
        <v>162</v>
      </c>
      <c r="E439" s="43" t="s">
        <v>204</v>
      </c>
      <c r="H439" s="141" t="n">
        <v>0</v>
      </c>
      <c r="I439" s="140"/>
      <c r="J439" s="140"/>
      <c r="K439" s="140"/>
      <c r="L439" s="140"/>
      <c r="M439" s="140"/>
      <c r="N439" s="140"/>
      <c r="O439" s="140"/>
      <c r="P439" s="140"/>
      <c r="Q439" s="140"/>
      <c r="R439" s="140"/>
      <c r="S439" s="140"/>
      <c r="T439" s="140"/>
      <c r="U439" s="140"/>
      <c r="V439" s="140"/>
      <c r="W439" s="140"/>
      <c r="X439" s="140"/>
      <c r="Y439" s="140"/>
      <c r="Z439" s="140"/>
      <c r="AA439" s="140"/>
      <c r="AB439" s="140"/>
      <c r="AC439" s="140"/>
    </row>
    <row r="440" customFormat="false" ht="11.25" hidden="false" customHeight="false" outlineLevel="0" collapsed="false">
      <c r="A440" s="4"/>
      <c r="B440" s="133" t="s">
        <v>158</v>
      </c>
      <c r="C440" s="132"/>
      <c r="E440" s="67" t="s">
        <v>197</v>
      </c>
      <c r="H440" s="26" t="n">
        <v>1</v>
      </c>
      <c r="I440" s="80"/>
      <c r="J440" s="80"/>
      <c r="K440" s="80"/>
      <c r="L440" s="80"/>
      <c r="M440" s="80"/>
      <c r="N440" s="80"/>
      <c r="O440" s="80"/>
      <c r="P440" s="80"/>
      <c r="Q440" s="80"/>
      <c r="R440" s="80"/>
      <c r="S440" s="80"/>
      <c r="T440" s="80"/>
      <c r="U440" s="80"/>
      <c r="V440" s="80"/>
      <c r="W440" s="80"/>
      <c r="X440" s="80"/>
      <c r="Y440" s="80"/>
      <c r="Z440" s="80"/>
      <c r="AA440" s="80"/>
      <c r="AB440" s="80"/>
      <c r="AC440" s="80"/>
    </row>
    <row r="441" customFormat="false" ht="11.25" hidden="false" customHeight="false" outlineLevel="0" collapsed="false">
      <c r="A441" s="4"/>
      <c r="B441" s="133" t="s">
        <v>159</v>
      </c>
      <c r="C441" s="132"/>
      <c r="E441" s="43" t="s">
        <v>198</v>
      </c>
      <c r="H441" s="88" t="n">
        <f aca="false">+H439*H440</f>
        <v>0</v>
      </c>
      <c r="I441" s="12"/>
      <c r="J441" s="12"/>
      <c r="K441" s="12"/>
      <c r="L441" s="12"/>
      <c r="M441" s="12"/>
      <c r="N441" s="12"/>
      <c r="O441" s="12"/>
      <c r="P441" s="12"/>
      <c r="Q441" s="12"/>
      <c r="R441" s="12"/>
      <c r="S441" s="12"/>
      <c r="T441" s="12"/>
      <c r="U441" s="12"/>
      <c r="V441" s="12"/>
      <c r="W441" s="12"/>
      <c r="X441" s="12"/>
      <c r="Y441" s="12"/>
      <c r="Z441" s="12"/>
      <c r="AA441" s="12"/>
      <c r="AB441" s="12"/>
      <c r="AC441" s="12"/>
    </row>
    <row r="442" customFormat="false" ht="11.25" hidden="false" customHeight="false" outlineLevel="0" collapsed="false">
      <c r="A442" s="4"/>
      <c r="B442" s="133" t="s">
        <v>160</v>
      </c>
      <c r="C442" s="132"/>
      <c r="E442" s="43" t="s">
        <v>199</v>
      </c>
      <c r="H442" s="141" t="n">
        <v>1</v>
      </c>
      <c r="I442" s="137"/>
      <c r="J442" s="137"/>
      <c r="K442" s="137"/>
      <c r="L442" s="137"/>
      <c r="M442" s="137"/>
      <c r="N442" s="137"/>
      <c r="O442" s="137"/>
      <c r="P442" s="137"/>
      <c r="Q442" s="137"/>
      <c r="R442" s="137"/>
      <c r="S442" s="137"/>
      <c r="T442" s="137"/>
      <c r="U442" s="137"/>
      <c r="V442" s="137"/>
      <c r="W442" s="137"/>
      <c r="X442" s="137"/>
      <c r="Y442" s="137"/>
      <c r="Z442" s="137"/>
      <c r="AA442" s="137"/>
      <c r="AB442" s="137"/>
      <c r="AC442" s="137"/>
    </row>
    <row r="443" customFormat="false" ht="11.25" hidden="false" customHeight="false" outlineLevel="0" collapsed="false">
      <c r="A443" s="4"/>
      <c r="B443" s="138" t="s">
        <v>205</v>
      </c>
      <c r="E443" s="88"/>
      <c r="F443" s="88"/>
      <c r="G443" s="88"/>
      <c r="H443" s="88"/>
      <c r="I443" s="88" t="n">
        <f aca="false">($H441)*(IF($H442=1,I$185,IF($H442=2,I$188,IF($H442=3,I$191,0))))*(stub)</f>
        <v>0</v>
      </c>
      <c r="J443" s="88" t="n">
        <f aca="false">($H441)*(IF($H442=1,J$185,IF($H442=2,J$188,IF($H442=3,J$191,0))))</f>
        <v>0</v>
      </c>
      <c r="K443" s="88" t="n">
        <f aca="false">($H441)*(IF($H442=1,K$185,IF($H442=2,K$188,IF($H442=3,K$191,0))))</f>
        <v>0</v>
      </c>
      <c r="L443" s="88" t="n">
        <f aca="false">($H441)*(IF($H442=1,L$185,IF($H442=2,L$188,IF($H442=3,L$191,0))))</f>
        <v>0</v>
      </c>
      <c r="M443" s="88" t="n">
        <f aca="false">($H441)*(IF($H442=1,M$185,IF($H442=2,M$188,IF($H442=3,M$191,0))))</f>
        <v>0</v>
      </c>
      <c r="N443" s="88" t="n">
        <f aca="false">($H441)*(IF($H442=1,N$185,IF($H442=2,N$188,IF($H442=3,N$191,0))))</f>
        <v>0</v>
      </c>
      <c r="O443" s="88" t="n">
        <f aca="false">($H441)*(IF($H442=1,O$185,IF($H442=2,O$188,IF($H442=3,O$191,0))))</f>
        <v>0</v>
      </c>
      <c r="P443" s="88" t="n">
        <f aca="false">($H441)*(IF($H442=1,P$185,IF($H442=2,P$188,IF($H442=3,P$191,0))))</f>
        <v>0</v>
      </c>
      <c r="Q443" s="88" t="n">
        <f aca="false">($H441)*(IF($H442=1,Q$185,IF($H442=2,Q$188,IF($H442=3,Q$191,0))))</f>
        <v>0</v>
      </c>
      <c r="R443" s="88" t="n">
        <f aca="false">($H441)*(IF($H442=1,R$185,IF($H442=2,R$188,IF($H442=3,R$191,0))))</f>
        <v>0</v>
      </c>
      <c r="S443" s="88" t="n">
        <f aca="false">($H441)*(IF($H442=1,S$185,IF($H442=2,S$188,IF($H442=3,S$191,0))))</f>
        <v>0</v>
      </c>
      <c r="T443" s="88" t="n">
        <f aca="false">($H441)*(IF($H442=1,T$185,IF($H442=2,T$188,IF($H442=3,T$191,0))))</f>
        <v>0</v>
      </c>
      <c r="U443" s="88" t="n">
        <f aca="false">($H441)*(IF($H442=1,U$185,IF($H442=2,U$188,IF($H442=3,U$191,0))))</f>
        <v>0</v>
      </c>
      <c r="V443" s="88" t="n">
        <f aca="false">($H441)*(IF($H442=1,V$185,IF($H442=2,V$188,IF($H442=3,V$191,0))))</f>
        <v>0</v>
      </c>
      <c r="W443" s="88" t="n">
        <f aca="false">($H441)*(IF($H442=1,W$185,IF($H442=2,W$188,IF($H442=3,W$191,0))))</f>
        <v>0</v>
      </c>
      <c r="X443" s="88" t="n">
        <f aca="false">($H441)*(IF($H442=1,X$185,IF($H442=2,X$188,IF($H442=3,X$191,0))))</f>
        <v>0</v>
      </c>
      <c r="Y443" s="88" t="n">
        <f aca="false">($H441)*(IF($H442=1,Y$185,IF($H442=2,Y$188,IF($H442=3,Y$191,0))))</f>
        <v>0</v>
      </c>
      <c r="Z443" s="88" t="n">
        <f aca="false">($H441)*(IF($H442=1,Z$185,IF($H442=2,Z$188,IF($H442=3,Z$191,0))))</f>
        <v>0</v>
      </c>
      <c r="AA443" s="88" t="n">
        <f aca="false">($H441)*(IF($H442=1,AA$185,IF($H442=2,AA$188,IF($H442=3,AA$191,0))))</f>
        <v>0</v>
      </c>
      <c r="AB443" s="88" t="n">
        <f aca="false">($H441)*(IF($H442=1,AB$185,IF($H442=2,AB$188,IF($H442=3,AB$191,0))))</f>
        <v>0</v>
      </c>
      <c r="AC443" s="88" t="n">
        <f aca="false">($H441)*(IF($H442=1,AC$185,IF($H442=2,AC$188,IF($H442=3,AC$191,0))))</f>
        <v>0</v>
      </c>
    </row>
    <row r="444" customFormat="false" ht="11.25" hidden="false" customHeight="false" outlineLevel="0" collapsed="false">
      <c r="A444" s="4"/>
      <c r="B444" s="138"/>
      <c r="E444" s="88"/>
      <c r="F444" s="88"/>
      <c r="G444" s="88"/>
      <c r="H444" s="88"/>
      <c r="I444" s="88"/>
      <c r="J444" s="88"/>
      <c r="K444" s="88"/>
      <c r="L444" s="88"/>
      <c r="M444" s="88"/>
      <c r="N444" s="88"/>
      <c r="O444" s="88"/>
      <c r="P444" s="88"/>
      <c r="Q444" s="88"/>
      <c r="R444" s="88"/>
      <c r="S444" s="88"/>
      <c r="T444" s="88"/>
      <c r="U444" s="88"/>
      <c r="V444" s="88"/>
      <c r="W444" s="88"/>
      <c r="X444" s="88"/>
      <c r="Y444" s="88"/>
      <c r="Z444" s="88"/>
      <c r="AA444" s="88"/>
      <c r="AB444" s="88"/>
      <c r="AC444" s="88"/>
    </row>
    <row r="445" customFormat="false" ht="11.25" hidden="false" customHeight="false" outlineLevel="0" collapsed="false">
      <c r="A445" s="4"/>
      <c r="B445" s="138" t="s">
        <v>206</v>
      </c>
      <c r="E445" s="88"/>
      <c r="F445" s="88"/>
      <c r="G445" s="88"/>
      <c r="H445" s="88"/>
      <c r="I445" s="141" t="n">
        <v>0</v>
      </c>
      <c r="J445" s="141" t="n">
        <v>0</v>
      </c>
      <c r="K445" s="141" t="n">
        <v>0</v>
      </c>
      <c r="L445" s="141" t="n">
        <v>0</v>
      </c>
      <c r="M445" s="141" t="n">
        <v>0</v>
      </c>
      <c r="N445" s="141" t="n">
        <v>0</v>
      </c>
      <c r="O445" s="141" t="n">
        <v>0</v>
      </c>
      <c r="P445" s="141" t="n">
        <v>0</v>
      </c>
      <c r="Q445" s="141" t="n">
        <v>0</v>
      </c>
      <c r="R445" s="141" t="n">
        <v>0</v>
      </c>
      <c r="S445" s="141" t="n">
        <v>0</v>
      </c>
      <c r="T445" s="141" t="n">
        <v>0</v>
      </c>
      <c r="U445" s="141" t="n">
        <v>0</v>
      </c>
      <c r="V445" s="141" t="n">
        <v>0</v>
      </c>
      <c r="W445" s="141" t="n">
        <v>0</v>
      </c>
      <c r="X445" s="141" t="n">
        <v>0</v>
      </c>
      <c r="Y445" s="141" t="n">
        <v>0</v>
      </c>
      <c r="Z445" s="141" t="n">
        <v>0</v>
      </c>
      <c r="AA445" s="141" t="n">
        <v>0</v>
      </c>
      <c r="AB445" s="141" t="n">
        <v>0</v>
      </c>
      <c r="AC445" s="141" t="n">
        <v>0</v>
      </c>
    </row>
    <row r="446" customFormat="false" ht="11.25" hidden="false" customHeight="false" outlineLevel="0" collapsed="false">
      <c r="A446" s="142" t="str">
        <f aca="false">"Total Production Costs - "&amp;C14</f>
        <v>Total Production Costs - PUD</v>
      </c>
      <c r="E446" s="254" t="n">
        <v>0</v>
      </c>
      <c r="F446" s="254" t="n">
        <v>0</v>
      </c>
      <c r="G446" s="254" t="n">
        <v>0</v>
      </c>
      <c r="H446" s="254" t="n">
        <v>0</v>
      </c>
      <c r="I446" s="143" t="n">
        <f aca="false">+I443+I434+I436+I445</f>
        <v>-0.5569335</v>
      </c>
      <c r="J446" s="143" t="n">
        <f aca="false">+J443+J434+J436+J445</f>
        <v>-12.498108</v>
      </c>
      <c r="K446" s="143" t="n">
        <f aca="false">+K443+K434+K436+K445</f>
        <v>-21.1069275</v>
      </c>
      <c r="L446" s="143" t="n">
        <f aca="false">+L443+L434+L436+L445</f>
        <v>-27.7124355</v>
      </c>
      <c r="M446" s="143" t="n">
        <f aca="false">+M443+M434+M436+M445</f>
        <v>-30.657528</v>
      </c>
      <c r="N446" s="143" t="n">
        <f aca="false">+N443+N434+N436+N445</f>
        <v>-33.437883</v>
      </c>
      <c r="O446" s="143" t="n">
        <f aca="false">+O443+O434+O436+O445</f>
        <v>-31.137492</v>
      </c>
      <c r="P446" s="143" t="n">
        <f aca="false">+P443+P434+P436+P445</f>
        <v>-27.9361335</v>
      </c>
      <c r="Q446" s="143" t="n">
        <f aca="false">+Q443+Q434+Q436+Q445</f>
        <v>-24.918936</v>
      </c>
      <c r="R446" s="143" t="n">
        <f aca="false">+R443+R434+R436+R445</f>
        <v>-21.43347</v>
      </c>
      <c r="S446" s="143" t="n">
        <f aca="false">+S443+S434+S436+S445</f>
        <v>-18.13734</v>
      </c>
      <c r="T446" s="143" t="n">
        <f aca="false">+T443+T434+T436+T445</f>
        <v>-15.058353</v>
      </c>
      <c r="U446" s="143" t="n">
        <f aca="false">+U443+U434+U436+U445</f>
        <v>-12.4252095</v>
      </c>
      <c r="V446" s="143" t="n">
        <f aca="false">+V443+V434+V436+V445</f>
        <v>-9.774954</v>
      </c>
      <c r="W446" s="143" t="n">
        <f aca="false">+W443+W434+W436+W445</f>
        <v>-7.631952</v>
      </c>
      <c r="X446" s="143" t="n">
        <f aca="false">+X443+X434+X436+X445</f>
        <v>-5.76426</v>
      </c>
      <c r="Y446" s="143" t="n">
        <f aca="false">+Y443+Y434+Y436+Y445</f>
        <v>-3.9677415</v>
      </c>
      <c r="Z446" s="143" t="n">
        <f aca="false">+Z443+Z434+Z436+Z445</f>
        <v>-2.067171</v>
      </c>
      <c r="AA446" s="143" t="n">
        <f aca="false">+AA443+AA434+AA436+AA445</f>
        <v>-1.007814</v>
      </c>
      <c r="AB446" s="143" t="n">
        <f aca="false">+AB443+AB434+AB436+AB445</f>
        <v>-0.308223</v>
      </c>
      <c r="AC446" s="143" t="n">
        <f aca="false">+AC443+AC434+AC436+AC445</f>
        <v>-0.121302</v>
      </c>
    </row>
    <row r="447" customFormat="false" ht="11.25" hidden="false" customHeight="false" outlineLevel="0" collapsed="false">
      <c r="A447" s="4" t="str">
        <f aca="false">"Net Oil &amp; Gas Income - "&amp;C14</f>
        <v>Net Oil &amp; Gas Income - PUD</v>
      </c>
      <c r="D447" s="35"/>
      <c r="E447" s="127" t="n">
        <f aca="false">+E424-E446</f>
        <v>0</v>
      </c>
      <c r="F447" s="127" t="n">
        <f aca="false">+F424-F446</f>
        <v>0</v>
      </c>
      <c r="G447" s="127" t="n">
        <f aca="false">+G424-G446</f>
        <v>0</v>
      </c>
      <c r="H447" s="127" t="n">
        <f aca="false">+H424-H446</f>
        <v>0</v>
      </c>
      <c r="I447" s="116" t="n">
        <f aca="false">+I424-I446</f>
        <v>-5.4966915</v>
      </c>
      <c r="J447" s="116" t="n">
        <f aca="false">+J424-J446</f>
        <v>-123.350892</v>
      </c>
      <c r="K447" s="116" t="n">
        <f aca="false">+K424-K446</f>
        <v>-208.3161975</v>
      </c>
      <c r="L447" s="116" t="n">
        <f aca="false">+L424-L446</f>
        <v>-273.5096895</v>
      </c>
      <c r="M447" s="116" t="n">
        <f aca="false">+M424-M446</f>
        <v>-302.576472</v>
      </c>
      <c r="N447" s="116" t="n">
        <f aca="false">+N424-N446</f>
        <v>-330.017367</v>
      </c>
      <c r="O447" s="116" t="n">
        <f aca="false">+O424-O446</f>
        <v>-307.313508</v>
      </c>
      <c r="P447" s="116" t="n">
        <f aca="false">+P424-P446</f>
        <v>-275.7174915</v>
      </c>
      <c r="Q447" s="116" t="n">
        <f aca="false">+Q424-Q446</f>
        <v>-245.939064</v>
      </c>
      <c r="R447" s="116" t="n">
        <f aca="false">+R424-R446</f>
        <v>-211.53903</v>
      </c>
      <c r="S447" s="116" t="n">
        <f aca="false">+S424-S446</f>
        <v>-179.00766</v>
      </c>
      <c r="T447" s="116" t="n">
        <f aca="false">+T424-T446</f>
        <v>-148.619397</v>
      </c>
      <c r="U447" s="116" t="n">
        <f aca="false">+U424-U446</f>
        <v>-122.6314155</v>
      </c>
      <c r="V447" s="116" t="n">
        <f aca="false">+V424-V446</f>
        <v>-96.474546</v>
      </c>
      <c r="W447" s="116" t="n">
        <f aca="false">+W424-W446</f>
        <v>-75.324048</v>
      </c>
      <c r="X447" s="116" t="n">
        <f aca="false">+X424-X446</f>
        <v>-56.89074</v>
      </c>
      <c r="Y447" s="116" t="n">
        <f aca="false">+Y424-Y446</f>
        <v>-39.1598835</v>
      </c>
      <c r="Z447" s="116" t="n">
        <f aca="false">+Z424-Z446</f>
        <v>-20.402079</v>
      </c>
      <c r="AA447" s="116" t="n">
        <f aca="false">+AA424-AA446</f>
        <v>-9.946686</v>
      </c>
      <c r="AB447" s="116" t="n">
        <f aca="false">+AB424-AB446</f>
        <v>-3.042027</v>
      </c>
      <c r="AC447" s="116" t="n">
        <f aca="false">+AC424-AC446</f>
        <v>-1.197198</v>
      </c>
    </row>
    <row r="448" customFormat="false" ht="11.25" hidden="false" customHeight="false" outlineLevel="0" collapsed="false">
      <c r="A448" s="4"/>
      <c r="B448" s="35"/>
      <c r="D448" s="35"/>
      <c r="E448" s="110"/>
      <c r="F448" s="110"/>
      <c r="G448" s="110"/>
      <c r="H448" s="111"/>
      <c r="I448" s="258"/>
      <c r="J448" s="258"/>
      <c r="K448" s="258"/>
      <c r="L448" s="258"/>
      <c r="M448" s="258"/>
      <c r="N448" s="258"/>
      <c r="O448" s="258"/>
      <c r="P448" s="258"/>
      <c r="Q448" s="258"/>
      <c r="R448" s="258"/>
      <c r="S448" s="258"/>
      <c r="T448" s="258"/>
      <c r="U448" s="258"/>
      <c r="V448" s="258"/>
      <c r="W448" s="258"/>
      <c r="X448" s="258"/>
      <c r="Y448" s="268"/>
      <c r="Z448" s="268"/>
      <c r="AA448" s="268"/>
      <c r="AB448" s="268"/>
      <c r="AC448" s="268"/>
    </row>
    <row r="449" customFormat="false" ht="11.25" hidden="false" customHeight="false" outlineLevel="0" collapsed="false">
      <c r="A449" s="4"/>
      <c r="B449" s="35" t="str">
        <f aca="false">B306</f>
        <v>Allocated G&amp;A</v>
      </c>
      <c r="D449" s="35"/>
      <c r="E449" s="110"/>
      <c r="F449" s="110"/>
      <c r="G449" s="110"/>
      <c r="I449" s="141" t="n">
        <v>0</v>
      </c>
      <c r="J449" s="141" t="n">
        <v>0</v>
      </c>
      <c r="K449" s="141" t="n">
        <v>0</v>
      </c>
      <c r="L449" s="141" t="n">
        <v>0</v>
      </c>
      <c r="M449" s="141" t="n">
        <v>0</v>
      </c>
      <c r="N449" s="141" t="n">
        <v>0</v>
      </c>
      <c r="O449" s="141" t="n">
        <v>0</v>
      </c>
      <c r="P449" s="141" t="n">
        <v>0</v>
      </c>
      <c r="Q449" s="141" t="n">
        <v>0</v>
      </c>
      <c r="R449" s="141" t="n">
        <v>0</v>
      </c>
      <c r="S449" s="141" t="n">
        <v>0</v>
      </c>
      <c r="T449" s="141" t="n">
        <v>0</v>
      </c>
      <c r="U449" s="141" t="n">
        <v>0</v>
      </c>
      <c r="V449" s="141" t="n">
        <v>0</v>
      </c>
      <c r="W449" s="141" t="n">
        <v>0</v>
      </c>
      <c r="X449" s="141" t="n">
        <v>0</v>
      </c>
      <c r="Y449" s="141" t="n">
        <v>0</v>
      </c>
      <c r="Z449" s="141" t="n">
        <v>0</v>
      </c>
      <c r="AA449" s="141" t="n">
        <v>0</v>
      </c>
      <c r="AB449" s="141" t="n">
        <v>0</v>
      </c>
      <c r="AC449" s="141" t="n">
        <v>0</v>
      </c>
    </row>
    <row r="450" customFormat="false" ht="11.25" hidden="false" customHeight="false" outlineLevel="0" collapsed="false">
      <c r="I450" s="12"/>
      <c r="J450" s="12"/>
      <c r="K450" s="12"/>
      <c r="L450" s="12"/>
      <c r="M450" s="12"/>
      <c r="N450" s="12"/>
      <c r="O450" s="12"/>
      <c r="P450" s="12"/>
      <c r="Q450" s="12"/>
      <c r="R450" s="12"/>
      <c r="S450" s="12"/>
      <c r="T450" s="12"/>
      <c r="U450" s="12"/>
      <c r="V450" s="12"/>
      <c r="W450" s="12"/>
      <c r="X450" s="12"/>
      <c r="Y450" s="12"/>
      <c r="Z450" s="12"/>
      <c r="AA450" s="12"/>
      <c r="AB450" s="12"/>
      <c r="AC450" s="12"/>
    </row>
    <row r="451" customFormat="false" ht="12" hidden="false" customHeight="false" outlineLevel="0" collapsed="false">
      <c r="I451" s="12"/>
      <c r="J451" s="12"/>
      <c r="K451" s="12"/>
      <c r="L451" s="12"/>
      <c r="M451" s="12"/>
      <c r="N451" s="12"/>
      <c r="O451" s="12"/>
      <c r="P451" s="12"/>
      <c r="Q451" s="12"/>
      <c r="R451" s="12"/>
      <c r="S451" s="12"/>
      <c r="T451" s="12"/>
      <c r="U451" s="12"/>
      <c r="V451" s="12"/>
      <c r="W451" s="12"/>
      <c r="X451" s="12"/>
      <c r="Y451" s="12"/>
      <c r="Z451" s="12"/>
      <c r="AA451" s="12"/>
      <c r="AB451" s="12"/>
      <c r="AC451" s="12"/>
    </row>
    <row r="452" customFormat="false" ht="12.75" hidden="false" customHeight="false" outlineLevel="0" collapsed="false">
      <c r="A452" s="4" t="s">
        <v>172</v>
      </c>
      <c r="B452" s="35"/>
      <c r="C452" s="35"/>
      <c r="D452" s="35"/>
      <c r="E452" s="81" t="str">
        <f aca="false">+E$3</f>
        <v>1996 </v>
      </c>
      <c r="F452" s="81" t="str">
        <f aca="false">+F$3</f>
        <v>1997 </v>
      </c>
      <c r="G452" s="81" t="str">
        <f aca="false">+G$3</f>
        <v>1998 </v>
      </c>
      <c r="H452" s="81" t="str">
        <f aca="false">+H$3</f>
        <v>6 M/1999 </v>
      </c>
      <c r="I452" s="81" t="str">
        <f aca="false">+I$3</f>
        <v>6 M/1999 </v>
      </c>
      <c r="J452" s="81" t="n">
        <f aca="false">+J$3</f>
        <v>2000</v>
      </c>
      <c r="K452" s="81" t="n">
        <f aca="false">+K$3</f>
        <v>2001</v>
      </c>
      <c r="L452" s="81" t="n">
        <f aca="false">+L$3</f>
        <v>2002</v>
      </c>
      <c r="M452" s="81" t="n">
        <f aca="false">+M$3</f>
        <v>2003</v>
      </c>
      <c r="N452" s="81" t="n">
        <f aca="false">+N$3</f>
        <v>2004</v>
      </c>
      <c r="O452" s="81" t="n">
        <f aca="false">+O$3</f>
        <v>2005</v>
      </c>
      <c r="P452" s="81" t="n">
        <f aca="false">+P$3</f>
        <v>2006</v>
      </c>
      <c r="Q452" s="81" t="n">
        <f aca="false">+Q$3</f>
        <v>2007</v>
      </c>
      <c r="R452" s="81" t="n">
        <f aca="false">+R$3</f>
        <v>2008</v>
      </c>
      <c r="S452" s="81" t="n">
        <f aca="false">+S$3</f>
        <v>2009</v>
      </c>
      <c r="T452" s="81" t="n">
        <f aca="false">+T$3</f>
        <v>2010</v>
      </c>
      <c r="U452" s="81" t="n">
        <f aca="false">+U$3</f>
        <v>2011</v>
      </c>
      <c r="V452" s="81" t="n">
        <f aca="false">+V$3</f>
        <v>2012</v>
      </c>
      <c r="W452" s="81" t="n">
        <f aca="false">+W$3</f>
        <v>2013</v>
      </c>
      <c r="X452" s="81" t="n">
        <f aca="false">+X$3</f>
        <v>2014</v>
      </c>
      <c r="Y452" s="81" t="n">
        <f aca="false">+Y$3</f>
        <v>2015</v>
      </c>
      <c r="Z452" s="81" t="n">
        <f aca="false">+Z$3</f>
        <v>2016</v>
      </c>
      <c r="AA452" s="81" t="n">
        <f aca="false">+AA$3</f>
        <v>2017</v>
      </c>
      <c r="AB452" s="81" t="n">
        <f aca="false">+AB$3</f>
        <v>2018</v>
      </c>
      <c r="AC452" s="81" t="n">
        <f aca="false">+AC$3</f>
        <v>2019</v>
      </c>
    </row>
    <row r="453" customFormat="false" ht="13.5" hidden="false" customHeight="false" outlineLevel="0" collapsed="false">
      <c r="A453" s="107" t="str">
        <f aca="false">+C16</f>
        <v>PROBABLES</v>
      </c>
      <c r="B453" s="35"/>
      <c r="C453" s="35"/>
      <c r="D453" s="35"/>
      <c r="E453" s="108" t="s">
        <v>388</v>
      </c>
      <c r="F453" s="108" t="s">
        <v>535</v>
      </c>
      <c r="G453" s="108" t="s">
        <v>390</v>
      </c>
      <c r="H453" s="108"/>
      <c r="I453" s="250"/>
      <c r="J453" s="250"/>
      <c r="K453" s="250"/>
      <c r="L453" s="250"/>
      <c r="M453" s="250"/>
      <c r="N453" s="250"/>
      <c r="O453" s="250"/>
      <c r="P453" s="250"/>
      <c r="Q453" s="250"/>
      <c r="R453" s="250"/>
      <c r="S453" s="250"/>
      <c r="T453" s="250"/>
      <c r="U453" s="250"/>
      <c r="V453" s="250"/>
      <c r="W453" s="250"/>
      <c r="X453" s="250"/>
      <c r="Y453" s="250"/>
      <c r="Z453" s="250"/>
      <c r="AA453" s="250"/>
      <c r="AB453" s="250"/>
      <c r="AC453" s="250"/>
    </row>
    <row r="454" customFormat="false" ht="12.75" hidden="false" customHeight="false" outlineLevel="0" collapsed="false">
      <c r="A454" s="107"/>
      <c r="B454" s="35"/>
      <c r="C454" s="35"/>
      <c r="D454" s="35"/>
      <c r="E454" s="259" t="n">
        <v>0.6</v>
      </c>
      <c r="F454" s="273" t="n">
        <v>1</v>
      </c>
      <c r="G454" s="259" t="n">
        <v>1.4</v>
      </c>
      <c r="H454" s="108"/>
      <c r="I454" s="250"/>
      <c r="J454" s="250"/>
      <c r="K454" s="250"/>
      <c r="L454" s="250"/>
      <c r="M454" s="250"/>
      <c r="N454" s="250"/>
      <c r="O454" s="250"/>
      <c r="P454" s="250"/>
      <c r="Q454" s="250"/>
      <c r="R454" s="250"/>
      <c r="S454" s="250"/>
      <c r="T454" s="250"/>
      <c r="U454" s="250"/>
      <c r="V454" s="250"/>
      <c r="W454" s="250"/>
      <c r="X454" s="250"/>
      <c r="Y454" s="250"/>
      <c r="Z454" s="250"/>
      <c r="AA454" s="250"/>
      <c r="AB454" s="250"/>
      <c r="AC454" s="250"/>
    </row>
    <row r="455" customFormat="false" ht="12.75" hidden="false" customHeight="false" outlineLevel="0" collapsed="false">
      <c r="A455" s="107"/>
      <c r="B455" s="35"/>
      <c r="C455" s="35"/>
      <c r="D455" s="35"/>
      <c r="E455" s="108"/>
      <c r="F455" s="108"/>
      <c r="G455" s="108"/>
      <c r="H455" s="108"/>
      <c r="I455" s="250" t="n">
        <v>0</v>
      </c>
      <c r="J455" s="250" t="n">
        <v>0</v>
      </c>
      <c r="K455" s="250" t="n">
        <v>0</v>
      </c>
      <c r="L455" s="250" t="n">
        <v>0</v>
      </c>
      <c r="M455" s="250" t="n">
        <v>0</v>
      </c>
      <c r="N455" s="250" t="n">
        <v>0</v>
      </c>
      <c r="O455" s="250" t="n">
        <v>0</v>
      </c>
      <c r="P455" s="250" t="n">
        <v>0</v>
      </c>
      <c r="Q455" s="250" t="n">
        <v>0</v>
      </c>
      <c r="R455" s="250" t="n">
        <v>0</v>
      </c>
      <c r="S455" s="250" t="n">
        <v>0</v>
      </c>
      <c r="T455" s="250" t="n">
        <v>0</v>
      </c>
      <c r="U455" s="250" t="n">
        <v>0</v>
      </c>
      <c r="V455" s="250" t="n">
        <v>0</v>
      </c>
      <c r="W455" s="250" t="n">
        <v>0</v>
      </c>
      <c r="X455" s="250" t="n">
        <v>0</v>
      </c>
      <c r="Y455" s="250" t="n">
        <v>0</v>
      </c>
      <c r="Z455" s="250" t="n">
        <v>0</v>
      </c>
      <c r="AA455" s="250" t="n">
        <v>0</v>
      </c>
      <c r="AB455" s="250" t="n">
        <v>0</v>
      </c>
      <c r="AC455" s="250"/>
    </row>
    <row r="456" customFormat="false" ht="11.25" hidden="false" customHeight="false" outlineLevel="0" collapsed="false">
      <c r="A456" s="109" t="s">
        <v>174</v>
      </c>
      <c r="B456" s="43" t="s">
        <v>515</v>
      </c>
      <c r="C456" s="35"/>
      <c r="D456" s="35"/>
      <c r="E456" s="108"/>
      <c r="F456" s="108"/>
      <c r="G456" s="108"/>
      <c r="H456" s="108"/>
      <c r="I456" s="141" t="n">
        <f aca="false">I455*$F$454</f>
        <v>0</v>
      </c>
      <c r="J456" s="141" t="n">
        <f aca="false">J455*$F$454</f>
        <v>0</v>
      </c>
      <c r="K456" s="141" t="n">
        <f aca="false">K455*$F$454</f>
        <v>0</v>
      </c>
      <c r="L456" s="141" t="n">
        <f aca="false">L455*$F$454</f>
        <v>0</v>
      </c>
      <c r="M456" s="141" t="n">
        <f aca="false">M455*$F$454</f>
        <v>0</v>
      </c>
      <c r="N456" s="141" t="n">
        <f aca="false">N455*$F$454</f>
        <v>0</v>
      </c>
      <c r="O456" s="141" t="n">
        <f aca="false">O455*$F$454</f>
        <v>0</v>
      </c>
      <c r="P456" s="141" t="n">
        <f aca="false">P455*$F$454</f>
        <v>0</v>
      </c>
      <c r="Q456" s="141" t="n">
        <f aca="false">Q455*$F$454</f>
        <v>0</v>
      </c>
      <c r="R456" s="141" t="n">
        <f aca="false">R455*$F$454</f>
        <v>0</v>
      </c>
      <c r="S456" s="141" t="n">
        <f aca="false">S455*$F$454</f>
        <v>0</v>
      </c>
      <c r="T456" s="141" t="n">
        <f aca="false">T455*$F$454</f>
        <v>0</v>
      </c>
      <c r="U456" s="141" t="n">
        <f aca="false">U455*$F$454</f>
        <v>0</v>
      </c>
      <c r="V456" s="141" t="n">
        <f aca="false">V455*$F$454</f>
        <v>0</v>
      </c>
      <c r="W456" s="141" t="n">
        <f aca="false">W455*$F$454</f>
        <v>0</v>
      </c>
      <c r="X456" s="141" t="n">
        <f aca="false">X455*$F$454</f>
        <v>0</v>
      </c>
      <c r="Y456" s="141" t="n">
        <f aca="false">Y455*$F$454</f>
        <v>0</v>
      </c>
      <c r="Z456" s="141" t="n">
        <f aca="false">Z455*$F$454</f>
        <v>0</v>
      </c>
      <c r="AA456" s="141" t="n">
        <f aca="false">AA455*$F$454</f>
        <v>0</v>
      </c>
      <c r="AB456" s="141" t="n">
        <f aca="false">AB455*$F$454</f>
        <v>0</v>
      </c>
      <c r="AC456" s="141" t="n">
        <f aca="false">AC455*$F$454</f>
        <v>0</v>
      </c>
      <c r="AD456" s="141" t="n">
        <v>0</v>
      </c>
    </row>
    <row r="457" customFormat="false" ht="12.75" hidden="false" customHeight="false" outlineLevel="0" collapsed="false">
      <c r="A457" s="107"/>
      <c r="B457" s="43" t="s">
        <v>517</v>
      </c>
      <c r="C457" s="35"/>
      <c r="D457" s="35"/>
      <c r="E457" s="108"/>
      <c r="F457" s="108"/>
      <c r="G457" s="108"/>
      <c r="H457" s="108"/>
      <c r="I457" s="26" t="n">
        <v>1</v>
      </c>
      <c r="J457" s="26" t="n">
        <f aca="false">I457</f>
        <v>1</v>
      </c>
      <c r="K457" s="26" t="n">
        <f aca="false">J457</f>
        <v>1</v>
      </c>
      <c r="L457" s="26" t="n">
        <f aca="false">K457</f>
        <v>1</v>
      </c>
      <c r="M457" s="26" t="n">
        <f aca="false">L457</f>
        <v>1</v>
      </c>
      <c r="N457" s="26" t="n">
        <f aca="false">M457</f>
        <v>1</v>
      </c>
      <c r="O457" s="26" t="n">
        <f aca="false">N457</f>
        <v>1</v>
      </c>
      <c r="P457" s="26" t="n">
        <f aca="false">O457</f>
        <v>1</v>
      </c>
      <c r="Q457" s="26" t="n">
        <f aca="false">P457</f>
        <v>1</v>
      </c>
      <c r="R457" s="26" t="n">
        <f aca="false">Q457</f>
        <v>1</v>
      </c>
      <c r="S457" s="26" t="n">
        <f aca="false">R457</f>
        <v>1</v>
      </c>
      <c r="T457" s="26" t="n">
        <f aca="false">S457</f>
        <v>1</v>
      </c>
      <c r="U457" s="26" t="n">
        <f aca="false">T457</f>
        <v>1</v>
      </c>
      <c r="V457" s="26" t="n">
        <f aca="false">U457</f>
        <v>1</v>
      </c>
      <c r="W457" s="26" t="n">
        <f aca="false">V457</f>
        <v>1</v>
      </c>
      <c r="X457" s="26" t="n">
        <f aca="false">W457</f>
        <v>1</v>
      </c>
      <c r="Y457" s="26" t="n">
        <f aca="false">X457</f>
        <v>1</v>
      </c>
      <c r="Z457" s="26" t="n">
        <f aca="false">Y457</f>
        <v>1</v>
      </c>
      <c r="AA457" s="26" t="n">
        <f aca="false">Z457</f>
        <v>1</v>
      </c>
      <c r="AB457" s="26" t="n">
        <f aca="false">AA457</f>
        <v>1</v>
      </c>
      <c r="AC457" s="26" t="n">
        <f aca="false">AB457</f>
        <v>1</v>
      </c>
    </row>
    <row r="458" customFormat="false" ht="11.25" hidden="false" customHeight="false" outlineLevel="0" collapsed="false">
      <c r="B458" s="43" t="s">
        <v>518</v>
      </c>
      <c r="C458" s="35"/>
      <c r="D458" s="35"/>
      <c r="E458" s="108"/>
      <c r="F458" s="108"/>
      <c r="G458" s="108"/>
      <c r="H458" s="250"/>
      <c r="I458" s="120" t="n">
        <f aca="false">+I456*I457</f>
        <v>0</v>
      </c>
      <c r="J458" s="120" t="n">
        <f aca="false">+J456*J457</f>
        <v>0</v>
      </c>
      <c r="K458" s="120" t="n">
        <f aca="false">+K456*K457</f>
        <v>0</v>
      </c>
      <c r="L458" s="120" t="n">
        <f aca="false">+L456*L457</f>
        <v>0</v>
      </c>
      <c r="M458" s="120" t="n">
        <f aca="false">+M456*M457</f>
        <v>0</v>
      </c>
      <c r="N458" s="120" t="n">
        <f aca="false">+N456*N457</f>
        <v>0</v>
      </c>
      <c r="O458" s="120" t="n">
        <f aca="false">+O456*O457</f>
        <v>0</v>
      </c>
      <c r="P458" s="120" t="n">
        <f aca="false">+P456*P457</f>
        <v>0</v>
      </c>
      <c r="Q458" s="120" t="n">
        <f aca="false">+Q456*Q457</f>
        <v>0</v>
      </c>
      <c r="R458" s="120" t="n">
        <f aca="false">+R456*R457</f>
        <v>0</v>
      </c>
      <c r="S458" s="120" t="n">
        <f aca="false">+S456*S457</f>
        <v>0</v>
      </c>
      <c r="T458" s="120" t="n">
        <f aca="false">+T456*T457</f>
        <v>0</v>
      </c>
      <c r="U458" s="120" t="n">
        <f aca="false">+U456*U457</f>
        <v>0</v>
      </c>
      <c r="V458" s="120" t="n">
        <f aca="false">+V456*V457</f>
        <v>0</v>
      </c>
      <c r="W458" s="120" t="n">
        <f aca="false">+W456*W457</f>
        <v>0</v>
      </c>
      <c r="X458" s="120" t="n">
        <f aca="false">+X456*X457</f>
        <v>0</v>
      </c>
      <c r="Y458" s="120" t="n">
        <f aca="false">+Y456*Y457</f>
        <v>0</v>
      </c>
      <c r="Z458" s="120" t="n">
        <f aca="false">+Z456*Z457</f>
        <v>0</v>
      </c>
      <c r="AA458" s="120" t="n">
        <f aca="false">+AA456*AA457</f>
        <v>0</v>
      </c>
      <c r="AB458" s="120" t="n">
        <f aca="false">+AB456*AB457</f>
        <v>0</v>
      </c>
      <c r="AC458" s="120" t="n">
        <f aca="false">+AC456*AC457</f>
        <v>0</v>
      </c>
    </row>
    <row r="459" customFormat="false" ht="12.75" hidden="false" customHeight="false" outlineLevel="0" collapsed="false">
      <c r="A459" s="107"/>
      <c r="B459" s="35" t="s">
        <v>176</v>
      </c>
      <c r="C459" s="35"/>
      <c r="D459" s="35"/>
      <c r="E459" s="108"/>
      <c r="F459" s="108"/>
      <c r="G459" s="108"/>
      <c r="H459" s="250"/>
      <c r="I459" s="26" t="n">
        <v>0</v>
      </c>
      <c r="J459" s="26" t="n">
        <f aca="false">I459</f>
        <v>0</v>
      </c>
      <c r="K459" s="26" t="n">
        <f aca="false">J459</f>
        <v>0</v>
      </c>
      <c r="L459" s="26" t="n">
        <f aca="false">K459</f>
        <v>0</v>
      </c>
      <c r="M459" s="26" t="n">
        <f aca="false">L459</f>
        <v>0</v>
      </c>
      <c r="N459" s="26" t="n">
        <f aca="false">M459</f>
        <v>0</v>
      </c>
      <c r="O459" s="26" t="n">
        <f aca="false">N459</f>
        <v>0</v>
      </c>
      <c r="P459" s="26" t="n">
        <f aca="false">O459</f>
        <v>0</v>
      </c>
      <c r="Q459" s="26" t="n">
        <f aca="false">P459</f>
        <v>0</v>
      </c>
      <c r="R459" s="26" t="n">
        <f aca="false">Q459</f>
        <v>0</v>
      </c>
      <c r="S459" s="26" t="n">
        <f aca="false">R459</f>
        <v>0</v>
      </c>
      <c r="T459" s="26" t="n">
        <f aca="false">S459</f>
        <v>0</v>
      </c>
      <c r="U459" s="26" t="n">
        <f aca="false">T459</f>
        <v>0</v>
      </c>
      <c r="V459" s="26" t="n">
        <f aca="false">U459</f>
        <v>0</v>
      </c>
      <c r="W459" s="26" t="n">
        <f aca="false">V459</f>
        <v>0</v>
      </c>
      <c r="X459" s="26" t="n">
        <f aca="false">W459</f>
        <v>0</v>
      </c>
      <c r="Y459" s="26" t="n">
        <f aca="false">X459</f>
        <v>0</v>
      </c>
      <c r="Z459" s="26" t="n">
        <f aca="false">Y459</f>
        <v>0</v>
      </c>
      <c r="AA459" s="26" t="n">
        <f aca="false">Z459</f>
        <v>0</v>
      </c>
      <c r="AB459" s="26" t="n">
        <f aca="false">AA459</f>
        <v>0</v>
      </c>
      <c r="AC459" s="26" t="n">
        <f aca="false">AB459</f>
        <v>0</v>
      </c>
    </row>
    <row r="460" customFormat="false" ht="11.25" hidden="false" customHeight="false" outlineLevel="0" collapsed="false">
      <c r="B460" s="43" t="s">
        <v>519</v>
      </c>
      <c r="D460" s="35"/>
      <c r="E460" s="110"/>
      <c r="F460" s="110"/>
      <c r="H460" s="258"/>
      <c r="I460" s="120" t="n">
        <f aca="false">+I458*I459</f>
        <v>0</v>
      </c>
      <c r="J460" s="120" t="n">
        <f aca="false">+J458*J459</f>
        <v>0</v>
      </c>
      <c r="K460" s="120" t="n">
        <f aca="false">+K458*K459</f>
        <v>0</v>
      </c>
      <c r="L460" s="120" t="n">
        <f aca="false">+L458*L459</f>
        <v>0</v>
      </c>
      <c r="M460" s="120" t="n">
        <f aca="false">+M458*M459</f>
        <v>0</v>
      </c>
      <c r="N460" s="120" t="n">
        <f aca="false">+N458*N459</f>
        <v>0</v>
      </c>
      <c r="O460" s="120" t="n">
        <f aca="false">+O458*O459</f>
        <v>0</v>
      </c>
      <c r="P460" s="120" t="n">
        <f aca="false">+P458*P459</f>
        <v>0</v>
      </c>
      <c r="Q460" s="120" t="n">
        <f aca="false">+Q458*Q459</f>
        <v>0</v>
      </c>
      <c r="R460" s="120" t="n">
        <f aca="false">+R458*R459</f>
        <v>0</v>
      </c>
      <c r="S460" s="120" t="n">
        <f aca="false">+S458*S459</f>
        <v>0</v>
      </c>
      <c r="T460" s="120" t="n">
        <f aca="false">+T458*T459</f>
        <v>0</v>
      </c>
      <c r="U460" s="120" t="n">
        <f aca="false">+U458*U459</f>
        <v>0</v>
      </c>
      <c r="V460" s="120" t="n">
        <f aca="false">+V458*V459</f>
        <v>0</v>
      </c>
      <c r="W460" s="120" t="n">
        <f aca="false">+W458*W459</f>
        <v>0</v>
      </c>
      <c r="X460" s="120" t="n">
        <f aca="false">+X458*X459</f>
        <v>0</v>
      </c>
      <c r="Y460" s="120" t="n">
        <f aca="false">+Y458*Y459</f>
        <v>0</v>
      </c>
      <c r="Z460" s="120" t="n">
        <f aca="false">+Z458*Z459</f>
        <v>0</v>
      </c>
      <c r="AA460" s="120" t="n">
        <f aca="false">+AA458*AA459</f>
        <v>0</v>
      </c>
      <c r="AB460" s="120" t="n">
        <f aca="false">+AB458*AB459</f>
        <v>0</v>
      </c>
      <c r="AC460" s="120" t="n">
        <f aca="false">+AC458*AC459</f>
        <v>0</v>
      </c>
      <c r="AD460" s="67" t="n">
        <f aca="false">SUM(E460:AC460)</f>
        <v>0</v>
      </c>
    </row>
    <row r="461" customFormat="false" ht="11.25" hidden="false" customHeight="false" outlineLevel="0" collapsed="false">
      <c r="D461" s="35"/>
      <c r="E461" s="110"/>
      <c r="F461" s="110"/>
      <c r="G461" s="110"/>
    </row>
    <row r="462" customFormat="false" ht="11.25" hidden="false" customHeight="false" outlineLevel="0" collapsed="false">
      <c r="A462" s="109"/>
      <c r="B462" s="43" t="s">
        <v>520</v>
      </c>
      <c r="D462" s="102" t="n">
        <v>5</v>
      </c>
      <c r="I462" s="112" t="n">
        <f aca="false">IF($D462=1,I$212,IF($D462=2,I$215,IF($D462=3,I$217,IF($D462=4,I$219,IF($D462=5,I$221,IF($D462=5,I$223,I$212))))))</f>
        <v>0</v>
      </c>
      <c r="J462" s="112" t="n">
        <f aca="false">IF($D462=1,J$212,IF($D462=2,J$215,IF($D462=3,J$217,IF($D462=4,J$219,IF($D462=5,J$221,IF($D462=5,J$223,J$212))))))</f>
        <v>0</v>
      </c>
      <c r="K462" s="112" t="n">
        <f aca="false">IF($D462=1,K$212,IF($D462=2,K$215,IF($D462=3,K$217,IF($D462=4,K$219,IF($D462=5,K$221,IF($D462=5,K$223,K$212))))))</f>
        <v>0</v>
      </c>
      <c r="L462" s="112" t="n">
        <f aca="false">IF($D462=1,L$212,IF($D462=2,L$215,IF($D462=3,L$217,IF($D462=4,L$219,IF($D462=5,L$221,IF($D462=5,L$223,L$212))))))</f>
        <v>0</v>
      </c>
      <c r="M462" s="112" t="n">
        <f aca="false">IF($D462=1,M$212,IF($D462=2,M$215,IF($D462=3,M$217,IF($D462=4,M$219,IF($D462=5,M$221,IF($D462=5,M$223,M$212))))))</f>
        <v>0</v>
      </c>
      <c r="N462" s="112" t="n">
        <f aca="false">IF($D462=1,N$212,IF($D462=2,N$215,IF($D462=3,N$217,IF($D462=4,N$219,IF($D462=5,N$221,IF($D462=5,N$223,N$212))))))</f>
        <v>0</v>
      </c>
      <c r="O462" s="112" t="n">
        <f aca="false">IF($D462=1,O$212,IF($D462=2,O$215,IF($D462=3,O$217,IF($D462=4,O$219,IF($D462=5,O$221,IF($D462=5,O$223,O$212))))))</f>
        <v>0</v>
      </c>
      <c r="P462" s="112" t="n">
        <f aca="false">IF($D462=1,P$212,IF($D462=2,P$215,IF($D462=3,P$217,IF($D462=4,P$219,IF($D462=5,P$221,IF($D462=5,P$223,P$212))))))</f>
        <v>0</v>
      </c>
      <c r="Q462" s="112" t="n">
        <f aca="false">IF($D462=1,Q$212,IF($D462=2,Q$215,IF($D462=3,Q$217,IF($D462=4,Q$219,IF($D462=5,Q$221,IF($D462=5,Q$223,Q$212))))))</f>
        <v>0</v>
      </c>
      <c r="R462" s="112" t="n">
        <f aca="false">IF($D462=1,R$212,IF($D462=2,R$215,IF($D462=3,R$217,IF($D462=4,R$219,IF($D462=5,R$221,IF($D462=5,R$223,R$212))))))</f>
        <v>0</v>
      </c>
      <c r="S462" s="112" t="n">
        <f aca="false">IF($D462=1,S$212,IF($D462=2,S$215,IF($D462=3,S$217,IF($D462=4,S$219,IF($D462=5,S$221,IF($D462=5,S$223,S$212))))))</f>
        <v>0</v>
      </c>
      <c r="T462" s="112" t="n">
        <f aca="false">IF($D462=1,T$212,IF($D462=2,T$215,IF($D462=3,T$217,IF($D462=4,T$219,IF($D462=5,T$221,IF($D462=5,T$223,T$212))))))</f>
        <v>0</v>
      </c>
      <c r="U462" s="112" t="n">
        <f aca="false">IF($D462=1,U$212,IF($D462=2,U$215,IF($D462=3,U$217,IF($D462=4,U$219,IF($D462=5,U$221,IF($D462=5,U$223,U$212))))))</f>
        <v>0</v>
      </c>
      <c r="V462" s="112" t="n">
        <f aca="false">IF($D462=1,V$212,IF($D462=2,V$215,IF($D462=3,V$217,IF($D462=4,V$219,IF($D462=5,V$221,IF($D462=5,V$223,V$212))))))</f>
        <v>0</v>
      </c>
      <c r="W462" s="112" t="n">
        <f aca="false">IF($D462=1,W$212,IF($D462=2,W$215,IF($D462=3,W$217,IF($D462=4,W$219,IF($D462=5,W$221,IF($D462=5,W$223,W$212))))))</f>
        <v>0</v>
      </c>
      <c r="X462" s="112" t="n">
        <f aca="false">IF($D462=1,X$212,IF($D462=2,X$215,IF($D462=3,X$217,IF($D462=4,X$219,IF($D462=5,X$221,IF($D462=5,X$223,X$212))))))</f>
        <v>0</v>
      </c>
      <c r="Y462" s="112" t="n">
        <f aca="false">IF($D462=1,Y$212,IF($D462=2,Y$215,IF($D462=3,Y$217,IF($D462=4,Y$219,IF($D462=5,Y$221,IF($D462=5,Y$223,Y$212))))))</f>
        <v>0</v>
      </c>
      <c r="Z462" s="112" t="n">
        <f aca="false">IF($D462=1,Z$212,IF($D462=2,Z$215,IF($D462=3,Z$217,IF($D462=4,Z$219,IF($D462=5,Z$221,IF($D462=5,Z$223,Z$212))))))</f>
        <v>0</v>
      </c>
      <c r="AA462" s="112" t="n">
        <f aca="false">IF($D462=1,AA$212,IF($D462=2,AA$215,IF($D462=3,AA$217,IF($D462=4,AA$219,IF($D462=5,AA$221,IF($D462=5,AA$223,AA$212))))))</f>
        <v>0</v>
      </c>
      <c r="AB462" s="112" t="n">
        <f aca="false">IF($D462=1,AB$212,IF($D462=2,AB$215,IF($D462=3,AB$217,IF($D462=4,AB$219,IF($D462=5,AB$221,IF($D462=5,AB$223,AB$212))))))</f>
        <v>0</v>
      </c>
      <c r="AC462" s="112" t="n">
        <f aca="false">IF($D462=1,AC$212,IF($D462=2,AC$215,IF($D462=3,AC$217,IF($D462=4,AC$219,IF($D462=5,AC$221,IF($D462=5,AC$223,AC$212))))))</f>
        <v>0</v>
      </c>
    </row>
    <row r="463" customFormat="false" ht="11.25" hidden="false" customHeight="false" outlineLevel="0" collapsed="false">
      <c r="A463" s="279"/>
      <c r="B463" s="43" t="s">
        <v>179</v>
      </c>
      <c r="D463" s="35"/>
      <c r="I463" s="99" t="n">
        <v>-2.375</v>
      </c>
      <c r="J463" s="99" t="n">
        <f aca="false">I463</f>
        <v>-2.375</v>
      </c>
      <c r="K463" s="99" t="n">
        <f aca="false">J463</f>
        <v>-2.375</v>
      </c>
      <c r="L463" s="99" t="n">
        <f aca="false">K463</f>
        <v>-2.375</v>
      </c>
      <c r="M463" s="99" t="n">
        <f aca="false">L463</f>
        <v>-2.375</v>
      </c>
      <c r="N463" s="99" t="n">
        <f aca="false">M463</f>
        <v>-2.375</v>
      </c>
      <c r="O463" s="99" t="n">
        <f aca="false">N463</f>
        <v>-2.375</v>
      </c>
      <c r="P463" s="99" t="n">
        <f aca="false">O463</f>
        <v>-2.375</v>
      </c>
      <c r="Q463" s="99" t="n">
        <f aca="false">P463</f>
        <v>-2.375</v>
      </c>
      <c r="R463" s="99" t="n">
        <f aca="false">Q463</f>
        <v>-2.375</v>
      </c>
      <c r="S463" s="99" t="n">
        <f aca="false">R463</f>
        <v>-2.375</v>
      </c>
      <c r="T463" s="99" t="n">
        <f aca="false">S463</f>
        <v>-2.375</v>
      </c>
      <c r="U463" s="99" t="n">
        <f aca="false">T463</f>
        <v>-2.375</v>
      </c>
      <c r="V463" s="99" t="n">
        <f aca="false">U463</f>
        <v>-2.375</v>
      </c>
      <c r="W463" s="99" t="n">
        <f aca="false">V463</f>
        <v>-2.375</v>
      </c>
      <c r="X463" s="99" t="n">
        <f aca="false">W463</f>
        <v>-2.375</v>
      </c>
      <c r="Y463" s="99" t="n">
        <f aca="false">X463</f>
        <v>-2.375</v>
      </c>
      <c r="Z463" s="99" t="n">
        <f aca="false">Y463</f>
        <v>-2.375</v>
      </c>
      <c r="AA463" s="99" t="n">
        <f aca="false">Z463</f>
        <v>-2.375</v>
      </c>
      <c r="AB463" s="99" t="n">
        <f aca="false">AA463</f>
        <v>-2.375</v>
      </c>
      <c r="AC463" s="99" t="n">
        <f aca="false">AB463</f>
        <v>-2.375</v>
      </c>
    </row>
    <row r="464" customFormat="false" ht="11.25" hidden="false" customHeight="false" outlineLevel="0" collapsed="false">
      <c r="A464" s="133"/>
      <c r="B464" s="43" t="s">
        <v>180</v>
      </c>
      <c r="D464" s="35"/>
      <c r="I464" s="257" t="n">
        <f aca="false">+I462+I463</f>
        <v>-2.375</v>
      </c>
      <c r="J464" s="257" t="n">
        <f aca="false">+J462+J463</f>
        <v>-2.375</v>
      </c>
      <c r="K464" s="257" t="n">
        <f aca="false">+K462+K463</f>
        <v>-2.375</v>
      </c>
      <c r="L464" s="257" t="n">
        <f aca="false">+L462+L463</f>
        <v>-2.375</v>
      </c>
      <c r="M464" s="257" t="n">
        <f aca="false">+M462+M463</f>
        <v>-2.375</v>
      </c>
      <c r="N464" s="257" t="n">
        <f aca="false">+N462+N463</f>
        <v>-2.375</v>
      </c>
      <c r="O464" s="257" t="n">
        <f aca="false">+O462+O463</f>
        <v>-2.375</v>
      </c>
      <c r="P464" s="257" t="n">
        <f aca="false">+P462+P463</f>
        <v>-2.375</v>
      </c>
      <c r="Q464" s="257" t="n">
        <f aca="false">+Q462+Q463</f>
        <v>-2.375</v>
      </c>
      <c r="R464" s="257" t="n">
        <f aca="false">+R462+R463</f>
        <v>-2.375</v>
      </c>
      <c r="S464" s="257" t="n">
        <f aca="false">+S462+S463</f>
        <v>-2.375</v>
      </c>
      <c r="T464" s="257" t="n">
        <f aca="false">+T462+T463</f>
        <v>-2.375</v>
      </c>
      <c r="U464" s="257" t="n">
        <f aca="false">+U462+U463</f>
        <v>-2.375</v>
      </c>
      <c r="V464" s="257" t="n">
        <f aca="false">+V462+V463</f>
        <v>-2.375</v>
      </c>
      <c r="W464" s="257" t="n">
        <f aca="false">+W462+W463</f>
        <v>-2.375</v>
      </c>
      <c r="X464" s="257" t="n">
        <f aca="false">+X462+X463</f>
        <v>-2.375</v>
      </c>
      <c r="Y464" s="257" t="n">
        <f aca="false">+Y462+Y463</f>
        <v>-2.375</v>
      </c>
      <c r="Z464" s="257" t="n">
        <f aca="false">+Z462+Z463</f>
        <v>-2.375</v>
      </c>
      <c r="AA464" s="257" t="n">
        <f aca="false">+AA462+AA463</f>
        <v>-2.375</v>
      </c>
      <c r="AB464" s="257" t="n">
        <f aca="false">+AB462+AB463</f>
        <v>-2.375</v>
      </c>
      <c r="AC464" s="257" t="n">
        <f aca="false">+AC462+AC463</f>
        <v>-2.375</v>
      </c>
    </row>
    <row r="465" customFormat="false" ht="11.25" hidden="false" customHeight="false" outlineLevel="0" collapsed="false">
      <c r="A465" s="109"/>
      <c r="B465" s="35" t="str">
        <f aca="false">+"Oil Revenue ($"&amp;$F$5</f>
        <v>Oil Revenue ($Thousands)</v>
      </c>
      <c r="D465" s="35"/>
      <c r="E465" s="110"/>
      <c r="F465" s="110"/>
      <c r="G465" s="110"/>
      <c r="H465" s="111"/>
      <c r="I465" s="116" t="n">
        <f aca="false">I460*I464*1000/unit</f>
        <v>-0</v>
      </c>
      <c r="J465" s="116" t="n">
        <f aca="false">J460*J464*1000/unit</f>
        <v>-0</v>
      </c>
      <c r="K465" s="116" t="n">
        <f aca="false">K460*K464*1000/unit</f>
        <v>-0</v>
      </c>
      <c r="L465" s="116" t="n">
        <f aca="false">L460*L464*1000/unit</f>
        <v>-0</v>
      </c>
      <c r="M465" s="116" t="n">
        <f aca="false">M460*M464*1000/unit</f>
        <v>-0</v>
      </c>
      <c r="N465" s="116" t="n">
        <f aca="false">N460*N464*1000/unit</f>
        <v>-0</v>
      </c>
      <c r="O465" s="116" t="n">
        <f aca="false">O460*O464*1000/unit</f>
        <v>-0</v>
      </c>
      <c r="P465" s="116" t="n">
        <f aca="false">P460*P464*1000/unit</f>
        <v>-0</v>
      </c>
      <c r="Q465" s="116" t="n">
        <f aca="false">Q460*Q464*1000/unit</f>
        <v>-0</v>
      </c>
      <c r="R465" s="116" t="n">
        <f aca="false">R460*R464*1000/unit</f>
        <v>-0</v>
      </c>
      <c r="S465" s="116" t="n">
        <f aca="false">S460*S464*1000/unit</f>
        <v>-0</v>
      </c>
      <c r="T465" s="116" t="n">
        <f aca="false">T460*T464*1000/unit</f>
        <v>-0</v>
      </c>
      <c r="U465" s="116" t="n">
        <f aca="false">U460*U464*1000/unit</f>
        <v>-0</v>
      </c>
      <c r="V465" s="116" t="n">
        <f aca="false">V460*V464*1000/unit</f>
        <v>-0</v>
      </c>
      <c r="W465" s="116" t="n">
        <f aca="false">W460*W464*1000/unit</f>
        <v>-0</v>
      </c>
      <c r="X465" s="116" t="n">
        <f aca="false">X460*X464*1000/unit</f>
        <v>-0</v>
      </c>
      <c r="Y465" s="116" t="n">
        <f aca="false">Y460*Y464*1000/unit</f>
        <v>-0</v>
      </c>
      <c r="Z465" s="116" t="n">
        <f aca="false">Z460*Z464*1000/unit</f>
        <v>-0</v>
      </c>
      <c r="AA465" s="116" t="n">
        <f aca="false">AA460*AA464*1000/unit</f>
        <v>-0</v>
      </c>
      <c r="AB465" s="116" t="n">
        <f aca="false">AB460*AB464*1000/unit</f>
        <v>-0</v>
      </c>
      <c r="AC465" s="116" t="n">
        <f aca="false">AC460*AC464*1000/unit</f>
        <v>-0</v>
      </c>
    </row>
    <row r="466" customFormat="false" ht="11.25" hidden="false" customHeight="false" outlineLevel="0" collapsed="false">
      <c r="A466" s="109"/>
      <c r="B466" s="35"/>
      <c r="D466" s="35"/>
      <c r="E466" s="108" t="s">
        <v>388</v>
      </c>
      <c r="F466" s="108" t="s">
        <v>535</v>
      </c>
      <c r="G466" s="108" t="s">
        <v>390</v>
      </c>
      <c r="H466" s="111"/>
      <c r="I466" s="258"/>
      <c r="J466" s="258"/>
      <c r="K466" s="258"/>
      <c r="L466" s="258"/>
      <c r="M466" s="258"/>
      <c r="N466" s="258"/>
      <c r="O466" s="258"/>
      <c r="P466" s="258"/>
      <c r="Q466" s="258"/>
      <c r="R466" s="258"/>
      <c r="S466" s="258"/>
      <c r="T466" s="258"/>
      <c r="U466" s="258"/>
      <c r="V466" s="258"/>
      <c r="W466" s="258"/>
      <c r="X466" s="258"/>
      <c r="Y466" s="203"/>
      <c r="Z466" s="203"/>
      <c r="AA466" s="203"/>
      <c r="AB466" s="203"/>
      <c r="AC466" s="203"/>
    </row>
    <row r="467" customFormat="false" ht="11.25" hidden="false" customHeight="false" outlineLevel="0" collapsed="false">
      <c r="A467" s="109"/>
      <c r="B467" s="35"/>
      <c r="D467" s="35"/>
      <c r="E467" s="259" t="n">
        <v>0.6</v>
      </c>
      <c r="F467" s="273" t="n">
        <v>1</v>
      </c>
      <c r="G467" s="259" t="n">
        <v>1.4</v>
      </c>
      <c r="H467" s="111"/>
      <c r="I467" s="258"/>
      <c r="J467" s="258"/>
      <c r="K467" s="258"/>
      <c r="L467" s="258"/>
      <c r="M467" s="258"/>
      <c r="N467" s="258"/>
      <c r="O467" s="258"/>
      <c r="P467" s="258"/>
      <c r="Q467" s="258"/>
      <c r="R467" s="258"/>
      <c r="S467" s="258"/>
      <c r="T467" s="258"/>
      <c r="U467" s="258"/>
      <c r="V467" s="258"/>
      <c r="W467" s="258"/>
      <c r="X467" s="258"/>
      <c r="Y467" s="203"/>
      <c r="Z467" s="203"/>
      <c r="AA467" s="203"/>
      <c r="AB467" s="203"/>
      <c r="AC467" s="203"/>
    </row>
    <row r="468" customFormat="false" ht="11.25" hidden="false" customHeight="false" outlineLevel="0" collapsed="false">
      <c r="A468" s="109"/>
      <c r="B468" s="35"/>
      <c r="D468" s="35"/>
      <c r="E468" s="110"/>
      <c r="F468" s="110"/>
      <c r="G468" s="110"/>
      <c r="H468" s="111"/>
      <c r="I468" s="258" t="n">
        <v>0</v>
      </c>
      <c r="J468" s="258" t="n">
        <v>0</v>
      </c>
      <c r="K468" s="258" t="n">
        <v>0</v>
      </c>
      <c r="L468" s="258" t="n">
        <v>0</v>
      </c>
      <c r="M468" s="258" t="n">
        <v>0</v>
      </c>
      <c r="N468" s="258" t="n">
        <v>0</v>
      </c>
      <c r="O468" s="258" t="n">
        <v>0</v>
      </c>
      <c r="P468" s="258" t="n">
        <v>0</v>
      </c>
      <c r="Q468" s="258" t="n">
        <v>0</v>
      </c>
      <c r="R468" s="258" t="n">
        <v>0</v>
      </c>
      <c r="S468" s="258" t="n">
        <v>0</v>
      </c>
      <c r="T468" s="258" t="n">
        <v>0</v>
      </c>
      <c r="U468" s="258" t="n">
        <v>0</v>
      </c>
      <c r="V468" s="258" t="n">
        <v>0</v>
      </c>
      <c r="W468" s="258" t="n">
        <v>0</v>
      </c>
      <c r="X468" s="258" t="n">
        <v>0</v>
      </c>
      <c r="Y468" s="203" t="n">
        <v>0</v>
      </c>
      <c r="Z468" s="203" t="n">
        <v>0</v>
      </c>
      <c r="AA468" s="203" t="n">
        <v>0</v>
      </c>
      <c r="AB468" s="203" t="n">
        <v>0</v>
      </c>
      <c r="AC468" s="203"/>
    </row>
    <row r="469" customFormat="false" ht="11.25" hidden="false" customHeight="false" outlineLevel="0" collapsed="false">
      <c r="A469" s="109" t="s">
        <v>181</v>
      </c>
      <c r="B469" s="43" t="s">
        <v>521</v>
      </c>
      <c r="D469" s="35"/>
      <c r="E469" s="110"/>
      <c r="F469" s="110"/>
      <c r="G469" s="110"/>
      <c r="H469" s="111"/>
      <c r="I469" s="141" t="n">
        <f aca="false">I468*$F$467</f>
        <v>0</v>
      </c>
      <c r="J469" s="141" t="n">
        <f aca="false">J468*$F$467</f>
        <v>0</v>
      </c>
      <c r="K469" s="141" t="n">
        <f aca="false">K468*$F$467</f>
        <v>0</v>
      </c>
      <c r="L469" s="141" t="n">
        <f aca="false">L468*$F$467</f>
        <v>0</v>
      </c>
      <c r="M469" s="141" t="n">
        <f aca="false">M468*$F$467</f>
        <v>0</v>
      </c>
      <c r="N469" s="141" t="n">
        <f aca="false">N468*$F$467</f>
        <v>0</v>
      </c>
      <c r="O469" s="141" t="n">
        <f aca="false">O468*$F$467</f>
        <v>0</v>
      </c>
      <c r="P469" s="141" t="n">
        <f aca="false">P468*$F$467</f>
        <v>0</v>
      </c>
      <c r="Q469" s="141" t="n">
        <f aca="false">Q468*$F$467</f>
        <v>0</v>
      </c>
      <c r="R469" s="141" t="n">
        <f aca="false">R468*$F$467</f>
        <v>0</v>
      </c>
      <c r="S469" s="141" t="n">
        <f aca="false">S468*$F$467</f>
        <v>0</v>
      </c>
      <c r="T469" s="141" t="n">
        <f aca="false">T468*$F$467</f>
        <v>0</v>
      </c>
      <c r="U469" s="141" t="n">
        <f aca="false">U468*$F$467</f>
        <v>0</v>
      </c>
      <c r="V469" s="141" t="n">
        <f aca="false">V468*$F$467</f>
        <v>0</v>
      </c>
      <c r="W469" s="141" t="n">
        <f aca="false">W468*$F$467</f>
        <v>0</v>
      </c>
      <c r="X469" s="141" t="n">
        <f aca="false">X468*$F$467</f>
        <v>0</v>
      </c>
      <c r="Y469" s="141" t="n">
        <f aca="false">Y468*$F$467</f>
        <v>0</v>
      </c>
      <c r="Z469" s="141" t="n">
        <f aca="false">Z468*$F$467</f>
        <v>0</v>
      </c>
      <c r="AA469" s="141" t="n">
        <f aca="false">AA468*$F$467</f>
        <v>0</v>
      </c>
      <c r="AB469" s="141" t="n">
        <f aca="false">AB468*$F$467</f>
        <v>0</v>
      </c>
      <c r="AC469" s="141" t="n">
        <f aca="false">AC468*$F$467</f>
        <v>0</v>
      </c>
    </row>
    <row r="470" customFormat="false" ht="11.25" hidden="false" customHeight="false" outlineLevel="0" collapsed="false">
      <c r="A470" s="109"/>
      <c r="B470" s="43" t="s">
        <v>517</v>
      </c>
      <c r="D470" s="35"/>
      <c r="E470" s="110"/>
      <c r="F470" s="110"/>
      <c r="G470" s="110"/>
      <c r="H470" s="111"/>
      <c r="I470" s="26" t="n">
        <v>1</v>
      </c>
      <c r="J470" s="26" t="n">
        <v>0</v>
      </c>
      <c r="K470" s="26" t="n">
        <v>0</v>
      </c>
      <c r="L470" s="26" t="n">
        <f aca="false">K470</f>
        <v>0</v>
      </c>
      <c r="M470" s="26" t="n">
        <v>0</v>
      </c>
      <c r="N470" s="26" t="n">
        <v>0</v>
      </c>
      <c r="O470" s="26" t="n">
        <v>0</v>
      </c>
      <c r="P470" s="26" t="n">
        <f aca="false">O470</f>
        <v>0</v>
      </c>
      <c r="Q470" s="26" t="n">
        <v>0</v>
      </c>
      <c r="R470" s="26" t="n">
        <v>0</v>
      </c>
      <c r="S470" s="26" t="n">
        <v>0</v>
      </c>
      <c r="T470" s="26" t="n">
        <v>0</v>
      </c>
      <c r="U470" s="26" t="n">
        <v>0</v>
      </c>
      <c r="V470" s="26" t="n">
        <v>0</v>
      </c>
      <c r="W470" s="26" t="n">
        <v>0</v>
      </c>
      <c r="X470" s="26" t="n">
        <v>0</v>
      </c>
      <c r="Y470" s="26" t="n">
        <v>0</v>
      </c>
      <c r="Z470" s="26" t="n">
        <v>0</v>
      </c>
      <c r="AA470" s="26" t="n">
        <v>0</v>
      </c>
      <c r="AB470" s="26" t="n">
        <v>0</v>
      </c>
      <c r="AC470" s="26" t="n">
        <f aca="false">AB470</f>
        <v>0</v>
      </c>
    </row>
    <row r="471" customFormat="false" ht="11.25" hidden="false" customHeight="false" outlineLevel="0" collapsed="false">
      <c r="B471" s="43" t="s">
        <v>522</v>
      </c>
      <c r="D471" s="35"/>
      <c r="E471" s="110"/>
      <c r="F471" s="110"/>
      <c r="G471" s="110"/>
      <c r="H471" s="258"/>
      <c r="I471" s="120" t="n">
        <f aca="false">+I469*I470</f>
        <v>0</v>
      </c>
      <c r="J471" s="120" t="n">
        <f aca="false">+J469*J470</f>
        <v>0</v>
      </c>
      <c r="K471" s="120" t="n">
        <f aca="false">+K469*K470</f>
        <v>0</v>
      </c>
      <c r="L471" s="120" t="n">
        <f aca="false">+L469*L470</f>
        <v>0</v>
      </c>
      <c r="M471" s="120" t="n">
        <f aca="false">+M469*M470</f>
        <v>0</v>
      </c>
      <c r="N471" s="120" t="n">
        <f aca="false">+N469*N470</f>
        <v>0</v>
      </c>
      <c r="O471" s="120" t="n">
        <f aca="false">+O469*O470</f>
        <v>0</v>
      </c>
      <c r="P471" s="120" t="n">
        <f aca="false">+P469*P470</f>
        <v>0</v>
      </c>
      <c r="Q471" s="120" t="n">
        <f aca="false">+Q469*Q470</f>
        <v>0</v>
      </c>
      <c r="R471" s="120" t="n">
        <f aca="false">+R469*R470</f>
        <v>0</v>
      </c>
      <c r="S471" s="120" t="n">
        <f aca="false">+S469*S470</f>
        <v>0</v>
      </c>
      <c r="T471" s="120" t="n">
        <f aca="false">+T469*T470</f>
        <v>0</v>
      </c>
      <c r="U471" s="120" t="n">
        <f aca="false">+U469*U470</f>
        <v>0</v>
      </c>
      <c r="V471" s="120" t="n">
        <f aca="false">+V469*V470</f>
        <v>0</v>
      </c>
      <c r="W471" s="120" t="n">
        <f aca="false">+W469*W470</f>
        <v>0</v>
      </c>
      <c r="X471" s="120" t="n">
        <f aca="false">+X469*X470</f>
        <v>0</v>
      </c>
      <c r="Y471" s="120" t="n">
        <f aca="false">+Y469*Y470</f>
        <v>0</v>
      </c>
      <c r="Z471" s="120" t="n">
        <f aca="false">+Z469*Z470</f>
        <v>0</v>
      </c>
      <c r="AA471" s="120" t="n">
        <f aca="false">+AA469*AA470</f>
        <v>0</v>
      </c>
      <c r="AB471" s="120" t="n">
        <f aca="false">+AB469*AB470</f>
        <v>0</v>
      </c>
      <c r="AC471" s="120" t="n">
        <f aca="false">+AC469*AC470</f>
        <v>0</v>
      </c>
    </row>
    <row r="472" customFormat="false" ht="11.25" hidden="false" customHeight="false" outlineLevel="0" collapsed="false">
      <c r="A472" s="109"/>
      <c r="B472" s="35" t="s">
        <v>176</v>
      </c>
      <c r="D472" s="35"/>
      <c r="E472" s="110"/>
      <c r="F472" s="110"/>
      <c r="G472" s="110"/>
      <c r="H472" s="258"/>
      <c r="I472" s="26" t="n">
        <v>0</v>
      </c>
      <c r="J472" s="26" t="n">
        <f aca="false">I472</f>
        <v>0</v>
      </c>
      <c r="K472" s="26" t="n">
        <f aca="false">J472</f>
        <v>0</v>
      </c>
      <c r="L472" s="26" t="n">
        <f aca="false">K472</f>
        <v>0</v>
      </c>
      <c r="M472" s="26" t="n">
        <f aca="false">L472</f>
        <v>0</v>
      </c>
      <c r="N472" s="26" t="n">
        <f aca="false">M472</f>
        <v>0</v>
      </c>
      <c r="O472" s="26" t="n">
        <f aca="false">N472</f>
        <v>0</v>
      </c>
      <c r="P472" s="26" t="n">
        <f aca="false">O472</f>
        <v>0</v>
      </c>
      <c r="Q472" s="26" t="n">
        <f aca="false">P472</f>
        <v>0</v>
      </c>
      <c r="R472" s="26" t="n">
        <f aca="false">Q472</f>
        <v>0</v>
      </c>
      <c r="S472" s="26" t="n">
        <f aca="false">R472</f>
        <v>0</v>
      </c>
      <c r="T472" s="26" t="n">
        <f aca="false">S472</f>
        <v>0</v>
      </c>
      <c r="U472" s="26" t="n">
        <f aca="false">T472</f>
        <v>0</v>
      </c>
      <c r="V472" s="26" t="n">
        <f aca="false">U472</f>
        <v>0</v>
      </c>
      <c r="W472" s="26" t="n">
        <f aca="false">V472</f>
        <v>0</v>
      </c>
      <c r="X472" s="26" t="n">
        <f aca="false">W472</f>
        <v>0</v>
      </c>
      <c r="Y472" s="26" t="n">
        <f aca="false">X472</f>
        <v>0</v>
      </c>
      <c r="Z472" s="26" t="n">
        <f aca="false">Y472</f>
        <v>0</v>
      </c>
      <c r="AA472" s="26" t="n">
        <f aca="false">Z472</f>
        <v>0</v>
      </c>
      <c r="AB472" s="26" t="n">
        <f aca="false">AA472</f>
        <v>0</v>
      </c>
      <c r="AC472" s="26" t="n">
        <f aca="false">AB472</f>
        <v>0</v>
      </c>
    </row>
    <row r="473" customFormat="false" ht="11.25" hidden="false" customHeight="false" outlineLevel="0" collapsed="false">
      <c r="B473" s="43" t="s">
        <v>183</v>
      </c>
      <c r="D473" s="35"/>
      <c r="E473" s="110"/>
      <c r="F473" s="110"/>
      <c r="G473" s="110"/>
      <c r="H473" s="258"/>
      <c r="I473" s="120" t="n">
        <f aca="false">+I471*I472</f>
        <v>0</v>
      </c>
      <c r="J473" s="120" t="n">
        <f aca="false">+J471*J472</f>
        <v>0</v>
      </c>
      <c r="K473" s="120" t="n">
        <f aca="false">+K471*K472</f>
        <v>0</v>
      </c>
      <c r="L473" s="120" t="n">
        <f aca="false">+L471*L472</f>
        <v>0</v>
      </c>
      <c r="M473" s="120" t="n">
        <f aca="false">+M471*M472</f>
        <v>0</v>
      </c>
      <c r="N473" s="120" t="n">
        <f aca="false">+N471*N472</f>
        <v>0</v>
      </c>
      <c r="O473" s="120" t="n">
        <f aca="false">+O471*O472</f>
        <v>0</v>
      </c>
      <c r="P473" s="120" t="n">
        <f aca="false">+P471*P472</f>
        <v>0</v>
      </c>
      <c r="Q473" s="120" t="n">
        <f aca="false">+Q471*Q472</f>
        <v>0</v>
      </c>
      <c r="R473" s="120" t="n">
        <f aca="false">+R471*R472</f>
        <v>0</v>
      </c>
      <c r="S473" s="120" t="n">
        <f aca="false">+S471*S472</f>
        <v>0</v>
      </c>
      <c r="T473" s="120" t="n">
        <f aca="false">+T471*T472</f>
        <v>0</v>
      </c>
      <c r="U473" s="120" t="n">
        <f aca="false">+U471*U472</f>
        <v>0</v>
      </c>
      <c r="V473" s="120" t="n">
        <f aca="false">+V471*V472</f>
        <v>0</v>
      </c>
      <c r="W473" s="120" t="n">
        <f aca="false">+W471*W472</f>
        <v>0</v>
      </c>
      <c r="X473" s="120" t="n">
        <f aca="false">+X471*X472</f>
        <v>0</v>
      </c>
      <c r="Y473" s="120" t="n">
        <f aca="false">+Y471*Y472</f>
        <v>0</v>
      </c>
      <c r="Z473" s="120" t="n">
        <f aca="false">+Z471*Z472</f>
        <v>0</v>
      </c>
      <c r="AA473" s="120" t="n">
        <f aca="false">+AA471*AA472</f>
        <v>0</v>
      </c>
      <c r="AB473" s="120" t="n">
        <f aca="false">+AB471*AB472</f>
        <v>0</v>
      </c>
      <c r="AC473" s="120" t="n">
        <f aca="false">+AC471*AC472</f>
        <v>0</v>
      </c>
      <c r="AD473" s="67" t="n">
        <f aca="false">SUM(E473:AC473)</f>
        <v>0</v>
      </c>
    </row>
    <row r="474" customFormat="false" ht="11.25" hidden="false" customHeight="false" outlineLevel="0" collapsed="false">
      <c r="A474" s="109"/>
      <c r="B474" s="43" t="s">
        <v>187</v>
      </c>
      <c r="D474" s="118" t="s">
        <v>157</v>
      </c>
      <c r="E474" s="119" t="s">
        <v>184</v>
      </c>
      <c r="F474" s="119" t="s">
        <v>185</v>
      </c>
      <c r="G474" s="119" t="s">
        <v>186</v>
      </c>
      <c r="H474" s="111"/>
      <c r="I474" s="258"/>
      <c r="J474" s="258"/>
      <c r="K474" s="258"/>
      <c r="L474" s="258"/>
      <c r="M474" s="258"/>
      <c r="N474" s="258"/>
      <c r="O474" s="258"/>
      <c r="P474" s="258"/>
      <c r="Q474" s="258"/>
      <c r="R474" s="258"/>
      <c r="S474" s="258"/>
      <c r="T474" s="258"/>
      <c r="U474" s="258"/>
      <c r="V474" s="258"/>
      <c r="W474" s="258"/>
      <c r="X474" s="258"/>
      <c r="Y474" s="258"/>
      <c r="Z474" s="258"/>
      <c r="AA474" s="258"/>
      <c r="AB474" s="258"/>
      <c r="AC474" s="258"/>
    </row>
    <row r="475" customFormat="false" ht="11.25" hidden="false" customHeight="false" outlineLevel="0" collapsed="false">
      <c r="A475" s="109"/>
      <c r="D475" s="100" t="s">
        <v>162</v>
      </c>
      <c r="E475" s="121"/>
      <c r="F475" s="121"/>
      <c r="G475" s="121"/>
      <c r="H475" s="111"/>
      <c r="I475" s="264" t="n">
        <v>1</v>
      </c>
      <c r="J475" s="264" t="n">
        <v>1</v>
      </c>
      <c r="K475" s="264" t="n">
        <v>1</v>
      </c>
      <c r="L475" s="264" t="n">
        <v>1</v>
      </c>
      <c r="M475" s="264" t="n">
        <v>1</v>
      </c>
      <c r="N475" s="264" t="n">
        <v>1</v>
      </c>
      <c r="O475" s="264" t="n">
        <v>1</v>
      </c>
      <c r="P475" s="264" t="n">
        <v>1</v>
      </c>
      <c r="Q475" s="264" t="n">
        <v>1</v>
      </c>
      <c r="R475" s="264" t="n">
        <v>1</v>
      </c>
      <c r="S475" s="264" t="n">
        <v>1</v>
      </c>
      <c r="T475" s="264" t="n">
        <v>1</v>
      </c>
      <c r="U475" s="264" t="n">
        <v>1</v>
      </c>
      <c r="V475" s="264" t="n">
        <v>1</v>
      </c>
      <c r="W475" s="264" t="n">
        <v>1</v>
      </c>
      <c r="X475" s="264" t="n">
        <v>1</v>
      </c>
      <c r="Y475" s="264" t="n">
        <v>1</v>
      </c>
      <c r="Z475" s="264" t="n">
        <v>1</v>
      </c>
      <c r="AA475" s="264" t="n">
        <v>1</v>
      </c>
      <c r="AB475" s="264" t="n">
        <v>1</v>
      </c>
      <c r="AC475" s="264" t="n">
        <v>1</v>
      </c>
    </row>
    <row r="476" customFormat="false" ht="11.25" hidden="false" customHeight="false" outlineLevel="0" collapsed="false">
      <c r="A476" s="109"/>
      <c r="B476" s="43" t="s">
        <v>188</v>
      </c>
      <c r="D476" s="35"/>
      <c r="I476" s="116" t="n">
        <f aca="false">+I475*I473</f>
        <v>0</v>
      </c>
      <c r="J476" s="116" t="n">
        <f aca="false">+J475*J473</f>
        <v>0</v>
      </c>
      <c r="K476" s="116" t="n">
        <f aca="false">+K475*K473</f>
        <v>0</v>
      </c>
      <c r="L476" s="116" t="n">
        <f aca="false">+L475*L473</f>
        <v>0</v>
      </c>
      <c r="M476" s="116" t="n">
        <f aca="false">+M475*M473</f>
        <v>0</v>
      </c>
      <c r="N476" s="116" t="n">
        <f aca="false">+N475*N473</f>
        <v>0</v>
      </c>
      <c r="O476" s="116" t="n">
        <f aca="false">+O475*O473</f>
        <v>0</v>
      </c>
      <c r="P476" s="116" t="n">
        <f aca="false">+P475*P473</f>
        <v>0</v>
      </c>
      <c r="Q476" s="116" t="n">
        <f aca="false">+Q475*Q473</f>
        <v>0</v>
      </c>
      <c r="R476" s="116" t="n">
        <f aca="false">+R475*R473</f>
        <v>0</v>
      </c>
      <c r="S476" s="116" t="n">
        <f aca="false">+S475*S473</f>
        <v>0</v>
      </c>
      <c r="T476" s="116" t="n">
        <f aca="false">+T475*T473</f>
        <v>0</v>
      </c>
      <c r="U476" s="116" t="n">
        <f aca="false">+U475*U473</f>
        <v>0</v>
      </c>
      <c r="V476" s="116" t="n">
        <f aca="false">+V475*V473</f>
        <v>0</v>
      </c>
      <c r="W476" s="116" t="n">
        <f aca="false">+W475*W473</f>
        <v>0</v>
      </c>
      <c r="X476" s="116" t="n">
        <f aca="false">+X475*X473</f>
        <v>0</v>
      </c>
      <c r="Y476" s="116" t="n">
        <f aca="false">+Y475*Y473</f>
        <v>0</v>
      </c>
      <c r="Z476" s="116" t="n">
        <f aca="false">+Z475*Z473</f>
        <v>0</v>
      </c>
      <c r="AA476" s="116" t="n">
        <f aca="false">+AA475*AA473</f>
        <v>0</v>
      </c>
      <c r="AB476" s="116" t="n">
        <f aca="false">+AB475*AB473</f>
        <v>0</v>
      </c>
      <c r="AC476" s="116" t="n">
        <f aca="false">+AC475*AC473</f>
        <v>0</v>
      </c>
    </row>
    <row r="477" customFormat="false" ht="11.25" hidden="false" customHeight="false" outlineLevel="0" collapsed="false">
      <c r="A477" s="109"/>
      <c r="B477" s="43"/>
      <c r="D477" s="35"/>
      <c r="I477" s="258"/>
      <c r="J477" s="258"/>
      <c r="K477" s="258"/>
      <c r="L477" s="258"/>
      <c r="M477" s="258"/>
      <c r="N477" s="258"/>
      <c r="O477" s="258"/>
      <c r="P477" s="258"/>
      <c r="Q477" s="258"/>
      <c r="R477" s="258"/>
      <c r="S477" s="258"/>
      <c r="T477" s="258"/>
      <c r="U477" s="258"/>
      <c r="V477" s="258"/>
      <c r="W477" s="258"/>
      <c r="X477" s="258"/>
      <c r="Y477" s="258"/>
      <c r="Z477" s="258"/>
      <c r="AA477" s="258"/>
      <c r="AB477" s="258"/>
      <c r="AC477" s="258"/>
    </row>
    <row r="478" customFormat="false" ht="11.25" hidden="false" customHeight="false" outlineLevel="0" collapsed="false">
      <c r="A478" s="109"/>
      <c r="B478" s="43" t="s">
        <v>523</v>
      </c>
      <c r="D478" s="102" t="n">
        <v>5</v>
      </c>
      <c r="I478" s="123" t="n">
        <f aca="false">IF($D478=1,I$197,IF($D478=2,I$200,IF($D478=3,I$202,IF($D478=4,I$204,IF($D478=5,I$206,IF($D478=5,I$208,I$197))))))</f>
        <v>0</v>
      </c>
      <c r="J478" s="123" t="n">
        <f aca="false">IF($D478=1,J$197,IF($D478=2,J$200,IF($D478=3,J$202,IF($D478=4,J$204,IF($D478=5,J$206,IF($D478=5,J$208,J$197))))))</f>
        <v>0</v>
      </c>
      <c r="K478" s="123" t="n">
        <f aca="false">IF($D478=1,K$197,IF($D478=2,K$200,IF($D478=3,K$202,IF($D478=4,K$204,IF($D478=5,K$206,IF($D478=5,K$208,K$197))))))</f>
        <v>0</v>
      </c>
      <c r="L478" s="123" t="n">
        <f aca="false">IF($D478=1,L$197,IF($D478=2,L$200,IF($D478=3,L$202,IF($D478=4,L$204,IF($D478=5,L$206,IF($D478=5,L$208,L$197))))))</f>
        <v>0</v>
      </c>
      <c r="M478" s="123" t="n">
        <f aca="false">IF($D478=1,M$197,IF($D478=2,M$200,IF($D478=3,M$202,IF($D478=4,M$204,IF($D478=5,M$206,IF($D478=5,M$208,M$197))))))</f>
        <v>0</v>
      </c>
      <c r="N478" s="123" t="n">
        <f aca="false">IF($D478=1,N$197,IF($D478=2,N$200,IF($D478=3,N$202,IF($D478=4,N$204,IF($D478=5,N$206,IF($D478=5,N$208,N$197))))))</f>
        <v>0</v>
      </c>
      <c r="O478" s="123" t="n">
        <f aca="false">IF($D478=1,O$197,IF($D478=2,O$200,IF($D478=3,O$202,IF($D478=4,O$204,IF($D478=5,O$206,IF($D478=5,O$208,O$197))))))</f>
        <v>0</v>
      </c>
      <c r="P478" s="123" t="n">
        <f aca="false">IF($D478=1,P$197,IF($D478=2,P$200,IF($D478=3,P$202,IF($D478=4,P$204,IF($D478=5,P$206,IF($D478=5,P$208,P$197))))))</f>
        <v>0</v>
      </c>
      <c r="Q478" s="123" t="n">
        <f aca="false">IF($D478=1,Q$197,IF($D478=2,Q$200,IF($D478=3,Q$202,IF($D478=4,Q$204,IF($D478=5,Q$206,IF($D478=5,Q$208,Q$197))))))</f>
        <v>0</v>
      </c>
      <c r="R478" s="123" t="n">
        <f aca="false">IF($D478=1,R$197,IF($D478=2,R$200,IF($D478=3,R$202,IF($D478=4,R$204,IF($D478=5,R$206,IF($D478=5,R$208,R$197))))))</f>
        <v>0</v>
      </c>
      <c r="S478" s="123" t="n">
        <f aca="false">IF($D478=1,S$197,IF($D478=2,S$200,IF($D478=3,S$202,IF($D478=4,S$204,IF($D478=5,S$206,IF($D478=5,S$208,S$197))))))</f>
        <v>0</v>
      </c>
      <c r="T478" s="123" t="n">
        <f aca="false">IF($D478=1,T$197,IF($D478=2,T$200,IF($D478=3,T$202,IF($D478=4,T$204,IF($D478=5,T$206,IF($D478=5,T$208,T$197))))))</f>
        <v>0</v>
      </c>
      <c r="U478" s="123" t="n">
        <f aca="false">IF($D478=1,U$197,IF($D478=2,U$200,IF($D478=3,U$202,IF($D478=4,U$204,IF($D478=5,U$206,IF($D478=5,U$208,U$197))))))</f>
        <v>0</v>
      </c>
      <c r="V478" s="123" t="n">
        <f aca="false">IF($D478=1,V$197,IF($D478=2,V$200,IF($D478=3,V$202,IF($D478=4,V$204,IF($D478=5,V$206,IF($D478=5,V$208,V$197))))))</f>
        <v>0</v>
      </c>
      <c r="W478" s="123" t="n">
        <f aca="false">IF($D478=1,W$197,IF($D478=2,W$200,IF($D478=3,W$202,IF($D478=4,W$204,IF($D478=5,W$206,IF($D478=5,W$208,W$197))))))</f>
        <v>0</v>
      </c>
      <c r="X478" s="123" t="n">
        <f aca="false">IF($D478=1,X$197,IF($D478=2,X$200,IF($D478=3,X$202,IF($D478=4,X$204,IF($D478=5,X$206,IF($D478=5,X$208,X$197))))))</f>
        <v>0</v>
      </c>
      <c r="Y478" s="123" t="n">
        <f aca="false">IF($D478=1,Y$197,IF($D478=2,Y$200,IF($D478=3,Y$202,IF($D478=4,Y$204,IF($D478=5,Y$206,IF($D478=5,Y$208,Y$197))))))</f>
        <v>0</v>
      </c>
      <c r="Z478" s="123" t="n">
        <f aca="false">IF($D478=1,Z$197,IF($D478=2,Z$200,IF($D478=3,Z$202,IF($D478=4,Z$204,IF($D478=5,Z$206,IF($D478=5,Z$208,Z$197))))))</f>
        <v>0</v>
      </c>
      <c r="AA478" s="123" t="n">
        <f aca="false">IF($D478=1,AA$197,IF($D478=2,AA$200,IF($D478=3,AA$202,IF($D478=4,AA$204,IF($D478=5,AA$206,IF($D478=5,AA$208,AA$197))))))</f>
        <v>0</v>
      </c>
      <c r="AB478" s="123" t="n">
        <f aca="false">IF($D478=1,AB$197,IF($D478=2,AB$200,IF($D478=3,AB$202,IF($D478=4,AB$204,IF($D478=5,AB$206,IF($D478=5,AB$208,AB$197))))))</f>
        <v>0</v>
      </c>
      <c r="AC478" s="123" t="n">
        <f aca="false">IF($D478=1,AC$197,IF($D478=2,AC$200,IF($D478=3,AC$202,IF($D478=4,AC$204,IF($D478=5,AC$206,IF($D478=5,AC$208,AC$197))))))</f>
        <v>0</v>
      </c>
    </row>
    <row r="479" customFormat="false" ht="11.25" hidden="false" customHeight="false" outlineLevel="0" collapsed="false">
      <c r="A479" s="109"/>
      <c r="B479" s="43" t="s">
        <v>179</v>
      </c>
      <c r="D479" s="35"/>
      <c r="E479" s="124"/>
      <c r="F479" s="124"/>
      <c r="G479" s="124"/>
      <c r="H479" s="125"/>
      <c r="I479" s="264" t="n">
        <f aca="false">-0.375</f>
        <v>-0.375</v>
      </c>
      <c r="J479" s="264" t="n">
        <f aca="false">I479</f>
        <v>-0.375</v>
      </c>
      <c r="K479" s="264" t="n">
        <f aca="false">J479</f>
        <v>-0.375</v>
      </c>
      <c r="L479" s="264" t="n">
        <f aca="false">K479</f>
        <v>-0.375</v>
      </c>
      <c r="M479" s="264" t="n">
        <f aca="false">L479</f>
        <v>-0.375</v>
      </c>
      <c r="N479" s="264" t="n">
        <f aca="false">M479</f>
        <v>-0.375</v>
      </c>
      <c r="O479" s="264" t="n">
        <f aca="false">N479</f>
        <v>-0.375</v>
      </c>
      <c r="P479" s="264" t="n">
        <f aca="false">O479</f>
        <v>-0.375</v>
      </c>
      <c r="Q479" s="264" t="n">
        <f aca="false">P479</f>
        <v>-0.375</v>
      </c>
      <c r="R479" s="264" t="n">
        <f aca="false">Q479</f>
        <v>-0.375</v>
      </c>
      <c r="S479" s="264" t="n">
        <f aca="false">R479</f>
        <v>-0.375</v>
      </c>
      <c r="T479" s="264" t="n">
        <f aca="false">S479</f>
        <v>-0.375</v>
      </c>
      <c r="U479" s="264" t="n">
        <f aca="false">T479</f>
        <v>-0.375</v>
      </c>
      <c r="V479" s="264" t="n">
        <f aca="false">U479</f>
        <v>-0.375</v>
      </c>
      <c r="W479" s="264" t="n">
        <f aca="false">V479</f>
        <v>-0.375</v>
      </c>
      <c r="X479" s="264" t="n">
        <f aca="false">W479</f>
        <v>-0.375</v>
      </c>
      <c r="Y479" s="264" t="n">
        <f aca="false">X479</f>
        <v>-0.375</v>
      </c>
      <c r="Z479" s="264" t="n">
        <f aca="false">Y479</f>
        <v>-0.375</v>
      </c>
      <c r="AA479" s="264" t="n">
        <f aca="false">Z479</f>
        <v>-0.375</v>
      </c>
      <c r="AB479" s="264" t="n">
        <f aca="false">AA479</f>
        <v>-0.375</v>
      </c>
      <c r="AC479" s="264" t="n">
        <f aca="false">AB479</f>
        <v>-0.375</v>
      </c>
    </row>
    <row r="480" customFormat="false" ht="11.25" hidden="false" customHeight="false" outlineLevel="0" collapsed="false">
      <c r="A480" s="109"/>
      <c r="B480" s="43" t="s">
        <v>190</v>
      </c>
      <c r="D480" s="35"/>
      <c r="I480" s="267" t="n">
        <f aca="false">+I478+I479</f>
        <v>-0.375</v>
      </c>
      <c r="J480" s="267" t="n">
        <f aca="false">+J478+J479</f>
        <v>-0.375</v>
      </c>
      <c r="K480" s="267" t="n">
        <f aca="false">+K478+K479</f>
        <v>-0.375</v>
      </c>
      <c r="L480" s="267" t="n">
        <f aca="false">+L478+L479</f>
        <v>-0.375</v>
      </c>
      <c r="M480" s="267" t="n">
        <f aca="false">+M478+M479</f>
        <v>-0.375</v>
      </c>
      <c r="N480" s="267" t="n">
        <f aca="false">+N478+N479</f>
        <v>-0.375</v>
      </c>
      <c r="O480" s="267" t="n">
        <f aca="false">+O478+O479</f>
        <v>-0.375</v>
      </c>
      <c r="P480" s="267" t="n">
        <f aca="false">+P478+P479</f>
        <v>-0.375</v>
      </c>
      <c r="Q480" s="267" t="n">
        <f aca="false">+Q478+Q479</f>
        <v>-0.375</v>
      </c>
      <c r="R480" s="267" t="n">
        <f aca="false">+R478+R479</f>
        <v>-0.375</v>
      </c>
      <c r="S480" s="267" t="n">
        <f aca="false">+S478+S479</f>
        <v>-0.375</v>
      </c>
      <c r="T480" s="267" t="n">
        <f aca="false">+T478+T479</f>
        <v>-0.375</v>
      </c>
      <c r="U480" s="267" t="n">
        <f aca="false">+U478+U479</f>
        <v>-0.375</v>
      </c>
      <c r="V480" s="267" t="n">
        <f aca="false">+V478+V479</f>
        <v>-0.375</v>
      </c>
      <c r="W480" s="267" t="n">
        <f aca="false">+W478+W479</f>
        <v>-0.375</v>
      </c>
      <c r="X480" s="267" t="n">
        <f aca="false">+X478+X479</f>
        <v>-0.375</v>
      </c>
      <c r="Y480" s="267" t="n">
        <f aca="false">+Y478+Y479</f>
        <v>-0.375</v>
      </c>
      <c r="Z480" s="267" t="n">
        <f aca="false">+Z478+Z479</f>
        <v>-0.375</v>
      </c>
      <c r="AA480" s="267" t="n">
        <f aca="false">+AA478+AA479</f>
        <v>-0.375</v>
      </c>
      <c r="AB480" s="267" t="n">
        <f aca="false">+AB478+AB479</f>
        <v>-0.375</v>
      </c>
      <c r="AC480" s="267" t="n">
        <f aca="false">+AC478+AC479</f>
        <v>-0.375</v>
      </c>
    </row>
    <row r="481" customFormat="false" ht="11.25" hidden="false" customHeight="false" outlineLevel="0" collapsed="false">
      <c r="A481" s="109"/>
      <c r="B481" s="35" t="str">
        <f aca="false">+"Gas Revenues ($"&amp;$F$5</f>
        <v>Gas Revenues ($Thousands)</v>
      </c>
      <c r="D481" s="35"/>
      <c r="I481" s="116" t="n">
        <f aca="false">I476*1000*I480/unit</f>
        <v>-0</v>
      </c>
      <c r="J481" s="116" t="n">
        <f aca="false">J476*1000*J480/unit</f>
        <v>-0</v>
      </c>
      <c r="K481" s="116" t="n">
        <f aca="false">K476*1000*K480/unit</f>
        <v>-0</v>
      </c>
      <c r="L481" s="116" t="n">
        <f aca="false">L476*1000*L480/unit</f>
        <v>-0</v>
      </c>
      <c r="M481" s="116" t="n">
        <f aca="false">M476*1000*M480/unit</f>
        <v>-0</v>
      </c>
      <c r="N481" s="116" t="n">
        <f aca="false">N476*1000*N480/unit</f>
        <v>-0</v>
      </c>
      <c r="O481" s="116" t="n">
        <f aca="false">O476*1000*O480/unit</f>
        <v>-0</v>
      </c>
      <c r="P481" s="116" t="n">
        <f aca="false">P476*1000*P480/unit</f>
        <v>-0</v>
      </c>
      <c r="Q481" s="116" t="n">
        <f aca="false">Q476*1000*Q480/unit</f>
        <v>-0</v>
      </c>
      <c r="R481" s="116" t="n">
        <f aca="false">R476*1000*R480/unit</f>
        <v>-0</v>
      </c>
      <c r="S481" s="116" t="n">
        <f aca="false">S476*1000*S480/unit</f>
        <v>-0</v>
      </c>
      <c r="T481" s="116" t="n">
        <f aca="false">T476*1000*T480/unit</f>
        <v>-0</v>
      </c>
      <c r="U481" s="116" t="n">
        <f aca="false">U476*1000*U480/unit</f>
        <v>-0</v>
      </c>
      <c r="V481" s="116" t="n">
        <f aca="false">V476*1000*V480/unit</f>
        <v>-0</v>
      </c>
      <c r="W481" s="116" t="n">
        <f aca="false">W476*1000*W480/unit</f>
        <v>-0</v>
      </c>
      <c r="X481" s="116" t="n">
        <f aca="false">X476*1000*X480/unit</f>
        <v>-0</v>
      </c>
      <c r="Y481" s="116" t="n">
        <f aca="false">Y476*1000*Y480/unit</f>
        <v>-0</v>
      </c>
      <c r="Z481" s="116" t="n">
        <f aca="false">Z476*1000*Z480/unit</f>
        <v>-0</v>
      </c>
      <c r="AA481" s="116" t="n">
        <f aca="false">AA476*1000*AA480/unit</f>
        <v>-0</v>
      </c>
      <c r="AB481" s="116" t="n">
        <f aca="false">AB476*1000*AB480/unit</f>
        <v>-0</v>
      </c>
      <c r="AC481" s="116" t="n">
        <f aca="false">AC476*1000*AC480/unit</f>
        <v>-0</v>
      </c>
    </row>
    <row r="482" customFormat="false" ht="11.25" hidden="false" customHeight="false" outlineLevel="0" collapsed="false">
      <c r="A482" s="109"/>
      <c r="B482" s="35"/>
      <c r="D482" s="35"/>
      <c r="E482" s="110"/>
      <c r="F482" s="110"/>
      <c r="G482" s="110"/>
      <c r="H482" s="111"/>
      <c r="I482" s="258"/>
      <c r="J482" s="258"/>
      <c r="K482" s="258"/>
      <c r="L482" s="258"/>
      <c r="M482" s="258"/>
      <c r="N482" s="258"/>
      <c r="O482" s="258"/>
      <c r="P482" s="258"/>
      <c r="Q482" s="258"/>
      <c r="R482" s="258"/>
      <c r="S482" s="258"/>
      <c r="T482" s="258"/>
      <c r="U482" s="258"/>
      <c r="V482" s="258"/>
      <c r="W482" s="258"/>
      <c r="X482" s="258"/>
      <c r="Y482" s="268"/>
      <c r="Z482" s="268"/>
      <c r="AA482" s="268"/>
      <c r="AB482" s="268"/>
      <c r="AC482" s="268"/>
    </row>
    <row r="483" customFormat="false" ht="11.25" hidden="false" customHeight="false" outlineLevel="0" collapsed="false">
      <c r="A483" s="109" t="s">
        <v>524</v>
      </c>
      <c r="B483" s="35" t="s">
        <v>525</v>
      </c>
      <c r="D483" s="35"/>
      <c r="E483" s="110"/>
      <c r="F483" s="110"/>
      <c r="G483" s="110"/>
      <c r="H483" s="111"/>
      <c r="I483" s="141" t="n">
        <v>0</v>
      </c>
      <c r="J483" s="141" t="n">
        <v>0</v>
      </c>
      <c r="K483" s="141" t="n">
        <v>0</v>
      </c>
      <c r="L483" s="141" t="n">
        <v>0</v>
      </c>
      <c r="M483" s="141" t="n">
        <v>0</v>
      </c>
      <c r="N483" s="141" t="n">
        <v>0</v>
      </c>
      <c r="O483" s="141" t="n">
        <v>0</v>
      </c>
      <c r="P483" s="141" t="n">
        <v>0</v>
      </c>
      <c r="Q483" s="141" t="n">
        <v>0</v>
      </c>
      <c r="R483" s="141" t="n">
        <v>0</v>
      </c>
      <c r="S483" s="141" t="n">
        <v>0</v>
      </c>
      <c r="T483" s="141" t="n">
        <v>0</v>
      </c>
      <c r="U483" s="141" t="n">
        <v>0</v>
      </c>
      <c r="V483" s="141" t="n">
        <v>0</v>
      </c>
      <c r="W483" s="141" t="n">
        <v>0</v>
      </c>
      <c r="X483" s="141" t="n">
        <v>0</v>
      </c>
      <c r="Y483" s="141" t="n">
        <v>0</v>
      </c>
      <c r="Z483" s="141" t="n">
        <v>0</v>
      </c>
      <c r="AA483" s="141" t="n">
        <v>0</v>
      </c>
      <c r="AB483" s="141" t="n">
        <v>0</v>
      </c>
      <c r="AC483" s="141" t="n">
        <v>0</v>
      </c>
    </row>
    <row r="484" customFormat="false" ht="11.25" hidden="false" customHeight="false" outlineLevel="0" collapsed="false">
      <c r="B484" s="43" t="s">
        <v>517</v>
      </c>
      <c r="D484" s="35"/>
      <c r="E484" s="110"/>
      <c r="F484" s="110"/>
      <c r="G484" s="110"/>
      <c r="H484" s="111"/>
      <c r="I484" s="26" t="n">
        <v>1</v>
      </c>
      <c r="J484" s="26" t="n">
        <f aca="false">I484</f>
        <v>1</v>
      </c>
      <c r="K484" s="26" t="n">
        <f aca="false">J484</f>
        <v>1</v>
      </c>
      <c r="L484" s="26" t="n">
        <f aca="false">K484</f>
        <v>1</v>
      </c>
      <c r="M484" s="26" t="n">
        <f aca="false">L484</f>
        <v>1</v>
      </c>
      <c r="N484" s="26" t="n">
        <f aca="false">M484</f>
        <v>1</v>
      </c>
      <c r="O484" s="26" t="n">
        <f aca="false">N484</f>
        <v>1</v>
      </c>
      <c r="P484" s="26" t="n">
        <f aca="false">O484</f>
        <v>1</v>
      </c>
      <c r="Q484" s="26" t="n">
        <f aca="false">P484</f>
        <v>1</v>
      </c>
      <c r="R484" s="26" t="n">
        <f aca="false">Q484</f>
        <v>1</v>
      </c>
      <c r="S484" s="26" t="n">
        <f aca="false">R484</f>
        <v>1</v>
      </c>
      <c r="T484" s="26" t="n">
        <f aca="false">S484</f>
        <v>1</v>
      </c>
      <c r="U484" s="26" t="n">
        <f aca="false">T484</f>
        <v>1</v>
      </c>
      <c r="V484" s="26" t="n">
        <f aca="false">U484</f>
        <v>1</v>
      </c>
      <c r="W484" s="26" t="n">
        <f aca="false">V484</f>
        <v>1</v>
      </c>
      <c r="X484" s="26" t="n">
        <f aca="false">W484</f>
        <v>1</v>
      </c>
      <c r="Y484" s="26" t="n">
        <f aca="false">X484</f>
        <v>1</v>
      </c>
      <c r="Z484" s="26" t="n">
        <f aca="false">Y484</f>
        <v>1</v>
      </c>
      <c r="AA484" s="26" t="n">
        <f aca="false">Z484</f>
        <v>1</v>
      </c>
      <c r="AB484" s="26" t="n">
        <f aca="false">AA484</f>
        <v>1</v>
      </c>
      <c r="AC484" s="26" t="n">
        <f aca="false">AB484</f>
        <v>1</v>
      </c>
    </row>
    <row r="485" customFormat="false" ht="11.25" hidden="false" customHeight="false" outlineLevel="0" collapsed="false">
      <c r="B485" s="43" t="s">
        <v>526</v>
      </c>
      <c r="D485" s="35"/>
      <c r="E485" s="128"/>
      <c r="F485" s="128"/>
      <c r="G485" s="128"/>
      <c r="H485" s="258"/>
      <c r="I485" s="120" t="n">
        <f aca="false">+I483*I484</f>
        <v>0</v>
      </c>
      <c r="J485" s="120" t="n">
        <f aca="false">+J483*J484</f>
        <v>0</v>
      </c>
      <c r="K485" s="120" t="n">
        <f aca="false">+K483*K484</f>
        <v>0</v>
      </c>
      <c r="L485" s="120" t="n">
        <f aca="false">+L483*L484</f>
        <v>0</v>
      </c>
      <c r="M485" s="120" t="n">
        <f aca="false">+M483*M484</f>
        <v>0</v>
      </c>
      <c r="N485" s="120" t="n">
        <f aca="false">+N483*N484</f>
        <v>0</v>
      </c>
      <c r="O485" s="120" t="n">
        <f aca="false">+O483*O484</f>
        <v>0</v>
      </c>
      <c r="P485" s="120" t="n">
        <f aca="false">+P483*P484</f>
        <v>0</v>
      </c>
      <c r="Q485" s="120" t="n">
        <f aca="false">+Q483*Q484</f>
        <v>0</v>
      </c>
      <c r="R485" s="120" t="n">
        <f aca="false">+R483*R484</f>
        <v>0</v>
      </c>
      <c r="S485" s="120" t="n">
        <f aca="false">+S483*S484</f>
        <v>0</v>
      </c>
      <c r="T485" s="120" t="n">
        <f aca="false">+T483*T484</f>
        <v>0</v>
      </c>
      <c r="U485" s="120" t="n">
        <f aca="false">+U483*U484</f>
        <v>0</v>
      </c>
      <c r="V485" s="120" t="n">
        <f aca="false">+V483*V484</f>
        <v>0</v>
      </c>
      <c r="W485" s="120" t="n">
        <f aca="false">+W483*W484</f>
        <v>0</v>
      </c>
      <c r="X485" s="120" t="n">
        <f aca="false">+X483*X484</f>
        <v>0</v>
      </c>
      <c r="Y485" s="120" t="n">
        <f aca="false">+Y483*Y484</f>
        <v>0</v>
      </c>
      <c r="Z485" s="120" t="n">
        <f aca="false">+Z483*Z484</f>
        <v>0</v>
      </c>
      <c r="AA485" s="120" t="n">
        <f aca="false">+AA483*AA484</f>
        <v>0</v>
      </c>
      <c r="AB485" s="120" t="n">
        <f aca="false">+AB483*AB484</f>
        <v>0</v>
      </c>
      <c r="AC485" s="120" t="n">
        <f aca="false">+AC483*AC484</f>
        <v>0</v>
      </c>
    </row>
    <row r="486" customFormat="false" ht="11.25" hidden="false" customHeight="false" outlineLevel="0" collapsed="false">
      <c r="A486" s="109"/>
      <c r="B486" s="35" t="s">
        <v>176</v>
      </c>
      <c r="D486" s="35"/>
      <c r="E486" s="128"/>
      <c r="F486" s="128"/>
      <c r="G486" s="128"/>
      <c r="H486" s="258"/>
      <c r="I486" s="26" t="n">
        <v>1</v>
      </c>
      <c r="J486" s="26" t="n">
        <f aca="false">I486</f>
        <v>1</v>
      </c>
      <c r="K486" s="26" t="n">
        <f aca="false">J486</f>
        <v>1</v>
      </c>
      <c r="L486" s="26" t="n">
        <f aca="false">K486</f>
        <v>1</v>
      </c>
      <c r="M486" s="26" t="n">
        <f aca="false">L486</f>
        <v>1</v>
      </c>
      <c r="N486" s="26" t="n">
        <f aca="false">M486</f>
        <v>1</v>
      </c>
      <c r="O486" s="26" t="n">
        <f aca="false">N486</f>
        <v>1</v>
      </c>
      <c r="P486" s="26" t="n">
        <f aca="false">O486</f>
        <v>1</v>
      </c>
      <c r="Q486" s="26" t="n">
        <f aca="false">P486</f>
        <v>1</v>
      </c>
      <c r="R486" s="26" t="n">
        <f aca="false">Q486</f>
        <v>1</v>
      </c>
      <c r="S486" s="26" t="n">
        <f aca="false">R486</f>
        <v>1</v>
      </c>
      <c r="T486" s="26" t="n">
        <f aca="false">S486</f>
        <v>1</v>
      </c>
      <c r="U486" s="26" t="n">
        <f aca="false">T486</f>
        <v>1</v>
      </c>
      <c r="V486" s="26" t="n">
        <f aca="false">U486</f>
        <v>1</v>
      </c>
      <c r="W486" s="26" t="n">
        <f aca="false">V486</f>
        <v>1</v>
      </c>
      <c r="X486" s="26" t="n">
        <f aca="false">W486</f>
        <v>1</v>
      </c>
      <c r="Y486" s="26" t="n">
        <f aca="false">X486</f>
        <v>1</v>
      </c>
      <c r="Z486" s="26" t="n">
        <f aca="false">Y486</f>
        <v>1</v>
      </c>
      <c r="AA486" s="26" t="n">
        <f aca="false">Z486</f>
        <v>1</v>
      </c>
      <c r="AB486" s="26" t="n">
        <f aca="false">AA486</f>
        <v>1</v>
      </c>
      <c r="AC486" s="26" t="n">
        <f aca="false">AB486</f>
        <v>1</v>
      </c>
    </row>
    <row r="487" customFormat="false" ht="11.25" hidden="false" customHeight="false" outlineLevel="0" collapsed="false">
      <c r="B487" s="43" t="s">
        <v>527</v>
      </c>
      <c r="D487" s="35"/>
      <c r="H487" s="12"/>
      <c r="I487" s="120" t="n">
        <f aca="false">+I485*I486</f>
        <v>0</v>
      </c>
      <c r="J487" s="120" t="n">
        <f aca="false">+J485*J486</f>
        <v>0</v>
      </c>
      <c r="K487" s="120" t="n">
        <f aca="false">+K485*K486</f>
        <v>0</v>
      </c>
      <c r="L487" s="120" t="n">
        <f aca="false">+L485*L486</f>
        <v>0</v>
      </c>
      <c r="M487" s="120" t="n">
        <f aca="false">+M485*M486</f>
        <v>0</v>
      </c>
      <c r="N487" s="120" t="n">
        <f aca="false">+N485*N486</f>
        <v>0</v>
      </c>
      <c r="O487" s="120" t="n">
        <f aca="false">+O485*O486</f>
        <v>0</v>
      </c>
      <c r="P487" s="120" t="n">
        <f aca="false">+P485*P486</f>
        <v>0</v>
      </c>
      <c r="Q487" s="120" t="n">
        <f aca="false">+Q485*Q486</f>
        <v>0</v>
      </c>
      <c r="R487" s="120" t="n">
        <f aca="false">+R485*R486</f>
        <v>0</v>
      </c>
      <c r="S487" s="120" t="n">
        <f aca="false">+S485*S486</f>
        <v>0</v>
      </c>
      <c r="T487" s="120" t="n">
        <f aca="false">+T485*T486</f>
        <v>0</v>
      </c>
      <c r="U487" s="120" t="n">
        <f aca="false">+U485*U486</f>
        <v>0</v>
      </c>
      <c r="V487" s="120" t="n">
        <f aca="false">+V485*V486</f>
        <v>0</v>
      </c>
      <c r="W487" s="120" t="n">
        <f aca="false">+W485*W486</f>
        <v>0</v>
      </c>
      <c r="X487" s="120" t="n">
        <f aca="false">+X485*X486</f>
        <v>0</v>
      </c>
      <c r="Y487" s="120" t="n">
        <f aca="false">+Y485*Y486</f>
        <v>0</v>
      </c>
      <c r="Z487" s="120" t="n">
        <f aca="false">+Z485*Z486</f>
        <v>0</v>
      </c>
      <c r="AA487" s="120" t="n">
        <f aca="false">+AA485*AA486</f>
        <v>0</v>
      </c>
      <c r="AB487" s="120" t="n">
        <f aca="false">+AB485*AB486</f>
        <v>0</v>
      </c>
      <c r="AC487" s="120" t="n">
        <f aca="false">+AC485*AC486</f>
        <v>0</v>
      </c>
    </row>
    <row r="488" customFormat="false" ht="11.25" hidden="false" customHeight="false" outlineLevel="0" collapsed="false">
      <c r="D488" s="35"/>
    </row>
    <row r="489" customFormat="false" ht="11.25" hidden="false" customHeight="false" outlineLevel="0" collapsed="false">
      <c r="A489" s="4"/>
      <c r="B489" s="43" t="s">
        <v>528</v>
      </c>
      <c r="D489" s="102" t="n">
        <v>1</v>
      </c>
      <c r="I489" s="112" t="n">
        <f aca="false">IF($D489=1,I$227,IF($D489=2,I$230,IF($D489=3,I$232,IF($D489=4,I$234,IF($D489=5,I$236,I$227)))))</f>
        <v>0</v>
      </c>
      <c r="J489" s="112" t="n">
        <f aca="false">IF($D489=1,J$227,IF($D489=2,J$230,IF($D489=3,J$232,IF($D489=4,J$234,IF($D489=5,J$236,J$227)))))</f>
        <v>0</v>
      </c>
      <c r="K489" s="112" t="n">
        <f aca="false">IF($D489=1,K$227,IF($D489=2,K$230,IF($D489=3,K$232,IF($D489=4,K$234,IF($D489=5,K$236,K$227)))))</f>
        <v>0</v>
      </c>
      <c r="L489" s="112" t="n">
        <f aca="false">IF($D489=1,L$227,IF($D489=2,L$230,IF($D489=3,L$232,IF($D489=4,L$234,IF($D489=5,L$236,L$227)))))</f>
        <v>0</v>
      </c>
      <c r="M489" s="112" t="n">
        <f aca="false">IF($D489=1,M$227,IF($D489=2,M$230,IF($D489=3,M$232,IF($D489=4,M$234,IF($D489=5,M$236,M$227)))))</f>
        <v>0</v>
      </c>
      <c r="N489" s="112" t="n">
        <f aca="false">IF($D489=1,N$227,IF($D489=2,N$230,IF($D489=3,N$232,IF($D489=4,N$234,IF($D489=5,N$236,N$227)))))</f>
        <v>0</v>
      </c>
      <c r="O489" s="112" t="n">
        <f aca="false">IF($D489=1,O$227,IF($D489=2,O$230,IF($D489=3,O$232,IF($D489=4,O$234,IF($D489=5,O$236,O$227)))))</f>
        <v>0</v>
      </c>
      <c r="P489" s="112" t="n">
        <f aca="false">IF($D489=1,P$227,IF($D489=2,P$230,IF($D489=3,P$232,IF($D489=4,P$234,IF($D489=5,P$236,P$227)))))</f>
        <v>0</v>
      </c>
      <c r="Q489" s="112" t="n">
        <f aca="false">IF($D489=1,Q$227,IF($D489=2,Q$230,IF($D489=3,Q$232,IF($D489=4,Q$234,IF($D489=5,Q$236,Q$227)))))</f>
        <v>0</v>
      </c>
      <c r="R489" s="112" t="n">
        <f aca="false">IF($D489=1,R$227,IF($D489=2,R$230,IF($D489=3,R$232,IF($D489=4,R$234,IF($D489=5,R$236,R$227)))))</f>
        <v>0</v>
      </c>
      <c r="S489" s="112" t="n">
        <f aca="false">IF($D489=1,S$227,IF($D489=2,S$230,IF($D489=3,S$232,IF($D489=4,S$234,IF($D489=5,S$236,S$227)))))</f>
        <v>0</v>
      </c>
      <c r="T489" s="112" t="n">
        <f aca="false">IF($D489=1,T$227,IF($D489=2,T$230,IF($D489=3,T$232,IF($D489=4,T$234,IF($D489=5,T$236,T$227)))))</f>
        <v>0</v>
      </c>
      <c r="U489" s="112" t="n">
        <f aca="false">IF($D489=1,U$227,IF($D489=2,U$230,IF($D489=3,U$232,IF($D489=4,U$234,IF($D489=5,U$236,U$227)))))</f>
        <v>0</v>
      </c>
      <c r="V489" s="112" t="n">
        <f aca="false">IF($D489=1,V$227,IF($D489=2,V$230,IF($D489=3,V$232,IF($D489=4,V$234,IF($D489=5,V$236,V$227)))))</f>
        <v>0</v>
      </c>
      <c r="W489" s="112" t="n">
        <f aca="false">IF($D489=1,W$227,IF($D489=2,W$230,IF($D489=3,W$232,IF($D489=4,W$234,IF($D489=5,W$236,W$227)))))</f>
        <v>0</v>
      </c>
      <c r="X489" s="112" t="n">
        <f aca="false">IF($D489=1,X$227,IF($D489=2,X$230,IF($D489=3,X$232,IF($D489=4,X$234,IF($D489=5,X$236,X$227)))))</f>
        <v>0</v>
      </c>
      <c r="Y489" s="112" t="n">
        <f aca="false">IF($D489=1,Y$227,IF($D489=2,Y$230,IF($D489=3,Y$232,IF($D489=4,Y$234,IF($D489=5,Y$236,Y$227)))))</f>
        <v>0</v>
      </c>
      <c r="Z489" s="112" t="n">
        <f aca="false">IF($D489=1,Z$227,IF($D489=2,Z$230,IF($D489=3,Z$232,IF($D489=4,Z$234,IF($D489=5,Z$236,Z$227)))))</f>
        <v>0</v>
      </c>
      <c r="AA489" s="112" t="n">
        <f aca="false">IF($D489=1,AA$227,IF($D489=2,AA$230,IF($D489=3,AA$232,IF($D489=4,AA$234,IF($D489=5,AA$236,AA$227)))))</f>
        <v>0</v>
      </c>
      <c r="AB489" s="112" t="n">
        <f aca="false">IF($D489=1,AB$227,IF($D489=2,AB$230,IF($D489=3,AB$232,IF($D489=4,AB$234,IF($D489=5,AB$236,AB$227)))))</f>
        <v>0</v>
      </c>
      <c r="AC489" s="112" t="n">
        <f aca="false">IF($D489=1,AC$227,IF($D489=2,AC$230,IF($D489=3,AC$232,IF($D489=4,AC$234,IF($D489=5,AC$236,AC$227)))))</f>
        <v>0</v>
      </c>
    </row>
    <row r="490" customFormat="false" ht="11.25" hidden="false" customHeight="false" outlineLevel="0" collapsed="false">
      <c r="A490" s="4"/>
      <c r="B490" s="43" t="s">
        <v>179</v>
      </c>
      <c r="D490" s="35"/>
      <c r="I490" s="99" t="n">
        <v>0</v>
      </c>
      <c r="J490" s="99" t="n">
        <v>0</v>
      </c>
      <c r="K490" s="99" t="n">
        <v>0</v>
      </c>
      <c r="L490" s="99" t="n">
        <v>0</v>
      </c>
      <c r="M490" s="99" t="n">
        <v>0</v>
      </c>
      <c r="N490" s="99" t="n">
        <v>0</v>
      </c>
      <c r="O490" s="99" t="n">
        <v>0</v>
      </c>
      <c r="P490" s="99" t="n">
        <v>0</v>
      </c>
      <c r="Q490" s="99" t="n">
        <v>0</v>
      </c>
      <c r="R490" s="99" t="n">
        <v>0</v>
      </c>
      <c r="S490" s="99" t="n">
        <v>0</v>
      </c>
      <c r="T490" s="99" t="n">
        <v>0</v>
      </c>
      <c r="U490" s="99" t="n">
        <v>0</v>
      </c>
      <c r="V490" s="99" t="n">
        <v>0</v>
      </c>
      <c r="W490" s="99" t="n">
        <v>0</v>
      </c>
      <c r="X490" s="99" t="n">
        <v>0</v>
      </c>
      <c r="Y490" s="99" t="n">
        <v>0</v>
      </c>
      <c r="Z490" s="99" t="n">
        <v>0</v>
      </c>
      <c r="AA490" s="99" t="n">
        <v>0</v>
      </c>
      <c r="AB490" s="99" t="n">
        <v>0</v>
      </c>
      <c r="AC490" s="99" t="n">
        <v>0</v>
      </c>
    </row>
    <row r="491" customFormat="false" ht="11.25" hidden="false" customHeight="false" outlineLevel="0" collapsed="false">
      <c r="A491" s="4"/>
      <c r="B491" s="43" t="s">
        <v>529</v>
      </c>
      <c r="D491" s="35"/>
      <c r="I491" s="257" t="n">
        <f aca="false">+I489+I490</f>
        <v>0</v>
      </c>
      <c r="J491" s="257" t="n">
        <f aca="false">+J489+J490</f>
        <v>0</v>
      </c>
      <c r="K491" s="257" t="n">
        <f aca="false">+K489+K490</f>
        <v>0</v>
      </c>
      <c r="L491" s="257" t="n">
        <f aca="false">+L489+L490</f>
        <v>0</v>
      </c>
      <c r="M491" s="257" t="n">
        <f aca="false">+M489+M490</f>
        <v>0</v>
      </c>
      <c r="N491" s="257" t="n">
        <f aca="false">+N489+N490</f>
        <v>0</v>
      </c>
      <c r="O491" s="257" t="n">
        <f aca="false">+O489+O490</f>
        <v>0</v>
      </c>
      <c r="P491" s="257" t="n">
        <f aca="false">+P489+P490</f>
        <v>0</v>
      </c>
      <c r="Q491" s="257" t="n">
        <f aca="false">+Q489+Q490</f>
        <v>0</v>
      </c>
      <c r="R491" s="257" t="n">
        <f aca="false">+R489+R490</f>
        <v>0</v>
      </c>
      <c r="S491" s="257" t="n">
        <f aca="false">+S489+S490</f>
        <v>0</v>
      </c>
      <c r="T491" s="257" t="n">
        <f aca="false">+T489+T490</f>
        <v>0</v>
      </c>
      <c r="U491" s="257" t="n">
        <f aca="false">+U489+U490</f>
        <v>0</v>
      </c>
      <c r="V491" s="257" t="n">
        <f aca="false">+V489+V490</f>
        <v>0</v>
      </c>
      <c r="W491" s="257" t="n">
        <f aca="false">+W489+W490</f>
        <v>0</v>
      </c>
      <c r="X491" s="257" t="n">
        <f aca="false">+X489+X490</f>
        <v>0</v>
      </c>
      <c r="Y491" s="257" t="n">
        <f aca="false">+Y489+Y490</f>
        <v>0</v>
      </c>
      <c r="Z491" s="257" t="n">
        <f aca="false">+Z489+Z490</f>
        <v>0</v>
      </c>
      <c r="AA491" s="257" t="n">
        <f aca="false">+AA489+AA490</f>
        <v>0</v>
      </c>
      <c r="AB491" s="257" t="n">
        <f aca="false">+AB489+AB490</f>
        <v>0</v>
      </c>
      <c r="AC491" s="257" t="n">
        <f aca="false">+AC489+AC490</f>
        <v>0</v>
      </c>
    </row>
    <row r="492" customFormat="false" ht="11.25" hidden="false" customHeight="false" outlineLevel="0" collapsed="false">
      <c r="A492" s="4"/>
      <c r="B492" s="35" t="s">
        <v>536</v>
      </c>
      <c r="D492" s="35"/>
      <c r="I492" s="116" t="n">
        <f aca="false">I487*I491*1000/unit</f>
        <v>0</v>
      </c>
      <c r="J492" s="116" t="n">
        <f aca="false">J487*J491*1000/unit</f>
        <v>0</v>
      </c>
      <c r="K492" s="116" t="n">
        <f aca="false">K487*K491*1000/unit</f>
        <v>0</v>
      </c>
      <c r="L492" s="116" t="n">
        <f aca="false">L487*L491*1000/unit</f>
        <v>0</v>
      </c>
      <c r="M492" s="116" t="n">
        <f aca="false">M487*M491*1000/unit</f>
        <v>0</v>
      </c>
      <c r="N492" s="116" t="n">
        <f aca="false">N487*N491*1000/unit</f>
        <v>0</v>
      </c>
      <c r="O492" s="116" t="n">
        <f aca="false">O487*O491*1000/unit</f>
        <v>0</v>
      </c>
      <c r="P492" s="116" t="n">
        <f aca="false">P487*P491*1000/unit</f>
        <v>0</v>
      </c>
      <c r="Q492" s="116" t="n">
        <f aca="false">Q487*Q491*1000/unit</f>
        <v>0</v>
      </c>
      <c r="R492" s="116" t="n">
        <f aca="false">R487*R491*1000/unit</f>
        <v>0</v>
      </c>
      <c r="S492" s="116" t="n">
        <f aca="false">S487*S491*1000/unit</f>
        <v>0</v>
      </c>
      <c r="T492" s="116" t="n">
        <f aca="false">T487*T491*1000/unit</f>
        <v>0</v>
      </c>
      <c r="U492" s="116" t="n">
        <f aca="false">U487*U491*1000/unit</f>
        <v>0</v>
      </c>
      <c r="V492" s="116" t="n">
        <f aca="false">V487*V491*1000/unit</f>
        <v>0</v>
      </c>
      <c r="W492" s="116" t="n">
        <f aca="false">W487*W491*1000/unit</f>
        <v>0</v>
      </c>
      <c r="X492" s="116" t="n">
        <f aca="false">X487*X491*1000/unit</f>
        <v>0</v>
      </c>
      <c r="Y492" s="116" t="n">
        <f aca="false">Y487*Y491*1000/unit</f>
        <v>0</v>
      </c>
      <c r="Z492" s="116" t="n">
        <f aca="false">Z487*Z491*1000/unit</f>
        <v>0</v>
      </c>
      <c r="AA492" s="116" t="n">
        <f aca="false">AA487*AA491*1000/unit</f>
        <v>0</v>
      </c>
      <c r="AB492" s="116" t="n">
        <f aca="false">AB487*AB491*1000/unit</f>
        <v>0</v>
      </c>
      <c r="AC492" s="116" t="n">
        <f aca="false">AC487*AC491*1000/unit</f>
        <v>0</v>
      </c>
    </row>
    <row r="493" customFormat="false" ht="11.25" hidden="false" customHeight="false" outlineLevel="0" collapsed="false">
      <c r="B493" s="35"/>
      <c r="D493" s="35"/>
      <c r="E493" s="128"/>
      <c r="F493" s="128"/>
      <c r="G493" s="128"/>
      <c r="H493" s="111"/>
      <c r="I493" s="258"/>
      <c r="J493" s="258"/>
      <c r="K493" s="258"/>
      <c r="L493" s="258"/>
      <c r="M493" s="258"/>
      <c r="N493" s="258"/>
      <c r="O493" s="258"/>
      <c r="P493" s="258"/>
      <c r="Q493" s="258"/>
      <c r="R493" s="258"/>
      <c r="S493" s="258"/>
      <c r="T493" s="258"/>
      <c r="U493" s="258"/>
      <c r="V493" s="258"/>
      <c r="W493" s="258"/>
      <c r="X493" s="258"/>
      <c r="Y493" s="268"/>
      <c r="Z493" s="268"/>
      <c r="AA493" s="268"/>
      <c r="AB493" s="268"/>
      <c r="AC493" s="268"/>
    </row>
    <row r="494" customFormat="false" ht="11.25" hidden="false" customHeight="false" outlineLevel="0" collapsed="false">
      <c r="A494" s="153" t="str">
        <f aca="false">+"Total Revenues - "&amp;C16</f>
        <v>Total Revenues - PROBABLES</v>
      </c>
      <c r="D494" s="35"/>
      <c r="E494" s="50" t="n">
        <v>0</v>
      </c>
      <c r="F494" s="50" t="n">
        <v>0</v>
      </c>
      <c r="G494" s="50" t="n">
        <v>0</v>
      </c>
      <c r="H494" s="280" t="n">
        <f aca="false">H481+H465+H492</f>
        <v>0</v>
      </c>
      <c r="I494" s="258" t="n">
        <f aca="false">I481+I465+I492</f>
        <v>0</v>
      </c>
      <c r="J494" s="258" t="n">
        <f aca="false">J481+J465+J492</f>
        <v>0</v>
      </c>
      <c r="K494" s="258" t="n">
        <f aca="false">K481+K465+K492</f>
        <v>0</v>
      </c>
      <c r="L494" s="258" t="n">
        <f aca="false">L481+L465+L492</f>
        <v>0</v>
      </c>
      <c r="M494" s="258" t="n">
        <f aca="false">M481+M465+M492</f>
        <v>0</v>
      </c>
      <c r="N494" s="258" t="n">
        <f aca="false">N481+N465+N492</f>
        <v>0</v>
      </c>
      <c r="O494" s="258" t="n">
        <f aca="false">O481+O465+O492</f>
        <v>0</v>
      </c>
      <c r="P494" s="258" t="n">
        <f aca="false">P481+P465+P492</f>
        <v>0</v>
      </c>
      <c r="Q494" s="258" t="n">
        <f aca="false">Q481+Q465+Q492</f>
        <v>0</v>
      </c>
      <c r="R494" s="258" t="n">
        <f aca="false">R481+R465+R492</f>
        <v>0</v>
      </c>
      <c r="S494" s="258" t="n">
        <f aca="false">S481+S465+S492</f>
        <v>0</v>
      </c>
      <c r="T494" s="258" t="n">
        <f aca="false">T481+T465+T492</f>
        <v>0</v>
      </c>
      <c r="U494" s="258" t="n">
        <f aca="false">U481+U465+U492</f>
        <v>0</v>
      </c>
      <c r="V494" s="258" t="n">
        <f aca="false">V481+V465+V492</f>
        <v>0</v>
      </c>
      <c r="W494" s="258" t="n">
        <f aca="false">W481+W465+W492</f>
        <v>0</v>
      </c>
      <c r="X494" s="258" t="n">
        <f aca="false">X481+X465+X492</f>
        <v>0</v>
      </c>
      <c r="Y494" s="258" t="n">
        <f aca="false">Y481+Y465+Y492</f>
        <v>0</v>
      </c>
      <c r="Z494" s="258" t="n">
        <f aca="false">Z481+Z465+Z492</f>
        <v>0</v>
      </c>
      <c r="AA494" s="258" t="n">
        <f aca="false">AA481+AA465+AA492</f>
        <v>0</v>
      </c>
      <c r="AB494" s="258" t="n">
        <f aca="false">AB481+AB465+AB492</f>
        <v>0</v>
      </c>
      <c r="AC494" s="258" t="n">
        <f aca="false">AC481+AC465+AC492</f>
        <v>0</v>
      </c>
    </row>
    <row r="495" customFormat="false" ht="12" hidden="false" customHeight="false" outlineLevel="0" collapsed="false">
      <c r="A495" s="4"/>
      <c r="B495" s="35"/>
      <c r="D495" s="35"/>
      <c r="E495" s="110"/>
      <c r="F495" s="110"/>
      <c r="G495" s="110"/>
      <c r="H495" s="111"/>
      <c r="I495" s="258"/>
      <c r="J495" s="258"/>
      <c r="K495" s="258"/>
      <c r="L495" s="258"/>
      <c r="M495" s="258"/>
      <c r="N495" s="258"/>
      <c r="O495" s="258"/>
      <c r="P495" s="258"/>
      <c r="Q495" s="258"/>
      <c r="R495" s="258"/>
      <c r="S495" s="258"/>
      <c r="T495" s="258"/>
      <c r="U495" s="258"/>
      <c r="V495" s="258"/>
      <c r="W495" s="258"/>
      <c r="X495" s="258"/>
      <c r="Y495" s="268"/>
      <c r="Z495" s="268"/>
      <c r="AA495" s="268"/>
      <c r="AB495" s="268"/>
      <c r="AC495" s="268"/>
    </row>
    <row r="496" customFormat="false" ht="12" hidden="false" customHeight="false" outlineLevel="0" collapsed="false">
      <c r="A496" s="130"/>
      <c r="B496" s="130"/>
      <c r="C496" s="130"/>
      <c r="D496" s="130"/>
      <c r="E496" s="130"/>
      <c r="F496" s="130"/>
      <c r="G496" s="130"/>
      <c r="H496" s="130"/>
      <c r="I496" s="130"/>
      <c r="J496" s="130"/>
      <c r="K496" s="130"/>
      <c r="L496" s="130"/>
      <c r="M496" s="130"/>
      <c r="N496" s="130"/>
      <c r="O496" s="130"/>
      <c r="P496" s="130"/>
      <c r="Q496" s="130"/>
      <c r="R496" s="130"/>
      <c r="S496" s="130"/>
      <c r="T496" s="130"/>
      <c r="U496" s="130"/>
      <c r="V496" s="130"/>
      <c r="W496" s="130"/>
      <c r="X496" s="130"/>
      <c r="Y496" s="130"/>
      <c r="Z496" s="130"/>
      <c r="AA496" s="130"/>
      <c r="AB496" s="130"/>
      <c r="AC496" s="130"/>
    </row>
    <row r="497" customFormat="false" ht="11.25" hidden="false" customHeight="false" outlineLevel="0" collapsed="false">
      <c r="A497" s="4"/>
      <c r="B497" s="4" t="s">
        <v>192</v>
      </c>
      <c r="C497" s="103"/>
      <c r="D497" s="103"/>
      <c r="E497" s="111"/>
      <c r="F497" s="111"/>
      <c r="G497" s="111"/>
      <c r="H497" s="111"/>
      <c r="I497" s="258"/>
      <c r="J497" s="258"/>
      <c r="K497" s="258"/>
      <c r="L497" s="258"/>
      <c r="M497" s="258"/>
      <c r="N497" s="258"/>
      <c r="O497" s="258"/>
      <c r="P497" s="258"/>
      <c r="Q497" s="258"/>
      <c r="R497" s="258"/>
      <c r="S497" s="258"/>
      <c r="T497" s="258"/>
      <c r="U497" s="258"/>
      <c r="V497" s="258"/>
      <c r="W497" s="258"/>
      <c r="X497" s="258"/>
      <c r="Y497" s="258"/>
      <c r="Z497" s="258"/>
      <c r="AA497" s="258"/>
      <c r="AB497" s="258"/>
      <c r="AC497" s="258"/>
    </row>
    <row r="498" customFormat="false" ht="11.25" hidden="false" customHeight="false" outlineLevel="0" collapsed="false">
      <c r="A498" s="4"/>
      <c r="B498" s="43" t="s">
        <v>193</v>
      </c>
      <c r="C498" s="131" t="s">
        <v>194</v>
      </c>
      <c r="D498" s="102" t="n">
        <v>6</v>
      </c>
      <c r="F498" s="111"/>
      <c r="G498" s="111"/>
      <c r="H498" s="111" t="s">
        <v>195</v>
      </c>
      <c r="I498" s="258" t="n">
        <f aca="false">(I460+(I476/$D498)+I487)*1000</f>
        <v>0</v>
      </c>
      <c r="J498" s="258" t="n">
        <f aca="false">(J460+(J476/$D498)+J487)*1000</f>
        <v>0</v>
      </c>
      <c r="K498" s="258" t="n">
        <f aca="false">(K460+(K476/$D498)+K487)*1000</f>
        <v>0</v>
      </c>
      <c r="L498" s="258" t="n">
        <f aca="false">(L460+(L476/$D498)+L487)*1000</f>
        <v>0</v>
      </c>
      <c r="M498" s="258" t="n">
        <f aca="false">(M460+(M476/$D498)+M487)*1000</f>
        <v>0</v>
      </c>
      <c r="N498" s="258" t="n">
        <f aca="false">(N460+(N476/$D498)+N487)*1000</f>
        <v>0</v>
      </c>
      <c r="O498" s="258" t="n">
        <f aca="false">(O460+(O476/$D498)+O487)*1000</f>
        <v>0</v>
      </c>
      <c r="P498" s="258" t="n">
        <f aca="false">(P460+(P476/$D498)+P487)*1000</f>
        <v>0</v>
      </c>
      <c r="Q498" s="258" t="n">
        <f aca="false">(Q460+(Q476/$D498)+Q487)*1000</f>
        <v>0</v>
      </c>
      <c r="R498" s="258" t="n">
        <f aca="false">(R460+(R476/$D498)+R487)*1000</f>
        <v>0</v>
      </c>
      <c r="S498" s="258" t="n">
        <f aca="false">(S460+(S476/$D498)+S487)*1000</f>
        <v>0</v>
      </c>
      <c r="T498" s="258" t="n">
        <f aca="false">(T460+(T476/$D498)+T487)*1000</f>
        <v>0</v>
      </c>
      <c r="U498" s="258" t="n">
        <f aca="false">(U460+(U476/$D498)+U487)*1000</f>
        <v>0</v>
      </c>
      <c r="V498" s="258" t="n">
        <f aca="false">(V460+(V476/$D498)+V487)*1000</f>
        <v>0</v>
      </c>
      <c r="W498" s="258" t="n">
        <f aca="false">(W460+(W476/$D498)+W487)*1000</f>
        <v>0</v>
      </c>
      <c r="X498" s="258" t="n">
        <f aca="false">(X460+(X476/$D498)+X487)*1000</f>
        <v>0</v>
      </c>
      <c r="Y498" s="258" t="n">
        <f aca="false">(Y460+(Y476/$D498)+Y487)*1000</f>
        <v>0</v>
      </c>
      <c r="Z498" s="258" t="n">
        <f aca="false">(Z460+(Z476/$D498)+Z487)*1000</f>
        <v>0</v>
      </c>
      <c r="AA498" s="258" t="n">
        <f aca="false">(AA460+(AA476/$D498)+AA487)*1000</f>
        <v>0</v>
      </c>
      <c r="AB498" s="258" t="n">
        <f aca="false">(AB460+(AB476/$D498)+AB487)*1000</f>
        <v>0</v>
      </c>
      <c r="AC498" s="258" t="n">
        <f aca="false">(AC460+(AC476/$D498)+AC487)*1000</f>
        <v>0</v>
      </c>
    </row>
    <row r="499" customFormat="false" ht="11.25" hidden="false" customHeight="false" outlineLevel="0" collapsed="false">
      <c r="A499" s="4"/>
      <c r="B499" s="65"/>
      <c r="C499" s="131"/>
      <c r="D499" s="103"/>
      <c r="E499" s="111"/>
      <c r="F499" s="111"/>
      <c r="G499" s="111"/>
      <c r="H499" s="111"/>
      <c r="I499" s="258"/>
      <c r="J499" s="258"/>
      <c r="K499" s="258"/>
      <c r="L499" s="258"/>
      <c r="M499" s="258"/>
      <c r="N499" s="258"/>
      <c r="O499" s="258"/>
      <c r="P499" s="258"/>
      <c r="Q499" s="258"/>
      <c r="R499" s="258"/>
      <c r="S499" s="258"/>
      <c r="T499" s="258"/>
      <c r="U499" s="258"/>
      <c r="V499" s="258"/>
      <c r="W499" s="258"/>
      <c r="X499" s="258"/>
      <c r="Y499" s="258"/>
      <c r="Z499" s="258"/>
      <c r="AA499" s="258"/>
      <c r="AB499" s="258"/>
      <c r="AC499" s="258"/>
    </row>
    <row r="500" customFormat="false" ht="11.25" hidden="false" customHeight="false" outlineLevel="0" collapsed="false">
      <c r="A500" s="4"/>
      <c r="B500" s="138" t="s">
        <v>157</v>
      </c>
      <c r="C500" s="132" t="s">
        <v>162</v>
      </c>
      <c r="E500" s="43" t="s">
        <v>196</v>
      </c>
      <c r="H500" s="245" t="n">
        <v>0</v>
      </c>
      <c r="I500" s="274" t="s">
        <v>530</v>
      </c>
      <c r="J500" s="274" t="s">
        <v>531</v>
      </c>
      <c r="K500" s="274" t="s">
        <v>532</v>
      </c>
      <c r="L500" s="12"/>
      <c r="M500" s="12"/>
      <c r="N500" s="12"/>
      <c r="O500" s="12"/>
      <c r="P500" s="12"/>
      <c r="Q500" s="12"/>
      <c r="R500" s="12"/>
      <c r="S500" s="12"/>
      <c r="T500" s="12"/>
      <c r="U500" s="12"/>
      <c r="V500" s="12"/>
      <c r="W500" s="12"/>
      <c r="X500" s="12"/>
      <c r="Y500" s="12"/>
      <c r="Z500" s="12"/>
      <c r="AA500" s="12"/>
      <c r="AB500" s="12"/>
      <c r="AC500" s="12"/>
    </row>
    <row r="501" customFormat="false" ht="11.25" hidden="false" customHeight="false" outlineLevel="0" collapsed="false">
      <c r="A501" s="4"/>
      <c r="B501" s="43" t="s">
        <v>158</v>
      </c>
      <c r="C501" s="132"/>
      <c r="E501" s="67" t="s">
        <v>197</v>
      </c>
      <c r="H501" s="26" t="n">
        <v>0</v>
      </c>
      <c r="I501" s="274" t="n">
        <v>0.6</v>
      </c>
      <c r="J501" s="281" t="n">
        <v>1</v>
      </c>
      <c r="K501" s="274" t="n">
        <v>1.4</v>
      </c>
      <c r="L501" s="12"/>
      <c r="M501" s="12"/>
      <c r="N501" s="12"/>
      <c r="O501" s="12"/>
      <c r="P501" s="12"/>
      <c r="Q501" s="12"/>
      <c r="R501" s="12"/>
      <c r="S501" s="12"/>
      <c r="T501" s="12"/>
      <c r="U501" s="12"/>
      <c r="V501" s="12"/>
      <c r="W501" s="12"/>
      <c r="X501" s="12"/>
      <c r="Y501" s="12"/>
      <c r="Z501" s="12"/>
      <c r="AA501" s="12"/>
      <c r="AB501" s="12"/>
      <c r="AC501" s="12"/>
    </row>
    <row r="502" customFormat="false" ht="11.25" hidden="false" customHeight="false" outlineLevel="0" collapsed="false">
      <c r="A502" s="4"/>
      <c r="B502" s="43" t="s">
        <v>159</v>
      </c>
      <c r="C502" s="132"/>
      <c r="E502" s="43" t="s">
        <v>198</v>
      </c>
      <c r="H502" s="88" t="n">
        <v>0</v>
      </c>
      <c r="I502" s="12"/>
      <c r="J502" s="12"/>
      <c r="K502" s="12"/>
      <c r="L502" s="12"/>
      <c r="M502" s="12"/>
      <c r="N502" s="12"/>
      <c r="O502" s="12"/>
      <c r="P502" s="12"/>
      <c r="Q502" s="12"/>
      <c r="R502" s="12"/>
      <c r="S502" s="12"/>
      <c r="T502" s="12"/>
      <c r="U502" s="12"/>
      <c r="V502" s="12"/>
      <c r="W502" s="12"/>
      <c r="X502" s="12"/>
      <c r="Y502" s="12"/>
      <c r="Z502" s="12"/>
      <c r="AA502" s="12"/>
      <c r="AB502" s="12"/>
      <c r="AC502" s="12"/>
    </row>
    <row r="503" customFormat="false" ht="11.25" hidden="false" customHeight="false" outlineLevel="0" collapsed="false">
      <c r="A503" s="4"/>
      <c r="B503" s="43" t="s">
        <v>160</v>
      </c>
      <c r="C503" s="132"/>
      <c r="E503" s="43" t="s">
        <v>199</v>
      </c>
      <c r="H503" s="141" t="n">
        <v>0</v>
      </c>
      <c r="I503" s="276" t="n">
        <v>0</v>
      </c>
      <c r="J503" s="276" t="n">
        <v>6.9</v>
      </c>
      <c r="K503" s="276" t="n">
        <v>21.39</v>
      </c>
      <c r="L503" s="276" t="n">
        <v>31.05</v>
      </c>
      <c r="M503" s="276" t="n">
        <v>74.52</v>
      </c>
      <c r="N503" s="276" t="n">
        <v>124.89</v>
      </c>
      <c r="O503" s="276" t="n">
        <v>157.32</v>
      </c>
      <c r="P503" s="276" t="n">
        <v>157.32</v>
      </c>
      <c r="Q503" s="276" t="n">
        <v>157.32</v>
      </c>
      <c r="R503" s="276" t="n">
        <v>157.32</v>
      </c>
      <c r="S503" s="276" t="n">
        <v>157.32</v>
      </c>
      <c r="T503" s="276" t="n">
        <v>154.642</v>
      </c>
      <c r="U503" s="276" t="n">
        <v>140.76</v>
      </c>
      <c r="V503" s="276" t="n">
        <v>139.826</v>
      </c>
      <c r="W503" s="276" t="n">
        <v>132.48</v>
      </c>
      <c r="X503" s="276" t="n">
        <v>125.093</v>
      </c>
      <c r="Y503" s="276" t="n">
        <v>110.672</v>
      </c>
      <c r="Z503" s="276" t="n">
        <v>88.257</v>
      </c>
      <c r="AA503" s="276" t="n">
        <v>63.235</v>
      </c>
      <c r="AB503" s="276" t="n">
        <v>24.906</v>
      </c>
      <c r="AC503" s="276" t="n">
        <v>0</v>
      </c>
    </row>
    <row r="504" customFormat="false" ht="11.25" hidden="false" customHeight="false" outlineLevel="0" collapsed="false">
      <c r="A504" s="4"/>
      <c r="B504" s="138" t="s">
        <v>200</v>
      </c>
      <c r="E504" s="88"/>
      <c r="F504" s="88"/>
      <c r="G504" s="88"/>
      <c r="H504" s="88"/>
      <c r="I504" s="88" t="n">
        <f aca="false">I503*$J$501*$H$501</f>
        <v>0</v>
      </c>
      <c r="J504" s="88" t="n">
        <f aca="false">J503*$J$501*$H$501</f>
        <v>0</v>
      </c>
      <c r="K504" s="88" t="n">
        <f aca="false">K503*$J$501*$H$501</f>
        <v>0</v>
      </c>
      <c r="L504" s="88" t="n">
        <f aca="false">L503*$J$501*$H$501</f>
        <v>0</v>
      </c>
      <c r="M504" s="88" t="n">
        <f aca="false">M503*$J$501*$H$501</f>
        <v>0</v>
      </c>
      <c r="N504" s="88" t="n">
        <f aca="false">N503*$J$501*$H$501</f>
        <v>0</v>
      </c>
      <c r="O504" s="88" t="n">
        <f aca="false">O503*$J$501*$H$501</f>
        <v>0</v>
      </c>
      <c r="P504" s="88" t="n">
        <f aca="false">P503*$J$501*$H$501</f>
        <v>0</v>
      </c>
      <c r="Q504" s="88" t="n">
        <f aca="false">Q503*$J$501*$H$501</f>
        <v>0</v>
      </c>
      <c r="R504" s="88" t="n">
        <f aca="false">R503*$J$501*$H$501</f>
        <v>0</v>
      </c>
      <c r="S504" s="88" t="n">
        <f aca="false">S503*$J$501*$H$501</f>
        <v>0</v>
      </c>
      <c r="T504" s="88" t="n">
        <f aca="false">T503*$J$501*$H$501</f>
        <v>0</v>
      </c>
      <c r="U504" s="88" t="n">
        <f aca="false">U503*$J$501*$H$501</f>
        <v>0</v>
      </c>
      <c r="V504" s="88" t="n">
        <f aca="false">V503*$J$501*$H$501</f>
        <v>0</v>
      </c>
      <c r="W504" s="88" t="n">
        <f aca="false">W503*$J$501*$H$501</f>
        <v>0</v>
      </c>
      <c r="X504" s="88" t="n">
        <f aca="false">X503*$J$501*$H$501</f>
        <v>0</v>
      </c>
      <c r="Y504" s="88" t="n">
        <f aca="false">Y503*$J$501*$H$501</f>
        <v>0</v>
      </c>
      <c r="Z504" s="88" t="n">
        <f aca="false">Z503*$J$501*$H$501</f>
        <v>0</v>
      </c>
      <c r="AA504" s="88" t="n">
        <f aca="false">AA503*$J$501*$H$501</f>
        <v>0</v>
      </c>
      <c r="AB504" s="88" t="n">
        <f aca="false">AB503*$J$501*$H$501</f>
        <v>0</v>
      </c>
      <c r="AC504" s="88" t="n">
        <f aca="false">AC503*$J$501*$H$501</f>
        <v>0</v>
      </c>
    </row>
    <row r="505" customFormat="false" ht="11.25" hidden="false" customHeight="false" outlineLevel="0" collapsed="false">
      <c r="A505" s="4"/>
      <c r="B505" s="138"/>
      <c r="E505" s="88"/>
      <c r="F505" s="88"/>
      <c r="G505" s="88"/>
      <c r="H505" s="88"/>
      <c r="I505" s="88"/>
      <c r="J505" s="88"/>
      <c r="K505" s="88"/>
      <c r="L505" s="88"/>
      <c r="M505" s="88"/>
      <c r="N505" s="88"/>
      <c r="O505" s="88"/>
      <c r="P505" s="88"/>
      <c r="Q505" s="88"/>
      <c r="R505" s="88"/>
      <c r="S505" s="88"/>
      <c r="T505" s="88"/>
      <c r="U505" s="88"/>
      <c r="V505" s="88"/>
      <c r="W505" s="88"/>
      <c r="X505" s="88"/>
      <c r="Y505" s="88"/>
      <c r="Z505" s="88"/>
      <c r="AA505" s="88"/>
      <c r="AB505" s="88"/>
      <c r="AC505" s="88"/>
    </row>
    <row r="506" customFormat="false" ht="11.25" hidden="false" customHeight="false" outlineLevel="0" collapsed="false">
      <c r="A506" s="4"/>
      <c r="B506" s="138" t="s">
        <v>201</v>
      </c>
      <c r="E506" s="88" t="s">
        <v>533</v>
      </c>
      <c r="F506" s="88"/>
      <c r="G506" s="88"/>
      <c r="H506" s="26" t="n">
        <v>0.092</v>
      </c>
      <c r="I506" s="88" t="n">
        <f aca="false">+$H506*I494</f>
        <v>0</v>
      </c>
      <c r="J506" s="88" t="n">
        <f aca="false">+$H506*J494</f>
        <v>0</v>
      </c>
      <c r="K506" s="88" t="n">
        <f aca="false">+$H506*K494</f>
        <v>0</v>
      </c>
      <c r="L506" s="88" t="n">
        <f aca="false">+$H506*L494</f>
        <v>0</v>
      </c>
      <c r="M506" s="88" t="n">
        <f aca="false">+$H506*M494</f>
        <v>0</v>
      </c>
      <c r="N506" s="88" t="n">
        <f aca="false">+$H506*N494</f>
        <v>0</v>
      </c>
      <c r="O506" s="88" t="n">
        <f aca="false">+$H506*O494</f>
        <v>0</v>
      </c>
      <c r="P506" s="88" t="n">
        <f aca="false">+$H506*P494</f>
        <v>0</v>
      </c>
      <c r="Q506" s="88" t="n">
        <f aca="false">+$H506*Q494</f>
        <v>0</v>
      </c>
      <c r="R506" s="88" t="n">
        <f aca="false">+$H506*R494</f>
        <v>0</v>
      </c>
      <c r="S506" s="88" t="n">
        <f aca="false">+$H506*S494</f>
        <v>0</v>
      </c>
      <c r="T506" s="88" t="n">
        <f aca="false">+$H506*T494</f>
        <v>0</v>
      </c>
      <c r="U506" s="88" t="n">
        <f aca="false">+$H506*U494</f>
        <v>0</v>
      </c>
      <c r="V506" s="88" t="n">
        <f aca="false">+$H506*V494</f>
        <v>0</v>
      </c>
      <c r="W506" s="88" t="n">
        <f aca="false">+$H506*W494</f>
        <v>0</v>
      </c>
      <c r="X506" s="88" t="n">
        <f aca="false">+$H506*X494</f>
        <v>0</v>
      </c>
      <c r="Y506" s="88" t="n">
        <f aca="false">+$H506*Y494</f>
        <v>0</v>
      </c>
      <c r="Z506" s="88" t="n">
        <f aca="false">+$H506*Z494</f>
        <v>0</v>
      </c>
      <c r="AA506" s="88" t="n">
        <f aca="false">+$H506*AA494</f>
        <v>0</v>
      </c>
      <c r="AB506" s="88" t="n">
        <f aca="false">+$H506*AB494</f>
        <v>0</v>
      </c>
      <c r="AC506" s="88" t="n">
        <f aca="false">+$H506*AC494</f>
        <v>0</v>
      </c>
    </row>
    <row r="507" customFormat="false" ht="11.25" hidden="false" customHeight="false" outlineLevel="0" collapsed="false">
      <c r="A507" s="4"/>
      <c r="B507" s="138"/>
      <c r="E507" s="88"/>
      <c r="F507" s="88"/>
      <c r="G507" s="88"/>
      <c r="H507" s="88"/>
      <c r="I507" s="88"/>
      <c r="J507" s="88"/>
      <c r="K507" s="88"/>
      <c r="L507" s="88"/>
      <c r="M507" s="88"/>
      <c r="N507" s="88"/>
      <c r="O507" s="88"/>
      <c r="P507" s="88"/>
      <c r="Q507" s="88"/>
      <c r="R507" s="88"/>
      <c r="S507" s="88"/>
      <c r="T507" s="88"/>
      <c r="U507" s="88"/>
      <c r="V507" s="88"/>
      <c r="W507" s="88"/>
      <c r="X507" s="88"/>
      <c r="Y507" s="88"/>
      <c r="Z507" s="88"/>
      <c r="AA507" s="88"/>
      <c r="AB507" s="88"/>
      <c r="AC507" s="88"/>
    </row>
    <row r="508" customFormat="false" ht="11.25" hidden="false" customHeight="false" outlineLevel="0" collapsed="false">
      <c r="A508" s="4"/>
      <c r="B508" s="138" t="s">
        <v>203</v>
      </c>
      <c r="E508" s="88"/>
      <c r="F508" s="88"/>
      <c r="G508" s="88"/>
      <c r="H508" s="88"/>
      <c r="I508" s="88"/>
      <c r="J508" s="88"/>
      <c r="K508" s="88"/>
      <c r="L508" s="88"/>
      <c r="M508" s="88"/>
      <c r="N508" s="88"/>
      <c r="O508" s="88"/>
      <c r="P508" s="88"/>
      <c r="Q508" s="88"/>
      <c r="R508" s="88"/>
      <c r="S508" s="88"/>
      <c r="T508" s="88"/>
      <c r="U508" s="88"/>
      <c r="V508" s="88"/>
      <c r="W508" s="88"/>
      <c r="X508" s="88"/>
      <c r="Y508" s="88"/>
      <c r="Z508" s="88"/>
      <c r="AA508" s="88"/>
      <c r="AB508" s="88"/>
      <c r="AC508" s="88"/>
    </row>
    <row r="509" customFormat="false" ht="11.25" hidden="false" customHeight="false" outlineLevel="0" collapsed="false">
      <c r="A509" s="4"/>
      <c r="B509" s="138" t="s">
        <v>157</v>
      </c>
      <c r="C509" s="132" t="s">
        <v>162</v>
      </c>
      <c r="E509" s="43" t="s">
        <v>204</v>
      </c>
      <c r="H509" s="141" t="n">
        <v>0</v>
      </c>
      <c r="I509" s="140"/>
      <c r="J509" s="140"/>
      <c r="K509" s="140"/>
      <c r="L509" s="140"/>
      <c r="M509" s="140"/>
      <c r="N509" s="140"/>
      <c r="O509" s="140"/>
      <c r="P509" s="140"/>
      <c r="Q509" s="140"/>
      <c r="R509" s="140"/>
      <c r="S509" s="140"/>
      <c r="T509" s="140"/>
      <c r="U509" s="140"/>
      <c r="V509" s="140"/>
      <c r="W509" s="140"/>
      <c r="X509" s="140"/>
      <c r="Y509" s="140"/>
      <c r="Z509" s="140"/>
      <c r="AA509" s="140"/>
      <c r="AB509" s="140"/>
      <c r="AC509" s="140"/>
    </row>
    <row r="510" customFormat="false" ht="11.25" hidden="false" customHeight="false" outlineLevel="0" collapsed="false">
      <c r="A510" s="4"/>
      <c r="B510" s="43" t="s">
        <v>158</v>
      </c>
      <c r="C510" s="132"/>
      <c r="E510" s="67" t="s">
        <v>197</v>
      </c>
      <c r="H510" s="26" t="n">
        <v>1</v>
      </c>
      <c r="I510" s="80"/>
      <c r="J510" s="80"/>
      <c r="K510" s="80"/>
      <c r="L510" s="80"/>
      <c r="M510" s="80"/>
      <c r="N510" s="80"/>
      <c r="O510" s="80"/>
      <c r="P510" s="80"/>
      <c r="Q510" s="80"/>
      <c r="R510" s="80"/>
      <c r="S510" s="80"/>
      <c r="T510" s="80"/>
      <c r="U510" s="80"/>
      <c r="V510" s="80"/>
      <c r="W510" s="80"/>
      <c r="X510" s="80"/>
      <c r="Y510" s="80"/>
      <c r="Z510" s="80"/>
      <c r="AA510" s="80"/>
      <c r="AB510" s="80"/>
      <c r="AC510" s="80"/>
    </row>
    <row r="511" customFormat="false" ht="11.25" hidden="false" customHeight="false" outlineLevel="0" collapsed="false">
      <c r="A511" s="4"/>
      <c r="B511" s="43" t="s">
        <v>159</v>
      </c>
      <c r="C511" s="132"/>
      <c r="E511" s="43" t="s">
        <v>198</v>
      </c>
      <c r="H511" s="88" t="n">
        <f aca="false">+H509*H510</f>
        <v>0</v>
      </c>
      <c r="I511" s="12"/>
      <c r="J511" s="12"/>
      <c r="K511" s="12"/>
      <c r="L511" s="12"/>
      <c r="M511" s="12"/>
      <c r="N511" s="12"/>
      <c r="O511" s="12"/>
      <c r="P511" s="12"/>
      <c r="Q511" s="12"/>
      <c r="R511" s="12"/>
      <c r="S511" s="12"/>
      <c r="T511" s="12"/>
      <c r="U511" s="12"/>
      <c r="V511" s="12"/>
      <c r="W511" s="12"/>
      <c r="X511" s="12"/>
      <c r="Y511" s="12"/>
      <c r="Z511" s="12"/>
      <c r="AA511" s="12"/>
      <c r="AB511" s="12"/>
      <c r="AC511" s="12"/>
    </row>
    <row r="512" customFormat="false" ht="11.25" hidden="false" customHeight="false" outlineLevel="0" collapsed="false">
      <c r="A512" s="4"/>
      <c r="B512" s="43" t="s">
        <v>160</v>
      </c>
      <c r="C512" s="132"/>
      <c r="E512" s="43" t="s">
        <v>199</v>
      </c>
      <c r="H512" s="141" t="n">
        <v>1</v>
      </c>
      <c r="I512" s="137"/>
      <c r="J512" s="137"/>
      <c r="K512" s="137"/>
      <c r="L512" s="137"/>
      <c r="M512" s="137"/>
      <c r="N512" s="137"/>
      <c r="O512" s="137"/>
      <c r="P512" s="137"/>
      <c r="Q512" s="137"/>
      <c r="R512" s="137"/>
      <c r="S512" s="137"/>
      <c r="T512" s="137"/>
      <c r="U512" s="137"/>
      <c r="V512" s="137"/>
      <c r="W512" s="137"/>
      <c r="X512" s="137"/>
      <c r="Y512" s="137"/>
      <c r="Z512" s="137"/>
      <c r="AA512" s="137"/>
      <c r="AB512" s="137"/>
      <c r="AC512" s="137"/>
    </row>
    <row r="513" customFormat="false" ht="11.25" hidden="false" customHeight="false" outlineLevel="0" collapsed="false">
      <c r="A513" s="4"/>
      <c r="B513" s="138" t="s">
        <v>205</v>
      </c>
      <c r="E513" s="88"/>
      <c r="F513" s="88"/>
      <c r="G513" s="88"/>
      <c r="H513" s="88"/>
      <c r="I513" s="88" t="n">
        <f aca="false">($H511)*(IF($H512=1,I$185,IF($H512=2,I$188,IF($H512=3,I$191,0))))*(stub)</f>
        <v>0</v>
      </c>
      <c r="J513" s="88" t="n">
        <f aca="false">($H511)*(IF($H512=1,J$185,IF($H512=2,J$188,IF($H512=3,J$191,0))))</f>
        <v>0</v>
      </c>
      <c r="K513" s="88" t="n">
        <f aca="false">($H511)*(IF($H512=1,K$185,IF($H512=2,K$188,IF($H512=3,K$191,0))))</f>
        <v>0</v>
      </c>
      <c r="L513" s="88" t="n">
        <f aca="false">($H511)*(IF($H512=1,L$185,IF($H512=2,L$188,IF($H512=3,L$191,0))))</f>
        <v>0</v>
      </c>
      <c r="M513" s="88" t="n">
        <f aca="false">($H511)*(IF($H512=1,M$185,IF($H512=2,M$188,IF($H512=3,M$191,0))))</f>
        <v>0</v>
      </c>
      <c r="N513" s="88" t="n">
        <f aca="false">($H511)*(IF($H512=1,N$185,IF($H512=2,N$188,IF($H512=3,N$191,0))))</f>
        <v>0</v>
      </c>
      <c r="O513" s="88" t="n">
        <f aca="false">($H511)*(IF($H512=1,O$185,IF($H512=2,O$188,IF($H512=3,O$191,0))))</f>
        <v>0</v>
      </c>
      <c r="P513" s="88" t="n">
        <f aca="false">($H511)*(IF($H512=1,P$185,IF($H512=2,P$188,IF($H512=3,P$191,0))))</f>
        <v>0</v>
      </c>
      <c r="Q513" s="88" t="n">
        <f aca="false">($H511)*(IF($H512=1,Q$185,IF($H512=2,Q$188,IF($H512=3,Q$191,0))))</f>
        <v>0</v>
      </c>
      <c r="R513" s="88" t="n">
        <f aca="false">($H511)*(IF($H512=1,R$185,IF($H512=2,R$188,IF($H512=3,R$191,0))))</f>
        <v>0</v>
      </c>
      <c r="S513" s="88" t="n">
        <f aca="false">($H511)*(IF($H512=1,S$185,IF($H512=2,S$188,IF($H512=3,S$191,0))))</f>
        <v>0</v>
      </c>
      <c r="T513" s="88" t="n">
        <f aca="false">($H511)*(IF($H512=1,T$185,IF($H512=2,T$188,IF($H512=3,T$191,0))))</f>
        <v>0</v>
      </c>
      <c r="U513" s="88" t="n">
        <f aca="false">($H511)*(IF($H512=1,U$185,IF($H512=2,U$188,IF($H512=3,U$191,0))))</f>
        <v>0</v>
      </c>
      <c r="V513" s="88" t="n">
        <f aca="false">($H511)*(IF($H512=1,V$185,IF($H512=2,V$188,IF($H512=3,V$191,0))))</f>
        <v>0</v>
      </c>
      <c r="W513" s="88" t="n">
        <f aca="false">($H511)*(IF($H512=1,W$185,IF($H512=2,W$188,IF($H512=3,W$191,0))))</f>
        <v>0</v>
      </c>
      <c r="X513" s="88" t="n">
        <f aca="false">($H511)*(IF($H512=1,X$185,IF($H512=2,X$188,IF($H512=3,X$191,0))))</f>
        <v>0</v>
      </c>
      <c r="Y513" s="88" t="n">
        <f aca="false">($H511)*(IF($H512=1,Y$185,IF($H512=2,Y$188,IF($H512=3,Y$191,0))))</f>
        <v>0</v>
      </c>
      <c r="Z513" s="88" t="n">
        <f aca="false">($H511)*(IF($H512=1,Z$185,IF($H512=2,Z$188,IF($H512=3,Z$191,0))))</f>
        <v>0</v>
      </c>
      <c r="AA513" s="88" t="n">
        <f aca="false">($H511)*(IF($H512=1,AA$185,IF($H512=2,AA$188,IF($H512=3,AA$191,0))))</f>
        <v>0</v>
      </c>
      <c r="AB513" s="88" t="n">
        <f aca="false">($H511)*(IF($H512=1,AB$185,IF($H512=2,AB$188,IF($H512=3,AB$191,0))))</f>
        <v>0</v>
      </c>
      <c r="AC513" s="88" t="n">
        <f aca="false">($H511)*(IF($H512=1,AC$185,IF($H512=2,AC$188,IF($H512=3,AC$191,0))))</f>
        <v>0</v>
      </c>
    </row>
    <row r="514" customFormat="false" ht="11.25" hidden="false" customHeight="false" outlineLevel="0" collapsed="false">
      <c r="A514" s="4"/>
      <c r="B514" s="138"/>
      <c r="E514" s="88"/>
      <c r="F514" s="88"/>
      <c r="G514" s="88"/>
      <c r="H514" s="88"/>
      <c r="I514" s="88"/>
      <c r="J514" s="88"/>
      <c r="K514" s="88"/>
      <c r="L514" s="88"/>
      <c r="M514" s="88"/>
      <c r="N514" s="88"/>
      <c r="O514" s="88"/>
      <c r="P514" s="88"/>
      <c r="Q514" s="88"/>
      <c r="R514" s="88"/>
      <c r="S514" s="88"/>
      <c r="T514" s="88"/>
      <c r="U514" s="88"/>
      <c r="V514" s="88"/>
      <c r="W514" s="88"/>
      <c r="X514" s="88"/>
      <c r="Y514" s="88"/>
      <c r="Z514" s="88"/>
      <c r="AA514" s="88"/>
      <c r="AB514" s="88"/>
      <c r="AC514" s="88"/>
    </row>
    <row r="515" customFormat="false" ht="11.25" hidden="false" customHeight="false" outlineLevel="0" collapsed="false">
      <c r="A515" s="4"/>
      <c r="B515" s="138" t="s">
        <v>206</v>
      </c>
      <c r="E515" s="88"/>
      <c r="F515" s="88"/>
      <c r="G515" s="88"/>
      <c r="H515" s="88"/>
      <c r="I515" s="141" t="n">
        <v>0</v>
      </c>
      <c r="J515" s="141" t="n">
        <v>0</v>
      </c>
      <c r="K515" s="141" t="n">
        <v>0</v>
      </c>
      <c r="L515" s="141" t="n">
        <v>0</v>
      </c>
      <c r="M515" s="141" t="n">
        <v>0</v>
      </c>
      <c r="N515" s="141" t="n">
        <v>0</v>
      </c>
      <c r="O515" s="141" t="n">
        <v>0</v>
      </c>
      <c r="P515" s="141" t="n">
        <v>0</v>
      </c>
      <c r="Q515" s="141" t="n">
        <v>0</v>
      </c>
      <c r="R515" s="141" t="n">
        <v>0</v>
      </c>
      <c r="S515" s="141" t="n">
        <v>0</v>
      </c>
      <c r="T515" s="141" t="n">
        <v>0</v>
      </c>
      <c r="U515" s="141" t="n">
        <v>0</v>
      </c>
      <c r="V515" s="141" t="n">
        <v>0</v>
      </c>
      <c r="W515" s="141" t="n">
        <v>0</v>
      </c>
      <c r="X515" s="141" t="n">
        <v>0</v>
      </c>
      <c r="Y515" s="141" t="n">
        <v>0</v>
      </c>
      <c r="Z515" s="141" t="n">
        <v>0</v>
      </c>
      <c r="AA515" s="141" t="n">
        <v>0</v>
      </c>
      <c r="AB515" s="141" t="n">
        <v>0</v>
      </c>
      <c r="AC515" s="141" t="n">
        <v>0</v>
      </c>
    </row>
    <row r="516" customFormat="false" ht="11.25" hidden="false" customHeight="false" outlineLevel="0" collapsed="false">
      <c r="A516" s="142" t="str">
        <f aca="false">"Total Production Costs - "&amp;C16</f>
        <v>Total Production Costs - PROBABLES</v>
      </c>
      <c r="E516" s="254" t="n">
        <v>0</v>
      </c>
      <c r="F516" s="254" t="n">
        <v>0</v>
      </c>
      <c r="G516" s="254" t="n">
        <v>0</v>
      </c>
      <c r="H516" s="254" t="n">
        <v>0</v>
      </c>
      <c r="I516" s="143" t="n">
        <f aca="false">+I513+I504+I506+I515</f>
        <v>0</v>
      </c>
      <c r="J516" s="143" t="n">
        <f aca="false">+J513+J504+J506+J515</f>
        <v>0</v>
      </c>
      <c r="K516" s="143" t="n">
        <f aca="false">+K513+K504+K506+K515</f>
        <v>0</v>
      </c>
      <c r="L516" s="143" t="n">
        <f aca="false">+L513+L504+L506+L515</f>
        <v>0</v>
      </c>
      <c r="M516" s="143" t="n">
        <f aca="false">+M513+M504+M506+M515</f>
        <v>0</v>
      </c>
      <c r="N516" s="143" t="n">
        <f aca="false">+N513+N504+N506+N515</f>
        <v>0</v>
      </c>
      <c r="O516" s="143" t="n">
        <f aca="false">+O513+O504+O506+O515</f>
        <v>0</v>
      </c>
      <c r="P516" s="143" t="n">
        <f aca="false">+P513+P504+P506+P515</f>
        <v>0</v>
      </c>
      <c r="Q516" s="143" t="n">
        <f aca="false">+Q513+Q504+Q506+Q515</f>
        <v>0</v>
      </c>
      <c r="R516" s="143" t="n">
        <f aca="false">+R513+R504+R506+R515</f>
        <v>0</v>
      </c>
      <c r="S516" s="143" t="n">
        <f aca="false">+S513+S504+S506+S515</f>
        <v>0</v>
      </c>
      <c r="T516" s="143" t="n">
        <f aca="false">+T513+T504+T506+T515</f>
        <v>0</v>
      </c>
      <c r="U516" s="143" t="n">
        <f aca="false">+U513+U504+U506+U515</f>
        <v>0</v>
      </c>
      <c r="V516" s="143" t="n">
        <f aca="false">+V513+V504+V506+V515</f>
        <v>0</v>
      </c>
      <c r="W516" s="143" t="n">
        <f aca="false">+W513+W504+W506+W515</f>
        <v>0</v>
      </c>
      <c r="X516" s="143" t="n">
        <f aca="false">+X513+X504+X506+X515</f>
        <v>0</v>
      </c>
      <c r="Y516" s="143" t="n">
        <f aca="false">+Y513+Y504+Y506+Y515</f>
        <v>0</v>
      </c>
      <c r="Z516" s="143" t="n">
        <f aca="false">+Z513+Z504+Z506+Z515</f>
        <v>0</v>
      </c>
      <c r="AA516" s="143" t="n">
        <f aca="false">+AA513+AA504+AA506+AA515</f>
        <v>0</v>
      </c>
      <c r="AB516" s="143" t="n">
        <f aca="false">+AB513+AB504+AB506+AB515</f>
        <v>0</v>
      </c>
      <c r="AC516" s="143" t="n">
        <f aca="false">+AC513+AC504+AC506+AC515</f>
        <v>0</v>
      </c>
    </row>
    <row r="517" customFormat="false" ht="11.25" hidden="false" customHeight="false" outlineLevel="0" collapsed="false">
      <c r="A517" s="4" t="str">
        <f aca="false">"Net Oil &amp; Gas Income - "&amp;C16</f>
        <v>Net Oil &amp; Gas Income - PROBABLES</v>
      </c>
      <c r="D517" s="43"/>
      <c r="E517" s="127" t="n">
        <f aca="false">+E494-E516</f>
        <v>0</v>
      </c>
      <c r="F517" s="127" t="n">
        <f aca="false">+F494-F516</f>
        <v>0</v>
      </c>
      <c r="G517" s="127" t="n">
        <f aca="false">+G494-G516</f>
        <v>0</v>
      </c>
      <c r="H517" s="127" t="n">
        <f aca="false">+H494-H516</f>
        <v>0</v>
      </c>
      <c r="I517" s="116" t="n">
        <f aca="false">+I494-I516</f>
        <v>0</v>
      </c>
      <c r="J517" s="116" t="n">
        <f aca="false">+J494-J516</f>
        <v>0</v>
      </c>
      <c r="K517" s="116" t="n">
        <f aca="false">+K494-K516</f>
        <v>0</v>
      </c>
      <c r="L517" s="116" t="n">
        <f aca="false">+L494-L516</f>
        <v>0</v>
      </c>
      <c r="M517" s="116" t="n">
        <f aca="false">+M494-M516</f>
        <v>0</v>
      </c>
      <c r="N517" s="116" t="n">
        <f aca="false">+N494-N516</f>
        <v>0</v>
      </c>
      <c r="O517" s="116" t="n">
        <f aca="false">+O494-O516</f>
        <v>0</v>
      </c>
      <c r="P517" s="116" t="n">
        <f aca="false">+P494-P516</f>
        <v>0</v>
      </c>
      <c r="Q517" s="116" t="n">
        <f aca="false">+Q494-Q516</f>
        <v>0</v>
      </c>
      <c r="R517" s="116" t="n">
        <f aca="false">+R494-R516</f>
        <v>0</v>
      </c>
      <c r="S517" s="116" t="n">
        <f aca="false">+S494-S516</f>
        <v>0</v>
      </c>
      <c r="T517" s="116" t="n">
        <f aca="false">+T494-T516</f>
        <v>0</v>
      </c>
      <c r="U517" s="116" t="n">
        <f aca="false">+U494-U516</f>
        <v>0</v>
      </c>
      <c r="V517" s="116" t="n">
        <f aca="false">+V494-V516</f>
        <v>0</v>
      </c>
      <c r="W517" s="116" t="n">
        <f aca="false">+W494-W516</f>
        <v>0</v>
      </c>
      <c r="X517" s="116" t="n">
        <f aca="false">+X494-X516</f>
        <v>0</v>
      </c>
      <c r="Y517" s="116" t="n">
        <f aca="false">+Y494-Y516</f>
        <v>0</v>
      </c>
      <c r="Z517" s="116" t="n">
        <f aca="false">+Z494-Z516</f>
        <v>0</v>
      </c>
      <c r="AA517" s="116" t="n">
        <f aca="false">+AA494-AA516</f>
        <v>0</v>
      </c>
      <c r="AB517" s="116" t="n">
        <f aca="false">+AB494-AB516</f>
        <v>0</v>
      </c>
      <c r="AC517" s="116" t="n">
        <f aca="false">+AC494-AC516</f>
        <v>0</v>
      </c>
    </row>
    <row r="518" customFormat="false" ht="11.25" hidden="false" customHeight="false" outlineLevel="0" collapsed="false">
      <c r="A518" s="4"/>
      <c r="B518" s="35"/>
      <c r="D518" s="35"/>
      <c r="E518" s="110"/>
      <c r="F518" s="110"/>
      <c r="G518" s="110"/>
      <c r="I518" s="258"/>
      <c r="J518" s="258"/>
      <c r="K518" s="258"/>
      <c r="L518" s="258"/>
      <c r="M518" s="258"/>
      <c r="N518" s="258"/>
      <c r="O518" s="258"/>
      <c r="P518" s="258"/>
      <c r="Q518" s="258"/>
      <c r="R518" s="258"/>
      <c r="S518" s="258"/>
      <c r="T518" s="258"/>
      <c r="U518" s="258"/>
      <c r="V518" s="258"/>
      <c r="W518" s="258"/>
      <c r="X518" s="258"/>
      <c r="Y518" s="268"/>
      <c r="Z518" s="268"/>
      <c r="AA518" s="268"/>
      <c r="AB518" s="268"/>
      <c r="AC518" s="268"/>
    </row>
    <row r="519" customFormat="false" ht="11.25" hidden="false" customHeight="false" outlineLevel="0" collapsed="false">
      <c r="A519" s="4"/>
      <c r="B519" s="35" t="s">
        <v>534</v>
      </c>
      <c r="D519" s="35"/>
      <c r="E519" s="110"/>
      <c r="F519" s="110"/>
      <c r="G519" s="110"/>
      <c r="I519" s="141" t="n">
        <v>0</v>
      </c>
      <c r="J519" s="141" t="n">
        <v>0</v>
      </c>
      <c r="K519" s="141" t="n">
        <v>0</v>
      </c>
      <c r="L519" s="141" t="n">
        <v>0</v>
      </c>
      <c r="M519" s="141" t="n">
        <v>0</v>
      </c>
      <c r="N519" s="141" t="n">
        <v>0</v>
      </c>
      <c r="O519" s="141" t="n">
        <v>0</v>
      </c>
      <c r="P519" s="141" t="n">
        <v>0</v>
      </c>
      <c r="Q519" s="141" t="n">
        <v>0</v>
      </c>
      <c r="R519" s="141" t="n">
        <v>0</v>
      </c>
      <c r="S519" s="141" t="n">
        <v>0</v>
      </c>
      <c r="T519" s="141" t="n">
        <v>0</v>
      </c>
      <c r="U519" s="141" t="n">
        <v>0</v>
      </c>
      <c r="V519" s="141" t="n">
        <v>0</v>
      </c>
      <c r="W519" s="141" t="n">
        <v>0</v>
      </c>
      <c r="X519" s="141" t="n">
        <v>0</v>
      </c>
      <c r="Y519" s="141" t="n">
        <v>0</v>
      </c>
      <c r="Z519" s="141" t="n">
        <v>0</v>
      </c>
      <c r="AA519" s="141" t="n">
        <v>0</v>
      </c>
      <c r="AB519" s="141" t="n">
        <v>0</v>
      </c>
      <c r="AC519" s="141" t="n">
        <v>0</v>
      </c>
    </row>
    <row r="520" customFormat="false" ht="11.25" hidden="false" customHeight="false" outlineLevel="0" collapsed="false">
      <c r="A520" s="4"/>
      <c r="B520" s="35"/>
      <c r="D520" s="35"/>
      <c r="E520" s="110"/>
      <c r="F520" s="110"/>
      <c r="G520" s="110"/>
      <c r="H520" s="111"/>
      <c r="I520" s="258"/>
      <c r="J520" s="258"/>
      <c r="K520" s="258"/>
      <c r="L520" s="258"/>
      <c r="M520" s="258"/>
      <c r="N520" s="258"/>
      <c r="O520" s="258"/>
      <c r="P520" s="258"/>
      <c r="Q520" s="258"/>
      <c r="R520" s="258"/>
      <c r="S520" s="258"/>
      <c r="T520" s="258"/>
      <c r="U520" s="258"/>
      <c r="V520" s="258"/>
      <c r="W520" s="258"/>
      <c r="X520" s="258"/>
      <c r="Y520" s="268"/>
      <c r="Z520" s="268"/>
      <c r="AA520" s="268"/>
      <c r="AB520" s="268"/>
      <c r="AC520" s="268"/>
    </row>
    <row r="521" customFormat="false" ht="12" hidden="false" customHeight="false" outlineLevel="0" collapsed="false">
      <c r="A521" s="4"/>
      <c r="B521" s="35"/>
      <c r="D521" s="35"/>
      <c r="E521" s="110"/>
      <c r="F521" s="110"/>
      <c r="G521" s="110"/>
      <c r="H521" s="111"/>
      <c r="I521" s="258"/>
      <c r="J521" s="258"/>
      <c r="K521" s="258"/>
      <c r="L521" s="258"/>
      <c r="M521" s="258"/>
      <c r="N521" s="258"/>
      <c r="O521" s="258"/>
      <c r="P521" s="258"/>
      <c r="Q521" s="258"/>
      <c r="R521" s="258"/>
      <c r="S521" s="258"/>
      <c r="T521" s="258"/>
      <c r="U521" s="258"/>
      <c r="V521" s="258"/>
      <c r="W521" s="258"/>
      <c r="X521" s="258"/>
      <c r="Y521" s="268"/>
      <c r="Z521" s="268"/>
      <c r="AA521" s="268"/>
      <c r="AB521" s="268"/>
      <c r="AC521" s="268"/>
    </row>
    <row r="522" customFormat="false" ht="12.75" hidden="false" customHeight="false" outlineLevel="0" collapsed="false">
      <c r="A522" s="4" t="s">
        <v>172</v>
      </c>
      <c r="B522" s="35"/>
      <c r="C522" s="35"/>
      <c r="D522" s="35"/>
      <c r="E522" s="81" t="str">
        <f aca="false">+E$3</f>
        <v>1996 </v>
      </c>
      <c r="F522" s="81" t="str">
        <f aca="false">+F$3</f>
        <v>1997 </v>
      </c>
      <c r="G522" s="81" t="str">
        <f aca="false">+G$3</f>
        <v>1998 </v>
      </c>
      <c r="H522" s="81" t="str">
        <f aca="false">+H$3</f>
        <v>6 M/1999 </v>
      </c>
      <c r="I522" s="81" t="str">
        <f aca="false">+I$3</f>
        <v>6 M/1999 </v>
      </c>
      <c r="J522" s="81" t="n">
        <f aca="false">+J$3</f>
        <v>2000</v>
      </c>
      <c r="K522" s="81" t="n">
        <f aca="false">+K$3</f>
        <v>2001</v>
      </c>
      <c r="L522" s="81" t="n">
        <f aca="false">+L$3</f>
        <v>2002</v>
      </c>
      <c r="M522" s="81" t="n">
        <f aca="false">+M$3</f>
        <v>2003</v>
      </c>
      <c r="N522" s="81" t="n">
        <f aca="false">+N$3</f>
        <v>2004</v>
      </c>
      <c r="O522" s="81" t="n">
        <f aca="false">+O$3</f>
        <v>2005</v>
      </c>
      <c r="P522" s="81" t="n">
        <f aca="false">+P$3</f>
        <v>2006</v>
      </c>
      <c r="Q522" s="81" t="n">
        <f aca="false">+Q$3</f>
        <v>2007</v>
      </c>
      <c r="R522" s="81" t="n">
        <f aca="false">+R$3</f>
        <v>2008</v>
      </c>
      <c r="S522" s="81" t="n">
        <f aca="false">+S$3</f>
        <v>2009</v>
      </c>
      <c r="T522" s="81" t="n">
        <f aca="false">+T$3</f>
        <v>2010</v>
      </c>
      <c r="U522" s="81" t="n">
        <f aca="false">+U$3</f>
        <v>2011</v>
      </c>
      <c r="V522" s="81" t="n">
        <f aca="false">+V$3</f>
        <v>2012</v>
      </c>
      <c r="W522" s="81" t="n">
        <f aca="false">+W$3</f>
        <v>2013</v>
      </c>
      <c r="X522" s="81" t="n">
        <f aca="false">+X$3</f>
        <v>2014</v>
      </c>
      <c r="Y522" s="81" t="n">
        <f aca="false">+Y$3</f>
        <v>2015</v>
      </c>
      <c r="Z522" s="81" t="n">
        <f aca="false">+Z$3</f>
        <v>2016</v>
      </c>
      <c r="AA522" s="81" t="n">
        <f aca="false">+AA$3</f>
        <v>2017</v>
      </c>
      <c r="AB522" s="81" t="n">
        <f aca="false">+AB$3</f>
        <v>2018</v>
      </c>
      <c r="AC522" s="81" t="n">
        <f aca="false">+AC$3</f>
        <v>2019</v>
      </c>
    </row>
    <row r="523" customFormat="false" ht="13.5" hidden="false" customHeight="false" outlineLevel="0" collapsed="false">
      <c r="A523" s="107" t="str">
        <f aca="false">+C18</f>
        <v>Acrerage Dev. Prog. </v>
      </c>
      <c r="B523" s="35"/>
      <c r="C523" s="35"/>
      <c r="D523" s="35"/>
      <c r="E523" s="108" t="s">
        <v>388</v>
      </c>
      <c r="F523" s="108" t="s">
        <v>535</v>
      </c>
      <c r="G523" s="108" t="s">
        <v>390</v>
      </c>
      <c r="H523" s="108"/>
      <c r="I523" s="250"/>
      <c r="J523" s="250"/>
      <c r="K523" s="250"/>
      <c r="L523" s="250"/>
      <c r="M523" s="250"/>
      <c r="N523" s="250"/>
      <c r="O523" s="250"/>
      <c r="P523" s="250"/>
      <c r="Q523" s="250"/>
      <c r="R523" s="250"/>
      <c r="S523" s="250"/>
      <c r="T523" s="250"/>
      <c r="U523" s="250"/>
      <c r="V523" s="250"/>
      <c r="W523" s="250"/>
      <c r="X523" s="250"/>
      <c r="Y523" s="250"/>
      <c r="Z523" s="250"/>
      <c r="AA523" s="250"/>
      <c r="AB523" s="250"/>
      <c r="AC523" s="250"/>
    </row>
    <row r="524" customFormat="false" ht="12.75" hidden="false" customHeight="false" outlineLevel="0" collapsed="false">
      <c r="A524" s="107"/>
      <c r="B524" s="35"/>
      <c r="C524" s="35"/>
      <c r="D524" s="35"/>
      <c r="E524" s="259" t="n">
        <v>0.7</v>
      </c>
      <c r="F524" s="273" t="n">
        <v>1</v>
      </c>
      <c r="G524" s="259" t="n">
        <v>1.15</v>
      </c>
      <c r="H524" s="108"/>
      <c r="I524" s="250"/>
      <c r="J524" s="250"/>
      <c r="K524" s="250"/>
      <c r="L524" s="250"/>
      <c r="M524" s="250"/>
      <c r="N524" s="250"/>
      <c r="O524" s="250"/>
      <c r="P524" s="250"/>
      <c r="Q524" s="250"/>
      <c r="R524" s="90"/>
    </row>
    <row r="525" customFormat="false" ht="12.75" hidden="false" customHeight="false" outlineLevel="0" collapsed="false">
      <c r="A525" s="107"/>
      <c r="B525" s="35"/>
      <c r="C525" s="35"/>
      <c r="D525" s="35"/>
      <c r="E525" s="108"/>
      <c r="F525" s="108"/>
      <c r="G525" s="108"/>
      <c r="H525" s="108"/>
      <c r="I525" s="250" t="n">
        <v>0</v>
      </c>
      <c r="J525" s="250" t="n">
        <v>0</v>
      </c>
      <c r="K525" s="250" t="n">
        <v>0</v>
      </c>
      <c r="L525" s="250" t="n">
        <v>0</v>
      </c>
      <c r="M525" s="250" t="n">
        <v>0</v>
      </c>
      <c r="N525" s="250" t="n">
        <v>0</v>
      </c>
      <c r="O525" s="250" t="n">
        <v>0</v>
      </c>
      <c r="P525" s="250" t="n">
        <v>0</v>
      </c>
      <c r="Q525" s="250" t="n">
        <v>0</v>
      </c>
      <c r="R525" s="250" t="n">
        <v>0</v>
      </c>
      <c r="S525" s="250" t="n">
        <v>0</v>
      </c>
      <c r="T525" s="250" t="n">
        <v>0</v>
      </c>
      <c r="U525" s="250" t="n">
        <v>0</v>
      </c>
      <c r="V525" s="250" t="n">
        <v>0</v>
      </c>
      <c r="W525" s="250" t="n">
        <v>0</v>
      </c>
      <c r="X525" s="282" t="n">
        <v>0</v>
      </c>
      <c r="Y525" s="282" t="n">
        <v>0</v>
      </c>
      <c r="Z525" s="282" t="n">
        <v>0</v>
      </c>
      <c r="AA525" s="282" t="n">
        <v>0</v>
      </c>
      <c r="AB525" s="282" t="n">
        <v>0</v>
      </c>
      <c r="AC525" s="282" t="n">
        <v>0</v>
      </c>
    </row>
    <row r="526" customFormat="false" ht="11.25" hidden="false" customHeight="false" outlineLevel="0" collapsed="false">
      <c r="A526" s="109" t="s">
        <v>174</v>
      </c>
      <c r="B526" s="43" t="s">
        <v>515</v>
      </c>
      <c r="C526" s="35"/>
      <c r="D526" s="35"/>
      <c r="E526" s="108"/>
      <c r="F526" s="108"/>
      <c r="G526" s="108"/>
      <c r="H526" s="108"/>
      <c r="I526" s="141" t="n">
        <f aca="false">I525*$F$524</f>
        <v>0</v>
      </c>
      <c r="J526" s="141" t="n">
        <f aca="false">J525*$F$524</f>
        <v>0</v>
      </c>
      <c r="K526" s="141" t="n">
        <f aca="false">K525*$F$524</f>
        <v>0</v>
      </c>
      <c r="L526" s="141" t="n">
        <f aca="false">L525*$F$524</f>
        <v>0</v>
      </c>
      <c r="M526" s="141" t="n">
        <f aca="false">M525*$F$524</f>
        <v>0</v>
      </c>
      <c r="N526" s="141" t="n">
        <f aca="false">N525*$F$524</f>
        <v>0</v>
      </c>
      <c r="O526" s="141" t="n">
        <f aca="false">O525*$F$524</f>
        <v>0</v>
      </c>
      <c r="P526" s="141" t="n">
        <f aca="false">P525*$F$524</f>
        <v>0</v>
      </c>
      <c r="Q526" s="141" t="n">
        <f aca="false">Q525*$F$524</f>
        <v>0</v>
      </c>
      <c r="R526" s="141" t="n">
        <f aca="false">R525*$F$524</f>
        <v>0</v>
      </c>
      <c r="S526" s="141" t="n">
        <f aca="false">S525*$F$524</f>
        <v>0</v>
      </c>
      <c r="T526" s="141" t="n">
        <f aca="false">T525*$F$524</f>
        <v>0</v>
      </c>
      <c r="U526" s="141" t="n">
        <f aca="false">U525*$F$524</f>
        <v>0</v>
      </c>
      <c r="V526" s="141" t="n">
        <f aca="false">V525*$F$524</f>
        <v>0</v>
      </c>
      <c r="W526" s="141" t="n">
        <f aca="false">W525*$F$524</f>
        <v>0</v>
      </c>
      <c r="X526" s="141" t="n">
        <f aca="false">X525*$F$524</f>
        <v>0</v>
      </c>
      <c r="Y526" s="141" t="n">
        <f aca="false">Y525*$F$524</f>
        <v>0</v>
      </c>
      <c r="Z526" s="141" t="n">
        <f aca="false">Z525*$F$524</f>
        <v>0</v>
      </c>
      <c r="AA526" s="141" t="n">
        <f aca="false">AA525*$F$524</f>
        <v>0</v>
      </c>
      <c r="AB526" s="141" t="n">
        <f aca="false">AB525*$F$524</f>
        <v>0</v>
      </c>
      <c r="AC526" s="141" t="n">
        <f aca="false">AC525*$F$524</f>
        <v>0</v>
      </c>
      <c r="AD526" s="283"/>
    </row>
    <row r="527" customFormat="false" ht="12.75" hidden="false" customHeight="false" outlineLevel="0" collapsed="false">
      <c r="A527" s="107"/>
      <c r="B527" s="43" t="s">
        <v>517</v>
      </c>
      <c r="C527" s="35"/>
      <c r="D527" s="35"/>
      <c r="E527" s="108"/>
      <c r="F527" s="108"/>
      <c r="G527" s="108"/>
      <c r="H527" s="108"/>
      <c r="I527" s="26" t="n">
        <v>1</v>
      </c>
      <c r="J527" s="26" t="n">
        <f aca="false">I527</f>
        <v>1</v>
      </c>
      <c r="K527" s="26" t="n">
        <f aca="false">J527</f>
        <v>1</v>
      </c>
      <c r="L527" s="26" t="n">
        <f aca="false">K527</f>
        <v>1</v>
      </c>
      <c r="M527" s="26" t="n">
        <f aca="false">L527</f>
        <v>1</v>
      </c>
      <c r="N527" s="26" t="n">
        <f aca="false">M527</f>
        <v>1</v>
      </c>
      <c r="O527" s="26" t="n">
        <f aca="false">N527</f>
        <v>1</v>
      </c>
      <c r="P527" s="26" t="n">
        <f aca="false">O527</f>
        <v>1</v>
      </c>
      <c r="Q527" s="26" t="n">
        <f aca="false">P527</f>
        <v>1</v>
      </c>
      <c r="R527" s="26" t="n">
        <f aca="false">Q527</f>
        <v>1</v>
      </c>
      <c r="S527" s="26" t="n">
        <f aca="false">R527</f>
        <v>1</v>
      </c>
      <c r="T527" s="26" t="n">
        <f aca="false">S527</f>
        <v>1</v>
      </c>
      <c r="U527" s="26" t="n">
        <f aca="false">T527</f>
        <v>1</v>
      </c>
      <c r="V527" s="26" t="n">
        <f aca="false">U527</f>
        <v>1</v>
      </c>
      <c r="W527" s="26" t="n">
        <f aca="false">V527</f>
        <v>1</v>
      </c>
      <c r="X527" s="26" t="n">
        <f aca="false">W527</f>
        <v>1</v>
      </c>
      <c r="Y527" s="26" t="n">
        <f aca="false">X527</f>
        <v>1</v>
      </c>
      <c r="Z527" s="26" t="n">
        <f aca="false">Y527</f>
        <v>1</v>
      </c>
      <c r="AA527" s="26" t="n">
        <f aca="false">Z527</f>
        <v>1</v>
      </c>
      <c r="AB527" s="26" t="n">
        <f aca="false">AA527</f>
        <v>1</v>
      </c>
      <c r="AC527" s="26" t="n">
        <f aca="false">AB527</f>
        <v>1</v>
      </c>
    </row>
    <row r="528" customFormat="false" ht="11.25" hidden="false" customHeight="false" outlineLevel="0" collapsed="false">
      <c r="B528" s="43" t="s">
        <v>518</v>
      </c>
      <c r="C528" s="35"/>
      <c r="D528" s="35"/>
      <c r="E528" s="108"/>
      <c r="F528" s="108"/>
      <c r="G528" s="108"/>
      <c r="H528" s="250"/>
      <c r="I528" s="120" t="n">
        <f aca="false">+I526*I527</f>
        <v>0</v>
      </c>
      <c r="J528" s="120" t="n">
        <f aca="false">+J526*J527</f>
        <v>0</v>
      </c>
      <c r="K528" s="120" t="n">
        <f aca="false">+K526*K527</f>
        <v>0</v>
      </c>
      <c r="L528" s="120" t="n">
        <f aca="false">+L526*L527</f>
        <v>0</v>
      </c>
      <c r="M528" s="120" t="n">
        <f aca="false">+M526*M527</f>
        <v>0</v>
      </c>
      <c r="N528" s="120" t="n">
        <f aca="false">+N526*N527</f>
        <v>0</v>
      </c>
      <c r="O528" s="120" t="n">
        <f aca="false">+O526*O527</f>
        <v>0</v>
      </c>
      <c r="P528" s="120" t="n">
        <f aca="false">+P526*P527</f>
        <v>0</v>
      </c>
      <c r="Q528" s="120" t="n">
        <f aca="false">+Q526*Q527</f>
        <v>0</v>
      </c>
      <c r="R528" s="120" t="n">
        <f aca="false">+R526*R527</f>
        <v>0</v>
      </c>
      <c r="S528" s="120" t="n">
        <f aca="false">+S526*S527</f>
        <v>0</v>
      </c>
      <c r="T528" s="120" t="n">
        <f aca="false">+T526*T527</f>
        <v>0</v>
      </c>
      <c r="U528" s="120" t="n">
        <f aca="false">+U526*U527</f>
        <v>0</v>
      </c>
      <c r="V528" s="120" t="n">
        <f aca="false">+V526*V527</f>
        <v>0</v>
      </c>
      <c r="W528" s="120" t="n">
        <f aca="false">+W526*W527</f>
        <v>0</v>
      </c>
      <c r="X528" s="120" t="n">
        <f aca="false">+X526*X527</f>
        <v>0</v>
      </c>
      <c r="Y528" s="120" t="n">
        <f aca="false">+Y526*Y527</f>
        <v>0</v>
      </c>
      <c r="Z528" s="120" t="n">
        <f aca="false">+Z526*Z527</f>
        <v>0</v>
      </c>
      <c r="AA528" s="120" t="n">
        <f aca="false">+AA526*AA527</f>
        <v>0</v>
      </c>
      <c r="AB528" s="120" t="n">
        <f aca="false">+AB526*AB527</f>
        <v>0</v>
      </c>
      <c r="AC528" s="120" t="n">
        <f aca="false">+AC526*AC527</f>
        <v>0</v>
      </c>
    </row>
    <row r="529" customFormat="false" ht="12.75" hidden="false" customHeight="false" outlineLevel="0" collapsed="false">
      <c r="A529" s="107"/>
      <c r="B529" s="35" t="s">
        <v>176</v>
      </c>
      <c r="C529" s="35"/>
      <c r="D529" s="35"/>
      <c r="E529" s="108"/>
      <c r="F529" s="108"/>
      <c r="G529" s="108"/>
      <c r="H529" s="250"/>
      <c r="I529" s="26" t="n">
        <v>1</v>
      </c>
      <c r="J529" s="26" t="n">
        <f aca="false">I529</f>
        <v>1</v>
      </c>
      <c r="K529" s="26" t="n">
        <f aca="false">J529</f>
        <v>1</v>
      </c>
      <c r="L529" s="26" t="n">
        <f aca="false">K529</f>
        <v>1</v>
      </c>
      <c r="M529" s="26" t="n">
        <f aca="false">L529</f>
        <v>1</v>
      </c>
      <c r="N529" s="26" t="n">
        <f aca="false">M529</f>
        <v>1</v>
      </c>
      <c r="O529" s="26" t="n">
        <f aca="false">N529</f>
        <v>1</v>
      </c>
      <c r="P529" s="26" t="n">
        <f aca="false">O529</f>
        <v>1</v>
      </c>
      <c r="Q529" s="26" t="n">
        <f aca="false">P529</f>
        <v>1</v>
      </c>
      <c r="R529" s="26" t="n">
        <f aca="false">Q529</f>
        <v>1</v>
      </c>
      <c r="S529" s="26" t="n">
        <f aca="false">R529</f>
        <v>1</v>
      </c>
      <c r="T529" s="26" t="n">
        <f aca="false">S529</f>
        <v>1</v>
      </c>
      <c r="U529" s="26" t="n">
        <f aca="false">T529</f>
        <v>1</v>
      </c>
      <c r="V529" s="26" t="n">
        <f aca="false">U529</f>
        <v>1</v>
      </c>
      <c r="W529" s="26" t="n">
        <f aca="false">V529</f>
        <v>1</v>
      </c>
      <c r="X529" s="26" t="n">
        <f aca="false">W529</f>
        <v>1</v>
      </c>
      <c r="Y529" s="26" t="n">
        <f aca="false">X529</f>
        <v>1</v>
      </c>
      <c r="Z529" s="26" t="n">
        <f aca="false">Y529</f>
        <v>1</v>
      </c>
      <c r="AA529" s="26" t="n">
        <f aca="false">Z529</f>
        <v>1</v>
      </c>
      <c r="AB529" s="26" t="n">
        <f aca="false">AA529</f>
        <v>1</v>
      </c>
      <c r="AC529" s="26" t="n">
        <f aca="false">AB529</f>
        <v>1</v>
      </c>
    </row>
    <row r="530" customFormat="false" ht="11.25" hidden="false" customHeight="false" outlineLevel="0" collapsed="false">
      <c r="B530" s="43" t="s">
        <v>519</v>
      </c>
      <c r="D530" s="35"/>
      <c r="E530" s="110"/>
      <c r="F530" s="110"/>
      <c r="H530" s="258"/>
      <c r="I530" s="116" t="n">
        <f aca="false">+I528*I529</f>
        <v>0</v>
      </c>
      <c r="J530" s="120" t="n">
        <f aca="false">+J528*J529</f>
        <v>0</v>
      </c>
      <c r="K530" s="120" t="n">
        <f aca="false">+K528*K529</f>
        <v>0</v>
      </c>
      <c r="L530" s="120" t="n">
        <f aca="false">+L528*L529</f>
        <v>0</v>
      </c>
      <c r="M530" s="120" t="n">
        <f aca="false">+M528*M529</f>
        <v>0</v>
      </c>
      <c r="N530" s="120" t="n">
        <f aca="false">+N528*N529</f>
        <v>0</v>
      </c>
      <c r="O530" s="120" t="n">
        <f aca="false">+O528*O529</f>
        <v>0</v>
      </c>
      <c r="P530" s="120" t="n">
        <f aca="false">+P528*P529</f>
        <v>0</v>
      </c>
      <c r="Q530" s="120" t="n">
        <f aca="false">+Q528*Q529</f>
        <v>0</v>
      </c>
      <c r="R530" s="120" t="n">
        <f aca="false">+R528*R529</f>
        <v>0</v>
      </c>
      <c r="S530" s="120" t="n">
        <f aca="false">+S528*S529</f>
        <v>0</v>
      </c>
      <c r="T530" s="120" t="n">
        <f aca="false">+T528*T529</f>
        <v>0</v>
      </c>
      <c r="U530" s="120" t="n">
        <f aca="false">+U528*U529</f>
        <v>0</v>
      </c>
      <c r="V530" s="120" t="n">
        <f aca="false">+V528*V529</f>
        <v>0</v>
      </c>
      <c r="W530" s="120" t="n">
        <f aca="false">+W528*W529</f>
        <v>0</v>
      </c>
      <c r="X530" s="120" t="n">
        <f aca="false">+X528*X529</f>
        <v>0</v>
      </c>
      <c r="Y530" s="120" t="n">
        <f aca="false">+Y528*Y529</f>
        <v>0</v>
      </c>
      <c r="Z530" s="120" t="n">
        <f aca="false">+Z528*Z529</f>
        <v>0</v>
      </c>
      <c r="AA530" s="120" t="n">
        <f aca="false">+AA528*AA529</f>
        <v>0</v>
      </c>
      <c r="AB530" s="120" t="n">
        <f aca="false">+AB528*AB529</f>
        <v>0</v>
      </c>
      <c r="AC530" s="120" t="n">
        <f aca="false">+AC528*AC529</f>
        <v>0</v>
      </c>
      <c r="AD530" s="67" t="n">
        <f aca="false">SUM(E530:AC530)</f>
        <v>0</v>
      </c>
    </row>
    <row r="531" customFormat="false" ht="11.25" hidden="false" customHeight="false" outlineLevel="0" collapsed="false">
      <c r="D531" s="35"/>
      <c r="E531" s="110"/>
      <c r="F531" s="110"/>
      <c r="G531" s="110"/>
    </row>
    <row r="532" customFormat="false" ht="11.25" hidden="false" customHeight="false" outlineLevel="0" collapsed="false">
      <c r="A532" s="109"/>
      <c r="B532" s="43" t="s">
        <v>520</v>
      </c>
      <c r="D532" s="102" t="n">
        <v>5</v>
      </c>
      <c r="I532" s="112" t="n">
        <f aca="false">IF($D532=1,I$212,IF($D532=2,I$215,IF($D532=3,I$217,IF($D532=4,I$219,IF($D532=5,I$221,I$212)))))</f>
        <v>0</v>
      </c>
      <c r="J532" s="112" t="n">
        <f aca="false">IF($D532=1,J$212,IF($D532=2,J$215,IF($D532=3,J$217,IF($D532=4,J$219,IF($D532=5,J$221,J$212)))))</f>
        <v>0</v>
      </c>
      <c r="K532" s="112" t="n">
        <f aca="false">IF($D532=1,K$212,IF($D532=2,K$215,IF($D532=3,K$217,IF($D532=4,K$219,IF($D532=5,K$221,K$212)))))</f>
        <v>0</v>
      </c>
      <c r="L532" s="112" t="n">
        <f aca="false">IF($D532=1,L$212,IF($D532=2,L$215,IF($D532=3,L$217,IF($D532=4,L$219,IF($D532=5,L$221,L$212)))))</f>
        <v>0</v>
      </c>
      <c r="M532" s="112" t="n">
        <f aca="false">IF($D532=1,M$212,IF($D532=2,M$215,IF($D532=3,M$217,IF($D532=4,M$219,IF($D532=5,M$221,M$212)))))</f>
        <v>0</v>
      </c>
      <c r="N532" s="112" t="n">
        <f aca="false">IF($D532=1,N$212,IF($D532=2,N$215,IF($D532=3,N$217,IF($D532=4,N$219,IF($D532=5,N$221,N$212)))))</f>
        <v>0</v>
      </c>
      <c r="O532" s="112" t="n">
        <f aca="false">IF($D532=1,O$212,IF($D532=2,O$215,IF($D532=3,O$217,IF($D532=4,O$219,IF($D532=5,O$221,O$212)))))</f>
        <v>0</v>
      </c>
      <c r="P532" s="112" t="n">
        <f aca="false">IF($D532=1,P$212,IF($D532=2,P$215,IF($D532=3,P$217,IF($D532=4,P$219,IF($D532=5,P$221,P$212)))))</f>
        <v>0</v>
      </c>
      <c r="Q532" s="112" t="n">
        <f aca="false">IF($D532=1,Q$212,IF($D532=2,Q$215,IF($D532=3,Q$217,IF($D532=4,Q$219,IF($D532=5,Q$221,Q$212)))))</f>
        <v>0</v>
      </c>
      <c r="R532" s="112" t="n">
        <f aca="false">IF($D532=1,R$212,IF($D532=2,R$215,IF($D532=3,R$217,IF($D532=4,R$219,IF($D532=5,R$221,R$212)))))</f>
        <v>0</v>
      </c>
      <c r="S532" s="112" t="n">
        <f aca="false">IF($D532=1,S$212,IF($D532=2,S$215,IF($D532=3,S$217,IF($D532=4,S$219,IF($D532=5,S$221,S$212)))))</f>
        <v>0</v>
      </c>
      <c r="T532" s="112" t="n">
        <f aca="false">IF($D532=1,T$212,IF($D532=2,T$215,IF($D532=3,T$217,IF($D532=4,T$219,IF($D532=5,T$221,T$212)))))</f>
        <v>0</v>
      </c>
      <c r="U532" s="112" t="n">
        <f aca="false">IF($D532=1,U$212,IF($D532=2,U$215,IF($D532=3,U$217,IF($D532=4,U$219,IF($D532=5,U$221,U$212)))))</f>
        <v>0</v>
      </c>
      <c r="V532" s="112" t="n">
        <f aca="false">IF($D532=1,V$212,IF($D532=2,V$215,IF($D532=3,V$217,IF($D532=4,V$219,IF($D532=5,V$221,V$212)))))</f>
        <v>0</v>
      </c>
      <c r="W532" s="112" t="n">
        <f aca="false">IF($D532=1,W$212,IF($D532=2,W$215,IF($D532=3,W$217,IF($D532=4,W$219,IF($D532=5,W$221,W$212)))))</f>
        <v>0</v>
      </c>
      <c r="X532" s="112" t="n">
        <f aca="false">IF($D532=1,X$212,IF($D532=2,X$215,IF($D532=3,X$217,IF($D532=4,X$219,IF($D532=5,X$221,X$212)))))</f>
        <v>0</v>
      </c>
      <c r="Y532" s="112" t="n">
        <f aca="false">IF($D532=1,Y$212,IF($D532=2,Y$215,IF($D532=3,Y$217,IF($D532=4,Y$219,IF($D532=5,Y$221,Y$212)))))</f>
        <v>0</v>
      </c>
      <c r="Z532" s="112" t="n">
        <f aca="false">IF($D532=1,Z$212,IF($D532=2,Z$215,IF($D532=3,Z$217,IF($D532=4,Z$219,IF($D532=5,Z$221,Z$212)))))</f>
        <v>0</v>
      </c>
      <c r="AA532" s="112" t="n">
        <f aca="false">IF($D532=1,AA$212,IF($D532=2,AA$215,IF($D532=3,AA$217,IF($D532=4,AA$219,IF($D532=5,AA$221,AA$212)))))</f>
        <v>0</v>
      </c>
      <c r="AB532" s="112" t="n">
        <f aca="false">IF($D532=1,AB$212,IF($D532=2,AB$215,IF($D532=3,AB$217,IF($D532=4,AB$219,IF($D532=5,AB$221,AB$212)))))</f>
        <v>0</v>
      </c>
      <c r="AC532" s="112" t="n">
        <f aca="false">IF($D532=1,AC$212,IF($D532=2,AC$215,IF($D532=3,AC$217,IF($D532=4,AC$219,IF($D532=5,AC$221,AC$212)))))</f>
        <v>0</v>
      </c>
      <c r="AE532" s="90"/>
    </row>
    <row r="533" customFormat="false" ht="11.25" hidden="false" customHeight="false" outlineLevel="0" collapsed="false">
      <c r="A533" s="279"/>
      <c r="B533" s="43" t="s">
        <v>179</v>
      </c>
      <c r="D533" s="35"/>
      <c r="I533" s="99" t="n">
        <v>0</v>
      </c>
      <c r="J533" s="99" t="n">
        <v>0</v>
      </c>
      <c r="K533" s="99" t="n">
        <v>0</v>
      </c>
      <c r="L533" s="99" t="n">
        <v>0</v>
      </c>
      <c r="M533" s="99" t="n">
        <v>0</v>
      </c>
      <c r="N533" s="99" t="n">
        <v>0</v>
      </c>
      <c r="O533" s="99" t="n">
        <v>0</v>
      </c>
      <c r="P533" s="99" t="n">
        <v>0</v>
      </c>
      <c r="Q533" s="99" t="n">
        <v>0</v>
      </c>
      <c r="R533" s="99" t="n">
        <v>0</v>
      </c>
      <c r="S533" s="99" t="n">
        <v>0</v>
      </c>
      <c r="T533" s="99" t="n">
        <v>0</v>
      </c>
      <c r="U533" s="99" t="n">
        <v>0</v>
      </c>
      <c r="V533" s="99" t="n">
        <v>0</v>
      </c>
      <c r="W533" s="99" t="n">
        <v>0</v>
      </c>
      <c r="X533" s="99" t="n">
        <v>0</v>
      </c>
      <c r="Y533" s="99" t="n">
        <v>0</v>
      </c>
      <c r="Z533" s="99" t="n">
        <v>0</v>
      </c>
      <c r="AA533" s="99" t="n">
        <v>0</v>
      </c>
      <c r="AB533" s="99" t="n">
        <v>0</v>
      </c>
      <c r="AC533" s="99" t="n">
        <v>0</v>
      </c>
    </row>
    <row r="534" customFormat="false" ht="11.25" hidden="false" customHeight="false" outlineLevel="0" collapsed="false">
      <c r="A534" s="133"/>
      <c r="B534" s="43" t="s">
        <v>180</v>
      </c>
      <c r="D534" s="35"/>
      <c r="I534" s="257" t="n">
        <f aca="false">+I532+I533</f>
        <v>0</v>
      </c>
      <c r="J534" s="257" t="n">
        <f aca="false">+J532+J533</f>
        <v>0</v>
      </c>
      <c r="K534" s="257" t="n">
        <f aca="false">+K532+K533</f>
        <v>0</v>
      </c>
      <c r="L534" s="257" t="n">
        <f aca="false">+L532+L533</f>
        <v>0</v>
      </c>
      <c r="M534" s="257" t="n">
        <f aca="false">+M532+M533</f>
        <v>0</v>
      </c>
      <c r="N534" s="257" t="n">
        <f aca="false">+N532+N533</f>
        <v>0</v>
      </c>
      <c r="O534" s="257" t="n">
        <f aca="false">+O532+O533</f>
        <v>0</v>
      </c>
      <c r="P534" s="257" t="n">
        <f aca="false">+P532+P533</f>
        <v>0</v>
      </c>
      <c r="Q534" s="257" t="n">
        <f aca="false">+Q532+Q533</f>
        <v>0</v>
      </c>
      <c r="R534" s="257" t="n">
        <f aca="false">+R532+R533</f>
        <v>0</v>
      </c>
      <c r="S534" s="257" t="n">
        <f aca="false">+S532+S533</f>
        <v>0</v>
      </c>
      <c r="T534" s="257" t="n">
        <f aca="false">+T532+T533</f>
        <v>0</v>
      </c>
      <c r="U534" s="257" t="n">
        <f aca="false">+U532+U533</f>
        <v>0</v>
      </c>
      <c r="V534" s="257" t="n">
        <f aca="false">+V532+V533</f>
        <v>0</v>
      </c>
      <c r="W534" s="257" t="n">
        <f aca="false">+W532+W533</f>
        <v>0</v>
      </c>
      <c r="X534" s="257" t="n">
        <f aca="false">+X532+X533</f>
        <v>0</v>
      </c>
      <c r="Y534" s="257" t="n">
        <f aca="false">+Y532+Y533</f>
        <v>0</v>
      </c>
      <c r="Z534" s="257" t="n">
        <f aca="false">+Z532+Z533</f>
        <v>0</v>
      </c>
      <c r="AA534" s="257" t="n">
        <f aca="false">+AA532+AA533</f>
        <v>0</v>
      </c>
      <c r="AB534" s="257" t="n">
        <f aca="false">+AB532+AB533</f>
        <v>0</v>
      </c>
      <c r="AC534" s="257" t="n">
        <f aca="false">+AC532+AC533</f>
        <v>0</v>
      </c>
    </row>
    <row r="535" customFormat="false" ht="11.25" hidden="false" customHeight="false" outlineLevel="0" collapsed="false">
      <c r="A535" s="109"/>
      <c r="B535" s="35" t="str">
        <f aca="false">+"Oil Revenue ($"&amp;$F$5</f>
        <v>Oil Revenue ($Thousands)</v>
      </c>
      <c r="D535" s="35"/>
      <c r="E535" s="110"/>
      <c r="F535" s="110"/>
      <c r="G535" s="110"/>
      <c r="H535" s="111"/>
      <c r="I535" s="116" t="n">
        <f aca="false">I530*I534*1000/unit</f>
        <v>0</v>
      </c>
      <c r="J535" s="116" t="n">
        <f aca="false">J530*J534*1000/unit</f>
        <v>0</v>
      </c>
      <c r="K535" s="116" t="n">
        <f aca="false">K530*K534*1000/unit</f>
        <v>0</v>
      </c>
      <c r="L535" s="116" t="n">
        <f aca="false">L530*L534*1000/unit</f>
        <v>0</v>
      </c>
      <c r="M535" s="116" t="n">
        <f aca="false">M530*M534*1000/unit</f>
        <v>0</v>
      </c>
      <c r="N535" s="116" t="n">
        <f aca="false">N530*N534*1000/unit</f>
        <v>0</v>
      </c>
      <c r="O535" s="116" t="n">
        <f aca="false">O530*O534*1000/unit</f>
        <v>0</v>
      </c>
      <c r="P535" s="116" t="n">
        <f aca="false">P530*P534*1000/unit</f>
        <v>0</v>
      </c>
      <c r="Q535" s="116" t="n">
        <f aca="false">Q530*Q534*1000/unit</f>
        <v>0</v>
      </c>
      <c r="R535" s="116" t="n">
        <f aca="false">R530*R534*1000/unit</f>
        <v>0</v>
      </c>
      <c r="S535" s="116" t="n">
        <f aca="false">S530*S534*1000/unit</f>
        <v>0</v>
      </c>
      <c r="T535" s="116" t="n">
        <f aca="false">T530*T534*1000/unit</f>
        <v>0</v>
      </c>
      <c r="U535" s="116" t="n">
        <f aca="false">U530*U534*1000/unit</f>
        <v>0</v>
      </c>
      <c r="V535" s="116" t="n">
        <f aca="false">V530*V534*1000/unit</f>
        <v>0</v>
      </c>
      <c r="W535" s="116" t="n">
        <f aca="false">W530*W534*1000/unit</f>
        <v>0</v>
      </c>
      <c r="X535" s="116" t="n">
        <f aca="false">X530*X534*1000/unit</f>
        <v>0</v>
      </c>
      <c r="Y535" s="116" t="n">
        <f aca="false">Y530*Y534*1000/unit</f>
        <v>0</v>
      </c>
      <c r="Z535" s="116" t="n">
        <f aca="false">Z530*Z534*1000/unit</f>
        <v>0</v>
      </c>
      <c r="AA535" s="116" t="n">
        <f aca="false">AA530*AA534*1000/unit</f>
        <v>0</v>
      </c>
      <c r="AB535" s="116" t="n">
        <f aca="false">AB530*AB534*1000/unit</f>
        <v>0</v>
      </c>
      <c r="AC535" s="116" t="n">
        <f aca="false">AC530*AC534*1000/unit</f>
        <v>0</v>
      </c>
    </row>
    <row r="536" customFormat="false" ht="11.25" hidden="false" customHeight="false" outlineLevel="0" collapsed="false">
      <c r="A536" s="109"/>
      <c r="B536" s="35"/>
      <c r="D536" s="35"/>
      <c r="E536" s="108" t="s">
        <v>388</v>
      </c>
      <c r="F536" s="108" t="s">
        <v>535</v>
      </c>
      <c r="G536" s="108" t="s">
        <v>390</v>
      </c>
      <c r="H536" s="111"/>
      <c r="I536" s="258"/>
      <c r="J536" s="258"/>
      <c r="K536" s="258"/>
      <c r="L536" s="258"/>
      <c r="M536" s="258"/>
      <c r="N536" s="258"/>
      <c r="O536" s="258"/>
      <c r="P536" s="258"/>
      <c r="Q536" s="258"/>
      <c r="R536" s="258"/>
      <c r="S536" s="258"/>
      <c r="T536" s="258"/>
      <c r="U536" s="258"/>
      <c r="V536" s="258"/>
      <c r="W536" s="258"/>
      <c r="X536" s="258"/>
      <c r="Y536" s="203"/>
      <c r="Z536" s="203"/>
      <c r="AA536" s="203"/>
      <c r="AB536" s="203"/>
      <c r="AC536" s="203"/>
    </row>
    <row r="537" customFormat="false" ht="11.25" hidden="false" customHeight="false" outlineLevel="0" collapsed="false">
      <c r="A537" s="109"/>
      <c r="B537" s="35"/>
      <c r="D537" s="35"/>
      <c r="E537" s="259" t="n">
        <v>0.7</v>
      </c>
      <c r="F537" s="273" t="n">
        <v>1</v>
      </c>
      <c r="G537" s="259" t="n">
        <v>1.15</v>
      </c>
      <c r="H537" s="111"/>
      <c r="I537" s="258"/>
      <c r="J537" s="258"/>
      <c r="K537" s="258"/>
      <c r="L537" s="258"/>
      <c r="M537" s="258"/>
      <c r="N537" s="258"/>
      <c r="O537" s="258"/>
      <c r="P537" s="258"/>
      <c r="Q537" s="258"/>
      <c r="R537" s="258"/>
    </row>
    <row r="538" customFormat="false" ht="11.25" hidden="false" customHeight="false" outlineLevel="0" collapsed="false">
      <c r="A538" s="109"/>
      <c r="B538" s="35"/>
      <c r="D538" s="35"/>
      <c r="E538" s="110"/>
      <c r="F538" s="110"/>
      <c r="G538" s="110"/>
      <c r="H538" s="111"/>
      <c r="I538" s="258" t="n">
        <v>0</v>
      </c>
      <c r="J538" s="258" t="n">
        <v>0</v>
      </c>
      <c r="K538" s="258" t="n">
        <v>0</v>
      </c>
      <c r="L538" s="258" t="n">
        <v>0</v>
      </c>
      <c r="M538" s="258" t="n">
        <v>0</v>
      </c>
      <c r="N538" s="258" t="n">
        <v>0</v>
      </c>
      <c r="O538" s="258" t="n">
        <v>0</v>
      </c>
      <c r="P538" s="258" t="n">
        <v>0</v>
      </c>
      <c r="Q538" s="258" t="n">
        <v>0</v>
      </c>
      <c r="R538" s="258" t="n">
        <v>0</v>
      </c>
      <c r="S538" s="258" t="n">
        <v>0</v>
      </c>
      <c r="T538" s="258" t="n">
        <v>0</v>
      </c>
      <c r="U538" s="258" t="n">
        <v>0</v>
      </c>
      <c r="V538" s="258" t="n">
        <v>0</v>
      </c>
      <c r="W538" s="258" t="n">
        <v>0</v>
      </c>
      <c r="X538" s="284" t="n">
        <v>0</v>
      </c>
      <c r="Y538" s="285" t="n">
        <v>0</v>
      </c>
      <c r="Z538" s="285" t="n">
        <v>0</v>
      </c>
      <c r="AA538" s="285" t="n">
        <v>0</v>
      </c>
      <c r="AB538" s="285" t="n">
        <v>0</v>
      </c>
      <c r="AC538" s="285" t="n">
        <v>0</v>
      </c>
    </row>
    <row r="539" customFormat="false" ht="11.25" hidden="false" customHeight="false" outlineLevel="0" collapsed="false">
      <c r="A539" s="109" t="s">
        <v>181</v>
      </c>
      <c r="B539" s="43" t="s">
        <v>521</v>
      </c>
      <c r="D539" s="35"/>
      <c r="E539" s="110"/>
      <c r="F539" s="110"/>
      <c r="G539" s="110"/>
      <c r="H539" s="111"/>
      <c r="I539" s="141" t="n">
        <f aca="false">I538*$F$537</f>
        <v>0</v>
      </c>
      <c r="J539" s="141" t="n">
        <f aca="false">J538*$F$537</f>
        <v>0</v>
      </c>
      <c r="K539" s="141" t="n">
        <f aca="false">K538*$F$537</f>
        <v>0</v>
      </c>
      <c r="L539" s="141" t="n">
        <f aca="false">L538*$F$537</f>
        <v>0</v>
      </c>
      <c r="M539" s="141" t="n">
        <f aca="false">M538*$F$537</f>
        <v>0</v>
      </c>
      <c r="N539" s="141" t="n">
        <f aca="false">N538*$F$537</f>
        <v>0</v>
      </c>
      <c r="O539" s="141" t="n">
        <f aca="false">O538*$F$537</f>
        <v>0</v>
      </c>
      <c r="P539" s="141" t="n">
        <f aca="false">P538*$F$537</f>
        <v>0</v>
      </c>
      <c r="Q539" s="141" t="n">
        <f aca="false">Q538*$F$537</f>
        <v>0</v>
      </c>
      <c r="R539" s="141" t="n">
        <f aca="false">R538*$F$537</f>
        <v>0</v>
      </c>
      <c r="S539" s="141" t="n">
        <f aca="false">S538*$F$537</f>
        <v>0</v>
      </c>
      <c r="T539" s="141" t="n">
        <f aca="false">T538*$F$537</f>
        <v>0</v>
      </c>
      <c r="U539" s="141" t="n">
        <f aca="false">U538*$F$537</f>
        <v>0</v>
      </c>
      <c r="V539" s="141" t="n">
        <f aca="false">V538*$F$537</f>
        <v>0</v>
      </c>
      <c r="W539" s="141" t="n">
        <f aca="false">W538*$F$537</f>
        <v>0</v>
      </c>
      <c r="X539" s="141" t="n">
        <f aca="false">X538*$F$537</f>
        <v>0</v>
      </c>
      <c r="Y539" s="141" t="n">
        <f aca="false">Y538*$F$537</f>
        <v>0</v>
      </c>
      <c r="Z539" s="141" t="n">
        <f aca="false">Z538*$F$537</f>
        <v>0</v>
      </c>
      <c r="AA539" s="141" t="n">
        <f aca="false">AA538*$F$537</f>
        <v>0</v>
      </c>
      <c r="AB539" s="141" t="n">
        <f aca="false">AB538*$F$537</f>
        <v>0</v>
      </c>
      <c r="AC539" s="141" t="n">
        <f aca="false">AC538*$F$537</f>
        <v>0</v>
      </c>
    </row>
    <row r="540" customFormat="false" ht="11.25" hidden="false" customHeight="false" outlineLevel="0" collapsed="false">
      <c r="A540" s="109"/>
      <c r="B540" s="43" t="s">
        <v>517</v>
      </c>
      <c r="D540" s="35"/>
      <c r="E540" s="110"/>
      <c r="F540" s="110"/>
      <c r="G540" s="110"/>
      <c r="H540" s="111"/>
      <c r="I540" s="26" t="n">
        <v>1</v>
      </c>
      <c r="J540" s="26" t="n">
        <f aca="false">I540</f>
        <v>1</v>
      </c>
      <c r="K540" s="26" t="n">
        <f aca="false">J540</f>
        <v>1</v>
      </c>
      <c r="L540" s="26" t="n">
        <f aca="false">K540</f>
        <v>1</v>
      </c>
      <c r="M540" s="26" t="n">
        <f aca="false">L540</f>
        <v>1</v>
      </c>
      <c r="N540" s="26" t="n">
        <f aca="false">M540</f>
        <v>1</v>
      </c>
      <c r="O540" s="26" t="n">
        <f aca="false">N540</f>
        <v>1</v>
      </c>
      <c r="P540" s="26" t="n">
        <f aca="false">O540</f>
        <v>1</v>
      </c>
      <c r="Q540" s="26" t="n">
        <f aca="false">P540</f>
        <v>1</v>
      </c>
      <c r="R540" s="26" t="n">
        <f aca="false">Q540</f>
        <v>1</v>
      </c>
      <c r="S540" s="26" t="n">
        <f aca="false">R540</f>
        <v>1</v>
      </c>
      <c r="T540" s="26" t="n">
        <f aca="false">S540</f>
        <v>1</v>
      </c>
      <c r="U540" s="26" t="n">
        <f aca="false">T540</f>
        <v>1</v>
      </c>
      <c r="V540" s="26" t="n">
        <f aca="false">U540</f>
        <v>1</v>
      </c>
      <c r="W540" s="26" t="n">
        <f aca="false">V540</f>
        <v>1</v>
      </c>
      <c r="X540" s="26" t="n">
        <f aca="false">W540</f>
        <v>1</v>
      </c>
      <c r="Y540" s="26" t="n">
        <f aca="false">X540</f>
        <v>1</v>
      </c>
      <c r="Z540" s="26" t="n">
        <f aca="false">Y540</f>
        <v>1</v>
      </c>
      <c r="AA540" s="26" t="n">
        <f aca="false">Z540</f>
        <v>1</v>
      </c>
      <c r="AB540" s="26" t="n">
        <f aca="false">AA540</f>
        <v>1</v>
      </c>
      <c r="AC540" s="26" t="n">
        <f aca="false">AB540</f>
        <v>1</v>
      </c>
    </row>
    <row r="541" customFormat="false" ht="11.25" hidden="false" customHeight="false" outlineLevel="0" collapsed="false">
      <c r="B541" s="43" t="s">
        <v>522</v>
      </c>
      <c r="D541" s="35"/>
      <c r="E541" s="110"/>
      <c r="F541" s="110"/>
      <c r="G541" s="110"/>
      <c r="H541" s="258"/>
      <c r="I541" s="120" t="n">
        <f aca="false">+I539*I540</f>
        <v>0</v>
      </c>
      <c r="J541" s="120" t="n">
        <f aca="false">+J539*J540</f>
        <v>0</v>
      </c>
      <c r="K541" s="120" t="n">
        <f aca="false">+K539*K540</f>
        <v>0</v>
      </c>
      <c r="L541" s="120" t="n">
        <f aca="false">+L539*L540</f>
        <v>0</v>
      </c>
      <c r="M541" s="120" t="n">
        <f aca="false">+M539*M540</f>
        <v>0</v>
      </c>
      <c r="N541" s="120" t="n">
        <f aca="false">+N539*N540</f>
        <v>0</v>
      </c>
      <c r="O541" s="120" t="n">
        <f aca="false">+O539*O540</f>
        <v>0</v>
      </c>
      <c r="P541" s="120" t="n">
        <f aca="false">+P539*P540</f>
        <v>0</v>
      </c>
      <c r="Q541" s="120" t="n">
        <f aca="false">+Q539*Q540</f>
        <v>0</v>
      </c>
      <c r="R541" s="120" t="n">
        <f aca="false">+R539*R540</f>
        <v>0</v>
      </c>
      <c r="S541" s="120" t="n">
        <f aca="false">+S539*S540</f>
        <v>0</v>
      </c>
      <c r="T541" s="120" t="n">
        <f aca="false">+T539*T540</f>
        <v>0</v>
      </c>
      <c r="U541" s="120" t="n">
        <f aca="false">+U539*U540</f>
        <v>0</v>
      </c>
      <c r="V541" s="120" t="n">
        <f aca="false">+V539*V540</f>
        <v>0</v>
      </c>
      <c r="W541" s="120" t="n">
        <f aca="false">+W539*W540</f>
        <v>0</v>
      </c>
      <c r="X541" s="120" t="n">
        <f aca="false">+X539*X540</f>
        <v>0</v>
      </c>
      <c r="Y541" s="120" t="n">
        <f aca="false">+Y539*Y540</f>
        <v>0</v>
      </c>
      <c r="Z541" s="120" t="n">
        <f aca="false">+Z539*Z540</f>
        <v>0</v>
      </c>
      <c r="AA541" s="120" t="n">
        <f aca="false">+AA539*AA540</f>
        <v>0</v>
      </c>
      <c r="AB541" s="120" t="n">
        <f aca="false">+AB539*AB540</f>
        <v>0</v>
      </c>
      <c r="AC541" s="120" t="n">
        <f aca="false">+AC539*AC540</f>
        <v>0</v>
      </c>
    </row>
    <row r="542" customFormat="false" ht="11.25" hidden="false" customHeight="false" outlineLevel="0" collapsed="false">
      <c r="A542" s="109"/>
      <c r="B542" s="35" t="s">
        <v>176</v>
      </c>
      <c r="D542" s="35"/>
      <c r="E542" s="110"/>
      <c r="F542" s="110"/>
      <c r="G542" s="110"/>
      <c r="H542" s="258"/>
      <c r="I542" s="26" t="n">
        <v>1</v>
      </c>
      <c r="J542" s="26" t="n">
        <f aca="false">I542</f>
        <v>1</v>
      </c>
      <c r="K542" s="26" t="n">
        <f aca="false">J542</f>
        <v>1</v>
      </c>
      <c r="L542" s="26" t="n">
        <f aca="false">K542</f>
        <v>1</v>
      </c>
      <c r="M542" s="26" t="n">
        <f aca="false">L542</f>
        <v>1</v>
      </c>
      <c r="N542" s="26" t="n">
        <f aca="false">M542</f>
        <v>1</v>
      </c>
      <c r="O542" s="26" t="n">
        <f aca="false">N542</f>
        <v>1</v>
      </c>
      <c r="P542" s="26" t="n">
        <f aca="false">O542</f>
        <v>1</v>
      </c>
      <c r="Q542" s="26" t="n">
        <f aca="false">P542</f>
        <v>1</v>
      </c>
      <c r="R542" s="26" t="n">
        <f aca="false">Q542</f>
        <v>1</v>
      </c>
      <c r="S542" s="26" t="n">
        <f aca="false">R542</f>
        <v>1</v>
      </c>
      <c r="T542" s="26" t="n">
        <f aca="false">S542</f>
        <v>1</v>
      </c>
      <c r="U542" s="26" t="n">
        <f aca="false">T542</f>
        <v>1</v>
      </c>
      <c r="V542" s="26" t="n">
        <f aca="false">U542</f>
        <v>1</v>
      </c>
      <c r="W542" s="26" t="n">
        <f aca="false">V542</f>
        <v>1</v>
      </c>
      <c r="X542" s="26" t="n">
        <f aca="false">W542</f>
        <v>1</v>
      </c>
      <c r="Y542" s="26" t="n">
        <f aca="false">X542</f>
        <v>1</v>
      </c>
      <c r="Z542" s="26" t="n">
        <f aca="false">Y542</f>
        <v>1</v>
      </c>
      <c r="AA542" s="26" t="n">
        <f aca="false">Z542</f>
        <v>1</v>
      </c>
      <c r="AB542" s="26" t="n">
        <f aca="false">AA542</f>
        <v>1</v>
      </c>
      <c r="AC542" s="26" t="n">
        <f aca="false">AB542</f>
        <v>1</v>
      </c>
      <c r="AE542" s="286"/>
    </row>
    <row r="543" customFormat="false" ht="11.25" hidden="false" customHeight="false" outlineLevel="0" collapsed="false">
      <c r="B543" s="43" t="s">
        <v>183</v>
      </c>
      <c r="D543" s="35"/>
      <c r="E543" s="110"/>
      <c r="F543" s="110"/>
      <c r="G543" s="110"/>
      <c r="H543" s="258"/>
      <c r="I543" s="120" t="n">
        <f aca="false">+I541*I542</f>
        <v>0</v>
      </c>
      <c r="J543" s="120" t="n">
        <f aca="false">+J541*J542</f>
        <v>0</v>
      </c>
      <c r="K543" s="120" t="n">
        <f aca="false">+K541*K542</f>
        <v>0</v>
      </c>
      <c r="L543" s="120" t="n">
        <f aca="false">+L541*L542</f>
        <v>0</v>
      </c>
      <c r="M543" s="120" t="n">
        <f aca="false">+M541*M542</f>
        <v>0</v>
      </c>
      <c r="N543" s="120" t="n">
        <f aca="false">+N541*N542</f>
        <v>0</v>
      </c>
      <c r="O543" s="120" t="n">
        <f aca="false">+O541*O542</f>
        <v>0</v>
      </c>
      <c r="P543" s="120" t="n">
        <f aca="false">+P541*P542</f>
        <v>0</v>
      </c>
      <c r="Q543" s="120" t="n">
        <f aca="false">+Q541*Q542</f>
        <v>0</v>
      </c>
      <c r="R543" s="120" t="n">
        <f aca="false">+R541*R542</f>
        <v>0</v>
      </c>
      <c r="S543" s="120" t="n">
        <f aca="false">+S541*S542</f>
        <v>0</v>
      </c>
      <c r="T543" s="120" t="n">
        <f aca="false">+T541*T542</f>
        <v>0</v>
      </c>
      <c r="U543" s="120" t="n">
        <f aca="false">+U541*U542</f>
        <v>0</v>
      </c>
      <c r="V543" s="120" t="n">
        <f aca="false">+V541*V542</f>
        <v>0</v>
      </c>
      <c r="W543" s="120" t="n">
        <f aca="false">+W541*W542</f>
        <v>0</v>
      </c>
      <c r="X543" s="120" t="n">
        <f aca="false">+X541*X542</f>
        <v>0</v>
      </c>
      <c r="Y543" s="120" t="n">
        <f aca="false">+Y541*Y542</f>
        <v>0</v>
      </c>
      <c r="Z543" s="120" t="n">
        <f aca="false">+Z541*Z542</f>
        <v>0</v>
      </c>
      <c r="AA543" s="120" t="n">
        <f aca="false">+AA541*AA542</f>
        <v>0</v>
      </c>
      <c r="AB543" s="120" t="n">
        <f aca="false">+AB541*AB542</f>
        <v>0</v>
      </c>
      <c r="AC543" s="120" t="n">
        <f aca="false">+AC541*AC542</f>
        <v>0</v>
      </c>
      <c r="AD543" s="67" t="n">
        <f aca="false">SUM(E543:AC543)/6</f>
        <v>0</v>
      </c>
    </row>
    <row r="544" customFormat="false" ht="11.25" hidden="false" customHeight="false" outlineLevel="0" collapsed="false">
      <c r="A544" s="109"/>
      <c r="B544" s="43" t="s">
        <v>187</v>
      </c>
      <c r="D544" s="118" t="s">
        <v>157</v>
      </c>
      <c r="E544" s="119" t="s">
        <v>184</v>
      </c>
      <c r="F544" s="119" t="s">
        <v>185</v>
      </c>
      <c r="G544" s="119" t="s">
        <v>186</v>
      </c>
      <c r="H544" s="111"/>
      <c r="I544" s="258"/>
      <c r="J544" s="258"/>
      <c r="K544" s="258"/>
      <c r="L544" s="258"/>
      <c r="M544" s="258"/>
      <c r="N544" s="258"/>
      <c r="O544" s="258"/>
      <c r="P544" s="258"/>
      <c r="Q544" s="258"/>
      <c r="R544" s="258"/>
      <c r="S544" s="258"/>
      <c r="T544" s="258"/>
      <c r="U544" s="258"/>
      <c r="V544" s="258"/>
      <c r="W544" s="258"/>
      <c r="X544" s="258"/>
      <c r="Y544" s="258"/>
      <c r="Z544" s="258"/>
      <c r="AA544" s="258"/>
      <c r="AB544" s="258"/>
      <c r="AC544" s="258"/>
    </row>
    <row r="545" customFormat="false" ht="11.25" hidden="false" customHeight="false" outlineLevel="0" collapsed="false">
      <c r="A545" s="109"/>
      <c r="D545" s="100" t="s">
        <v>162</v>
      </c>
      <c r="E545" s="121"/>
      <c r="F545" s="121"/>
      <c r="G545" s="121"/>
      <c r="H545" s="111"/>
      <c r="I545" s="264" t="n">
        <v>1</v>
      </c>
      <c r="J545" s="264" t="n">
        <v>1</v>
      </c>
      <c r="K545" s="264" t="n">
        <v>1</v>
      </c>
      <c r="L545" s="264" t="n">
        <v>1</v>
      </c>
      <c r="M545" s="264" t="n">
        <v>1</v>
      </c>
      <c r="N545" s="264" t="n">
        <v>1</v>
      </c>
      <c r="O545" s="264" t="n">
        <v>1</v>
      </c>
      <c r="P545" s="264" t="n">
        <v>1</v>
      </c>
      <c r="Q545" s="264" t="n">
        <v>1</v>
      </c>
      <c r="R545" s="264" t="n">
        <v>1</v>
      </c>
      <c r="S545" s="264" t="n">
        <v>1</v>
      </c>
      <c r="T545" s="264" t="n">
        <v>1</v>
      </c>
      <c r="U545" s="264" t="n">
        <v>1</v>
      </c>
      <c r="V545" s="264" t="n">
        <v>1</v>
      </c>
      <c r="W545" s="264" t="n">
        <v>1</v>
      </c>
      <c r="X545" s="264" t="n">
        <v>1</v>
      </c>
      <c r="Y545" s="264" t="n">
        <v>1</v>
      </c>
      <c r="Z545" s="264" t="n">
        <v>1</v>
      </c>
      <c r="AA545" s="264" t="n">
        <v>1</v>
      </c>
      <c r="AB545" s="264" t="n">
        <v>1</v>
      </c>
      <c r="AC545" s="264" t="n">
        <v>1</v>
      </c>
    </row>
    <row r="546" customFormat="false" ht="11.25" hidden="false" customHeight="false" outlineLevel="0" collapsed="false">
      <c r="A546" s="109"/>
      <c r="B546" s="43" t="s">
        <v>188</v>
      </c>
      <c r="D546" s="35"/>
      <c r="I546" s="116" t="n">
        <f aca="false">+I545*I543</f>
        <v>0</v>
      </c>
      <c r="J546" s="116" t="n">
        <f aca="false">+J545*J543</f>
        <v>0</v>
      </c>
      <c r="K546" s="116" t="n">
        <f aca="false">+K545*K543</f>
        <v>0</v>
      </c>
      <c r="L546" s="116" t="n">
        <f aca="false">+L545*L543</f>
        <v>0</v>
      </c>
      <c r="M546" s="116" t="n">
        <f aca="false">+M545*M543</f>
        <v>0</v>
      </c>
      <c r="N546" s="116" t="n">
        <f aca="false">+N545*N543</f>
        <v>0</v>
      </c>
      <c r="O546" s="116" t="n">
        <f aca="false">+O545*O543</f>
        <v>0</v>
      </c>
      <c r="P546" s="116" t="n">
        <f aca="false">+P545*P543</f>
        <v>0</v>
      </c>
      <c r="Q546" s="116" t="n">
        <f aca="false">+Q545*Q543</f>
        <v>0</v>
      </c>
      <c r="R546" s="116" t="n">
        <f aca="false">+R545*R543</f>
        <v>0</v>
      </c>
      <c r="S546" s="116" t="n">
        <f aca="false">+S545*S543</f>
        <v>0</v>
      </c>
      <c r="T546" s="116" t="n">
        <f aca="false">+T545*T543</f>
        <v>0</v>
      </c>
      <c r="U546" s="116" t="n">
        <f aca="false">+U545*U543</f>
        <v>0</v>
      </c>
      <c r="V546" s="116" t="n">
        <f aca="false">+V545*V543</f>
        <v>0</v>
      </c>
      <c r="W546" s="116" t="n">
        <f aca="false">+W545*W543</f>
        <v>0</v>
      </c>
      <c r="X546" s="116" t="n">
        <f aca="false">+X545*X543</f>
        <v>0</v>
      </c>
      <c r="Y546" s="116" t="n">
        <f aca="false">+Y545*Y543</f>
        <v>0</v>
      </c>
      <c r="Z546" s="116" t="n">
        <f aca="false">+Z545*Z543</f>
        <v>0</v>
      </c>
      <c r="AA546" s="116" t="n">
        <f aca="false">+AA545*AA543</f>
        <v>0</v>
      </c>
      <c r="AB546" s="116" t="n">
        <f aca="false">+AB545*AB543</f>
        <v>0</v>
      </c>
      <c r="AC546" s="116" t="n">
        <f aca="false">+AC545*AC543</f>
        <v>0</v>
      </c>
    </row>
    <row r="547" customFormat="false" ht="11.25" hidden="false" customHeight="false" outlineLevel="0" collapsed="false">
      <c r="A547" s="109"/>
      <c r="B547" s="43"/>
      <c r="D547" s="35"/>
      <c r="I547" s="258"/>
      <c r="J547" s="258"/>
      <c r="K547" s="258"/>
      <c r="L547" s="258"/>
      <c r="M547" s="258"/>
      <c r="N547" s="258"/>
      <c r="O547" s="258"/>
      <c r="P547" s="258"/>
      <c r="Q547" s="258"/>
      <c r="R547" s="258"/>
      <c r="S547" s="258"/>
      <c r="T547" s="258"/>
      <c r="U547" s="258"/>
      <c r="V547" s="258"/>
      <c r="W547" s="258"/>
      <c r="X547" s="258"/>
      <c r="Y547" s="258"/>
      <c r="Z547" s="258"/>
      <c r="AA547" s="258"/>
      <c r="AB547" s="258"/>
      <c r="AC547" s="258"/>
    </row>
    <row r="548" customFormat="false" ht="11.25" hidden="false" customHeight="false" outlineLevel="0" collapsed="false">
      <c r="A548" s="109"/>
      <c r="B548" s="43" t="s">
        <v>523</v>
      </c>
      <c r="D548" s="102" t="n">
        <v>5</v>
      </c>
      <c r="I548" s="123" t="n">
        <f aca="false">IF($D548=1,I$197,IF($D548=2,I$200,IF($D548=3,I$202,IF($D548=4,I$204,IF($D548=5,I$206,I$197)))))</f>
        <v>0</v>
      </c>
      <c r="J548" s="123" t="n">
        <f aca="false">IF($D548=1,J$197,IF($D548=2,J$200,IF($D548=3,J$202,IF($D548=4,J$204,IF($D548=5,J$206,J$197)))))</f>
        <v>0</v>
      </c>
      <c r="K548" s="123" t="n">
        <f aca="false">IF($D548=1,K$197,IF($D548=2,K$200,IF($D548=3,K$202,IF($D548=4,K$204,IF($D548=5,K$206,K$197)))))</f>
        <v>0</v>
      </c>
      <c r="L548" s="123" t="n">
        <f aca="false">IF($D548=1,L$197,IF($D548=2,L$200,IF($D548=3,L$202,IF($D548=4,L$204,IF($D548=5,L$206,L$197)))))</f>
        <v>0</v>
      </c>
      <c r="M548" s="123" t="n">
        <f aca="false">IF($D548=1,M$197,IF($D548=2,M$200,IF($D548=3,M$202,IF($D548=4,M$204,IF($D548=5,M$206,M$197)))))</f>
        <v>0</v>
      </c>
      <c r="N548" s="123" t="n">
        <f aca="false">IF($D548=1,N$197,IF($D548=2,N$200,IF($D548=3,N$202,IF($D548=4,N$204,IF($D548=5,N$206,N$197)))))</f>
        <v>0</v>
      </c>
      <c r="O548" s="123" t="n">
        <f aca="false">IF($D548=1,O$197,IF($D548=2,O$200,IF($D548=3,O$202,IF($D548=4,O$204,IF($D548=5,O$206,O$197)))))</f>
        <v>0</v>
      </c>
      <c r="P548" s="123" t="n">
        <f aca="false">IF($D548=1,P$197,IF($D548=2,P$200,IF($D548=3,P$202,IF($D548=4,P$204,IF($D548=5,P$206,P$197)))))</f>
        <v>0</v>
      </c>
      <c r="Q548" s="123" t="n">
        <f aca="false">IF($D548=1,Q$197,IF($D548=2,Q$200,IF($D548=3,Q$202,IF($D548=4,Q$204,IF($D548=5,Q$206,Q$197)))))</f>
        <v>0</v>
      </c>
      <c r="R548" s="123" t="n">
        <f aca="false">IF($D548=1,R$197,IF($D548=2,R$200,IF($D548=3,R$202,IF($D548=4,R$204,IF($D548=5,R$206,R$197)))))</f>
        <v>0</v>
      </c>
      <c r="S548" s="123" t="n">
        <f aca="false">IF($D548=1,S$197,IF($D548=2,S$200,IF($D548=3,S$202,IF($D548=4,S$204,IF($D548=5,S$206,S$197)))))</f>
        <v>0</v>
      </c>
      <c r="T548" s="123" t="n">
        <f aca="false">IF($D548=1,T$197,IF($D548=2,T$200,IF($D548=3,T$202,IF($D548=4,T$204,IF($D548=5,T$206,T$197)))))</f>
        <v>0</v>
      </c>
      <c r="U548" s="123" t="n">
        <f aca="false">IF($D548=1,U$197,IF($D548=2,U$200,IF($D548=3,U$202,IF($D548=4,U$204,IF($D548=5,U$206,U$197)))))</f>
        <v>0</v>
      </c>
      <c r="V548" s="123" t="n">
        <f aca="false">IF($D548=1,V$197,IF($D548=2,V$200,IF($D548=3,V$202,IF($D548=4,V$204,IF($D548=5,V$206,V$197)))))</f>
        <v>0</v>
      </c>
      <c r="W548" s="123" t="n">
        <f aca="false">IF($D548=1,W$197,IF($D548=2,W$200,IF($D548=3,W$202,IF($D548=4,W$204,IF($D548=5,W$206,W$197)))))</f>
        <v>0</v>
      </c>
      <c r="X548" s="123" t="n">
        <f aca="false">IF($D548=1,X$197,IF($D548=2,X$200,IF($D548=3,X$202,IF($D548=4,X$204,IF($D548=5,X$206,X$197)))))</f>
        <v>0</v>
      </c>
      <c r="Y548" s="123" t="n">
        <f aca="false">IF($D548=1,Y$197,IF($D548=2,Y$200,IF($D548=3,Y$202,IF($D548=4,Y$204,IF($D548=5,Y$206,Y$197)))))</f>
        <v>0</v>
      </c>
      <c r="Z548" s="123" t="n">
        <f aca="false">IF($D548=1,Z$197,IF($D548=2,Z$200,IF($D548=3,Z$202,IF($D548=4,Z$204,IF($D548=5,Z$206,Z$197)))))</f>
        <v>0</v>
      </c>
      <c r="AA548" s="123" t="n">
        <f aca="false">IF($D548=1,AA$197,IF($D548=2,AA$200,IF($D548=3,AA$202,IF($D548=4,AA$204,IF($D548=5,AA$206,AA$197)))))</f>
        <v>0</v>
      </c>
      <c r="AB548" s="123" t="n">
        <f aca="false">IF($D548=1,AB$197,IF($D548=2,AB$200,IF($D548=3,AB$202,IF($D548=4,AB$204,IF($D548=5,AB$206,AB$197)))))</f>
        <v>0</v>
      </c>
      <c r="AC548" s="123" t="n">
        <f aca="false">IF($D548=1,AC$197,IF($D548=2,AC$200,IF($D548=3,AC$202,IF($D548=4,AC$204,IF($D548=5,AC$206,AC$197)))))</f>
        <v>0</v>
      </c>
    </row>
    <row r="549" customFormat="false" ht="11.25" hidden="false" customHeight="false" outlineLevel="0" collapsed="false">
      <c r="A549" s="109"/>
      <c r="B549" s="43" t="s">
        <v>179</v>
      </c>
      <c r="D549" s="35"/>
      <c r="E549" s="124"/>
      <c r="F549" s="124"/>
      <c r="G549" s="124"/>
      <c r="H549" s="125"/>
      <c r="I549" s="264" t="n">
        <v>0</v>
      </c>
      <c r="J549" s="264" t="n">
        <v>0</v>
      </c>
      <c r="K549" s="264" t="n">
        <v>0</v>
      </c>
      <c r="L549" s="264" t="n">
        <v>0</v>
      </c>
      <c r="M549" s="264" t="n">
        <v>0</v>
      </c>
      <c r="N549" s="264" t="n">
        <v>0</v>
      </c>
      <c r="O549" s="264" t="n">
        <v>0</v>
      </c>
      <c r="P549" s="264" t="n">
        <v>0</v>
      </c>
      <c r="Q549" s="264" t="n">
        <v>0</v>
      </c>
      <c r="R549" s="264" t="n">
        <v>0</v>
      </c>
      <c r="S549" s="264" t="n">
        <v>0</v>
      </c>
      <c r="T549" s="264" t="n">
        <v>0</v>
      </c>
      <c r="U549" s="264" t="n">
        <v>0</v>
      </c>
      <c r="V549" s="264" t="n">
        <v>0</v>
      </c>
      <c r="W549" s="264" t="n">
        <v>0</v>
      </c>
      <c r="X549" s="264" t="n">
        <v>0</v>
      </c>
      <c r="Y549" s="264" t="n">
        <v>0</v>
      </c>
      <c r="Z549" s="264" t="n">
        <v>0</v>
      </c>
      <c r="AA549" s="264" t="n">
        <v>0</v>
      </c>
      <c r="AB549" s="264" t="n">
        <v>0</v>
      </c>
      <c r="AC549" s="264" t="n">
        <v>0</v>
      </c>
    </row>
    <row r="550" customFormat="false" ht="11.25" hidden="false" customHeight="false" outlineLevel="0" collapsed="false">
      <c r="A550" s="109"/>
      <c r="B550" s="43" t="s">
        <v>190</v>
      </c>
      <c r="D550" s="35"/>
      <c r="I550" s="267" t="n">
        <f aca="false">+I548+I549</f>
        <v>0</v>
      </c>
      <c r="J550" s="267" t="n">
        <f aca="false">+J548+J549</f>
        <v>0</v>
      </c>
      <c r="K550" s="267" t="n">
        <f aca="false">+K548+K549</f>
        <v>0</v>
      </c>
      <c r="L550" s="267" t="n">
        <f aca="false">+L548+L549</f>
        <v>0</v>
      </c>
      <c r="M550" s="267" t="n">
        <f aca="false">+M548+M549</f>
        <v>0</v>
      </c>
      <c r="N550" s="267" t="n">
        <f aca="false">+N548+N549</f>
        <v>0</v>
      </c>
      <c r="O550" s="267" t="n">
        <f aca="false">+O548+O549</f>
        <v>0</v>
      </c>
      <c r="P550" s="267" t="n">
        <f aca="false">+P548+P549</f>
        <v>0</v>
      </c>
      <c r="Q550" s="267" t="n">
        <f aca="false">+Q548+Q549</f>
        <v>0</v>
      </c>
      <c r="R550" s="267" t="n">
        <f aca="false">+R548+R549</f>
        <v>0</v>
      </c>
      <c r="S550" s="267" t="n">
        <f aca="false">+S548+S549</f>
        <v>0</v>
      </c>
      <c r="T550" s="267" t="n">
        <f aca="false">+T548+T549</f>
        <v>0</v>
      </c>
      <c r="U550" s="267" t="n">
        <f aca="false">+U548+U549</f>
        <v>0</v>
      </c>
      <c r="V550" s="267" t="n">
        <f aca="false">+V548+V549</f>
        <v>0</v>
      </c>
      <c r="W550" s="267" t="n">
        <f aca="false">+W548+W549</f>
        <v>0</v>
      </c>
      <c r="X550" s="267" t="n">
        <f aca="false">+X548+X549</f>
        <v>0</v>
      </c>
      <c r="Y550" s="267" t="n">
        <f aca="false">+Y548+Y549</f>
        <v>0</v>
      </c>
      <c r="Z550" s="267" t="n">
        <f aca="false">+Z548+Z549</f>
        <v>0</v>
      </c>
      <c r="AA550" s="267" t="n">
        <f aca="false">+AA548+AA549</f>
        <v>0</v>
      </c>
      <c r="AB550" s="267" t="n">
        <f aca="false">+AB548+AB549</f>
        <v>0</v>
      </c>
      <c r="AC550" s="267" t="n">
        <f aca="false">+AC548+AC549</f>
        <v>0</v>
      </c>
    </row>
    <row r="551" customFormat="false" ht="11.25" hidden="false" customHeight="false" outlineLevel="0" collapsed="false">
      <c r="A551" s="109"/>
      <c r="B551" s="35" t="str">
        <f aca="false">+"Gas Revenues ($"&amp;$F$5</f>
        <v>Gas Revenues ($Thousands)</v>
      </c>
      <c r="D551" s="35"/>
      <c r="I551" s="116" t="n">
        <f aca="false">I546*1000*I550/unit</f>
        <v>0</v>
      </c>
      <c r="J551" s="116" t="n">
        <f aca="false">J546*1000*J550/unit</f>
        <v>0</v>
      </c>
      <c r="K551" s="116" t="n">
        <f aca="false">K546*1000*K550/unit</f>
        <v>0</v>
      </c>
      <c r="L551" s="116" t="n">
        <f aca="false">L546*1000*L550/unit</f>
        <v>0</v>
      </c>
      <c r="M551" s="116" t="n">
        <f aca="false">M546*1000*M550/unit</f>
        <v>0</v>
      </c>
      <c r="N551" s="116" t="n">
        <f aca="false">N546*1000*N550/unit</f>
        <v>0</v>
      </c>
      <c r="O551" s="116" t="n">
        <f aca="false">O546*1000*O550/unit</f>
        <v>0</v>
      </c>
      <c r="P551" s="116" t="n">
        <f aca="false">P546*1000*P550/unit</f>
        <v>0</v>
      </c>
      <c r="Q551" s="116" t="n">
        <f aca="false">Q546*1000*Q550/unit</f>
        <v>0</v>
      </c>
      <c r="R551" s="116" t="n">
        <f aca="false">R546*1000*R550/unit</f>
        <v>0</v>
      </c>
      <c r="S551" s="116" t="n">
        <f aca="false">S546*1000*S550/unit</f>
        <v>0</v>
      </c>
      <c r="T551" s="116" t="n">
        <f aca="false">T546*1000*T550/unit</f>
        <v>0</v>
      </c>
      <c r="U551" s="116" t="n">
        <f aca="false">U546*1000*U550/unit</f>
        <v>0</v>
      </c>
      <c r="V551" s="116" t="n">
        <f aca="false">V546*1000*V550/unit</f>
        <v>0</v>
      </c>
      <c r="W551" s="116" t="n">
        <f aca="false">W546*1000*W550/unit</f>
        <v>0</v>
      </c>
      <c r="X551" s="116" t="n">
        <f aca="false">X546*1000*X550/unit</f>
        <v>0</v>
      </c>
      <c r="Y551" s="116" t="n">
        <f aca="false">Y546*1000*Y550/unit</f>
        <v>0</v>
      </c>
      <c r="Z551" s="116" t="n">
        <f aca="false">Z546*1000*Z550/unit</f>
        <v>0</v>
      </c>
      <c r="AA551" s="116" t="n">
        <f aca="false">AA546*1000*AA550/unit</f>
        <v>0</v>
      </c>
      <c r="AB551" s="116" t="n">
        <f aca="false">AB546*1000*AB550/unit</f>
        <v>0</v>
      </c>
      <c r="AC551" s="116" t="n">
        <f aca="false">AC546*1000*AC550/unit</f>
        <v>0</v>
      </c>
    </row>
    <row r="552" customFormat="false" ht="11.25" hidden="false" customHeight="false" outlineLevel="0" collapsed="false">
      <c r="A552" s="109"/>
      <c r="B552" s="35"/>
      <c r="D552" s="35"/>
      <c r="E552" s="110"/>
      <c r="F552" s="110"/>
      <c r="G552" s="110"/>
      <c r="H552" s="111"/>
      <c r="I552" s="258"/>
      <c r="J552" s="258"/>
      <c r="K552" s="258"/>
      <c r="L552" s="258"/>
      <c r="M552" s="258"/>
      <c r="N552" s="258"/>
      <c r="O552" s="258"/>
      <c r="P552" s="258"/>
      <c r="Q552" s="258"/>
      <c r="R552" s="258"/>
      <c r="S552" s="258"/>
      <c r="T552" s="258"/>
      <c r="U552" s="258"/>
      <c r="V552" s="258"/>
      <c r="W552" s="258"/>
      <c r="X552" s="258"/>
      <c r="Y552" s="268"/>
      <c r="Z552" s="268"/>
      <c r="AA552" s="268"/>
      <c r="AB552" s="268"/>
      <c r="AC552" s="268"/>
    </row>
    <row r="553" customFormat="false" ht="11.25" hidden="false" customHeight="false" outlineLevel="0" collapsed="false">
      <c r="A553" s="109" t="s">
        <v>524</v>
      </c>
      <c r="B553" s="35" t="s">
        <v>525</v>
      </c>
      <c r="D553" s="35"/>
      <c r="E553" s="110"/>
      <c r="F553" s="110"/>
      <c r="G553" s="110"/>
      <c r="H553" s="111"/>
      <c r="I553" s="141" t="n">
        <v>0</v>
      </c>
      <c r="J553" s="141" t="n">
        <v>0</v>
      </c>
      <c r="K553" s="141" t="n">
        <v>0</v>
      </c>
      <c r="L553" s="141" t="n">
        <v>0</v>
      </c>
      <c r="M553" s="141" t="n">
        <v>0</v>
      </c>
      <c r="N553" s="141" t="n">
        <v>0</v>
      </c>
      <c r="O553" s="141" t="n">
        <v>0</v>
      </c>
      <c r="P553" s="141" t="n">
        <v>0</v>
      </c>
      <c r="Q553" s="141" t="n">
        <v>0</v>
      </c>
      <c r="R553" s="141" t="n">
        <v>0</v>
      </c>
      <c r="S553" s="141" t="n">
        <v>0</v>
      </c>
      <c r="T553" s="141" t="n">
        <v>0</v>
      </c>
      <c r="U553" s="141" t="n">
        <v>0</v>
      </c>
      <c r="V553" s="141" t="n">
        <v>0</v>
      </c>
      <c r="W553" s="141" t="n">
        <v>0</v>
      </c>
      <c r="X553" s="141" t="n">
        <v>0</v>
      </c>
      <c r="Y553" s="141" t="n">
        <v>0</v>
      </c>
      <c r="Z553" s="141" t="n">
        <v>0</v>
      </c>
      <c r="AA553" s="141" t="n">
        <v>0</v>
      </c>
      <c r="AB553" s="141" t="n">
        <v>0</v>
      </c>
      <c r="AC553" s="141" t="n">
        <v>0</v>
      </c>
    </row>
    <row r="554" customFormat="false" ht="11.25" hidden="false" customHeight="false" outlineLevel="0" collapsed="false">
      <c r="A554" s="109"/>
      <c r="B554" s="43" t="s">
        <v>517</v>
      </c>
      <c r="D554" s="35"/>
      <c r="E554" s="110"/>
      <c r="F554" s="110"/>
      <c r="G554" s="110"/>
      <c r="H554" s="111"/>
      <c r="I554" s="26" t="n">
        <v>1</v>
      </c>
      <c r="J554" s="26" t="n">
        <f aca="false">I554</f>
        <v>1</v>
      </c>
      <c r="K554" s="26" t="n">
        <f aca="false">J554</f>
        <v>1</v>
      </c>
      <c r="L554" s="26" t="n">
        <f aca="false">K554</f>
        <v>1</v>
      </c>
      <c r="M554" s="26" t="n">
        <f aca="false">L554</f>
        <v>1</v>
      </c>
      <c r="N554" s="26" t="n">
        <f aca="false">M554</f>
        <v>1</v>
      </c>
      <c r="O554" s="26" t="n">
        <f aca="false">N554</f>
        <v>1</v>
      </c>
      <c r="P554" s="26" t="n">
        <f aca="false">O554</f>
        <v>1</v>
      </c>
      <c r="Q554" s="26" t="n">
        <f aca="false">P554</f>
        <v>1</v>
      </c>
      <c r="R554" s="26" t="n">
        <f aca="false">Q554</f>
        <v>1</v>
      </c>
      <c r="S554" s="26" t="n">
        <f aca="false">R554</f>
        <v>1</v>
      </c>
      <c r="T554" s="26" t="n">
        <f aca="false">S554</f>
        <v>1</v>
      </c>
      <c r="U554" s="26" t="n">
        <f aca="false">T554</f>
        <v>1</v>
      </c>
      <c r="V554" s="26" t="n">
        <f aca="false">U554</f>
        <v>1</v>
      </c>
      <c r="W554" s="26" t="n">
        <f aca="false">V554</f>
        <v>1</v>
      </c>
      <c r="X554" s="26" t="n">
        <f aca="false">W554</f>
        <v>1</v>
      </c>
      <c r="Y554" s="26" t="n">
        <f aca="false">X554</f>
        <v>1</v>
      </c>
      <c r="Z554" s="26" t="n">
        <f aca="false">Y554</f>
        <v>1</v>
      </c>
      <c r="AA554" s="26" t="n">
        <f aca="false">Z554</f>
        <v>1</v>
      </c>
      <c r="AB554" s="26" t="n">
        <f aca="false">AA554</f>
        <v>1</v>
      </c>
      <c r="AC554" s="26" t="n">
        <f aca="false">AB554</f>
        <v>1</v>
      </c>
    </row>
    <row r="555" customFormat="false" ht="11.25" hidden="false" customHeight="false" outlineLevel="0" collapsed="false">
      <c r="B555" s="43" t="s">
        <v>526</v>
      </c>
      <c r="D555" s="35"/>
      <c r="E555" s="128"/>
      <c r="F555" s="128"/>
      <c r="G555" s="128"/>
      <c r="H555" s="258"/>
      <c r="I555" s="120" t="n">
        <f aca="false">+I553*I554</f>
        <v>0</v>
      </c>
      <c r="J555" s="120" t="n">
        <f aca="false">+J553*J554</f>
        <v>0</v>
      </c>
      <c r="K555" s="120" t="n">
        <f aca="false">+K553*K554</f>
        <v>0</v>
      </c>
      <c r="L555" s="120" t="n">
        <f aca="false">+L553*L554</f>
        <v>0</v>
      </c>
      <c r="M555" s="120" t="n">
        <f aca="false">+M553*M554</f>
        <v>0</v>
      </c>
      <c r="N555" s="120" t="n">
        <f aca="false">+N553*N554</f>
        <v>0</v>
      </c>
      <c r="O555" s="120" t="n">
        <f aca="false">+O553*O554</f>
        <v>0</v>
      </c>
      <c r="P555" s="120" t="n">
        <f aca="false">+P553*P554</f>
        <v>0</v>
      </c>
      <c r="Q555" s="120" t="n">
        <f aca="false">+Q553*Q554</f>
        <v>0</v>
      </c>
      <c r="R555" s="120" t="n">
        <f aca="false">+R553*R554</f>
        <v>0</v>
      </c>
      <c r="S555" s="120" t="n">
        <f aca="false">+S553*S554</f>
        <v>0</v>
      </c>
      <c r="T555" s="120" t="n">
        <f aca="false">+T553*T554</f>
        <v>0</v>
      </c>
      <c r="U555" s="120" t="n">
        <f aca="false">+U553*U554</f>
        <v>0</v>
      </c>
      <c r="V555" s="120" t="n">
        <f aca="false">+V553*V554</f>
        <v>0</v>
      </c>
      <c r="W555" s="120" t="n">
        <f aca="false">+W553*W554</f>
        <v>0</v>
      </c>
      <c r="X555" s="120" t="n">
        <f aca="false">+X553*X554</f>
        <v>0</v>
      </c>
      <c r="Y555" s="120" t="n">
        <f aca="false">+Y553*Y554</f>
        <v>0</v>
      </c>
      <c r="Z555" s="120" t="n">
        <f aca="false">+Z553*Z554</f>
        <v>0</v>
      </c>
      <c r="AA555" s="120" t="n">
        <f aca="false">+AA553*AA554</f>
        <v>0</v>
      </c>
      <c r="AB555" s="120" t="n">
        <f aca="false">+AB553*AB554</f>
        <v>0</v>
      </c>
      <c r="AC555" s="120" t="n">
        <f aca="false">+AC553*AC554</f>
        <v>0</v>
      </c>
    </row>
    <row r="556" customFormat="false" ht="11.25" hidden="false" customHeight="false" outlineLevel="0" collapsed="false">
      <c r="A556" s="109"/>
      <c r="B556" s="35" t="s">
        <v>176</v>
      </c>
      <c r="D556" s="35"/>
      <c r="E556" s="128"/>
      <c r="F556" s="128"/>
      <c r="G556" s="128"/>
      <c r="H556" s="258"/>
      <c r="I556" s="26" t="n">
        <v>1</v>
      </c>
      <c r="J556" s="26" t="n">
        <f aca="false">I556</f>
        <v>1</v>
      </c>
      <c r="K556" s="26" t="n">
        <f aca="false">J556</f>
        <v>1</v>
      </c>
      <c r="L556" s="26" t="n">
        <f aca="false">K556</f>
        <v>1</v>
      </c>
      <c r="M556" s="26" t="n">
        <f aca="false">L556</f>
        <v>1</v>
      </c>
      <c r="N556" s="26" t="n">
        <f aca="false">M556</f>
        <v>1</v>
      </c>
      <c r="O556" s="26" t="n">
        <f aca="false">N556</f>
        <v>1</v>
      </c>
      <c r="P556" s="26" t="n">
        <f aca="false">O556</f>
        <v>1</v>
      </c>
      <c r="Q556" s="26" t="n">
        <f aca="false">P556</f>
        <v>1</v>
      </c>
      <c r="R556" s="26" t="n">
        <f aca="false">Q556</f>
        <v>1</v>
      </c>
      <c r="S556" s="26" t="n">
        <f aca="false">R556</f>
        <v>1</v>
      </c>
      <c r="T556" s="26" t="n">
        <f aca="false">S556</f>
        <v>1</v>
      </c>
      <c r="U556" s="26" t="n">
        <f aca="false">T556</f>
        <v>1</v>
      </c>
      <c r="V556" s="26" t="n">
        <f aca="false">U556</f>
        <v>1</v>
      </c>
      <c r="W556" s="26" t="n">
        <f aca="false">V556</f>
        <v>1</v>
      </c>
      <c r="X556" s="26" t="n">
        <f aca="false">W556</f>
        <v>1</v>
      </c>
      <c r="Y556" s="26" t="n">
        <f aca="false">X556</f>
        <v>1</v>
      </c>
      <c r="Z556" s="26" t="n">
        <f aca="false">Y556</f>
        <v>1</v>
      </c>
      <c r="AA556" s="26" t="n">
        <f aca="false">Z556</f>
        <v>1</v>
      </c>
      <c r="AB556" s="26" t="n">
        <f aca="false">AA556</f>
        <v>1</v>
      </c>
      <c r="AC556" s="26" t="n">
        <f aca="false">AB556</f>
        <v>1</v>
      </c>
    </row>
    <row r="557" customFormat="false" ht="11.25" hidden="false" customHeight="false" outlineLevel="0" collapsed="false">
      <c r="B557" s="43" t="s">
        <v>527</v>
      </c>
      <c r="D557" s="35"/>
      <c r="H557" s="12"/>
      <c r="I557" s="120" t="n">
        <f aca="false">+I555*I556</f>
        <v>0</v>
      </c>
      <c r="J557" s="120" t="n">
        <f aca="false">+J555*J556</f>
        <v>0</v>
      </c>
      <c r="K557" s="120" t="n">
        <f aca="false">+K555*K556</f>
        <v>0</v>
      </c>
      <c r="L557" s="120" t="n">
        <f aca="false">+L555*L556</f>
        <v>0</v>
      </c>
      <c r="M557" s="120" t="n">
        <f aca="false">+M555*M556</f>
        <v>0</v>
      </c>
      <c r="N557" s="120" t="n">
        <f aca="false">+N555*N556</f>
        <v>0</v>
      </c>
      <c r="O557" s="120" t="n">
        <f aca="false">+O555*O556</f>
        <v>0</v>
      </c>
      <c r="P557" s="120" t="n">
        <f aca="false">+P555*P556</f>
        <v>0</v>
      </c>
      <c r="Q557" s="120" t="n">
        <f aca="false">+Q555*Q556</f>
        <v>0</v>
      </c>
      <c r="R557" s="120" t="n">
        <f aca="false">+R555*R556</f>
        <v>0</v>
      </c>
      <c r="S557" s="120" t="n">
        <f aca="false">+S555*S556</f>
        <v>0</v>
      </c>
      <c r="T557" s="120" t="n">
        <f aca="false">+T555*T556</f>
        <v>0</v>
      </c>
      <c r="U557" s="120" t="n">
        <f aca="false">+U555*U556</f>
        <v>0</v>
      </c>
      <c r="V557" s="120" t="n">
        <f aca="false">+V555*V556</f>
        <v>0</v>
      </c>
      <c r="W557" s="120" t="n">
        <f aca="false">+W555*W556</f>
        <v>0</v>
      </c>
      <c r="X557" s="120" t="n">
        <f aca="false">+X555*X556</f>
        <v>0</v>
      </c>
      <c r="Y557" s="120" t="n">
        <f aca="false">+Y555*Y556</f>
        <v>0</v>
      </c>
      <c r="Z557" s="120" t="n">
        <f aca="false">+Z555*Z556</f>
        <v>0</v>
      </c>
      <c r="AA557" s="120" t="n">
        <f aca="false">+AA555*AA556</f>
        <v>0</v>
      </c>
      <c r="AB557" s="120" t="n">
        <f aca="false">+AB555*AB556</f>
        <v>0</v>
      </c>
      <c r="AC557" s="120" t="n">
        <f aca="false">+AC555*AC556</f>
        <v>0</v>
      </c>
    </row>
    <row r="558" customFormat="false" ht="11.25" hidden="false" customHeight="false" outlineLevel="0" collapsed="false">
      <c r="D558" s="35"/>
    </row>
    <row r="559" customFormat="false" ht="11.25" hidden="false" customHeight="false" outlineLevel="0" collapsed="false">
      <c r="A559" s="4"/>
      <c r="B559" s="43" t="s">
        <v>528</v>
      </c>
      <c r="D559" s="102" t="n">
        <v>1</v>
      </c>
      <c r="I559" s="112" t="n">
        <f aca="false">IF($D559=1,I$227,IF($D559=2,I$230,IF($D559=3,I$232,IF($D559=4,I$234,IF($D559=5,I$236,I$227)))))</f>
        <v>0</v>
      </c>
      <c r="J559" s="112" t="n">
        <f aca="false">IF($D559=1,J$227,IF($D559=2,J$230,IF($D559=3,J$232,IF($D559=4,J$234,IF($D559=5,J$236,J$227)))))</f>
        <v>0</v>
      </c>
      <c r="K559" s="112" t="n">
        <f aca="false">IF($D559=1,K$227,IF($D559=2,K$230,IF($D559=3,K$232,IF($D559=4,K$234,IF($D559=5,K$236,K$227)))))</f>
        <v>0</v>
      </c>
      <c r="L559" s="112" t="n">
        <f aca="false">IF($D559=1,L$227,IF($D559=2,L$230,IF($D559=3,L$232,IF($D559=4,L$234,IF($D559=5,L$236,L$227)))))</f>
        <v>0</v>
      </c>
      <c r="M559" s="112" t="n">
        <f aca="false">IF($D559=1,M$227,IF($D559=2,M$230,IF($D559=3,M$232,IF($D559=4,M$234,IF($D559=5,M$236,M$227)))))</f>
        <v>0</v>
      </c>
      <c r="N559" s="112" t="n">
        <f aca="false">IF($D559=1,N$227,IF($D559=2,N$230,IF($D559=3,N$232,IF($D559=4,N$234,IF($D559=5,N$236,N$227)))))</f>
        <v>0</v>
      </c>
      <c r="O559" s="112" t="n">
        <f aca="false">IF($D559=1,O$227,IF($D559=2,O$230,IF($D559=3,O$232,IF($D559=4,O$234,IF($D559=5,O$236,O$227)))))</f>
        <v>0</v>
      </c>
      <c r="P559" s="112" t="n">
        <f aca="false">IF($D559=1,P$227,IF($D559=2,P$230,IF($D559=3,P$232,IF($D559=4,P$234,IF($D559=5,P$236,P$227)))))</f>
        <v>0</v>
      </c>
      <c r="Q559" s="112" t="n">
        <f aca="false">IF($D559=1,Q$227,IF($D559=2,Q$230,IF($D559=3,Q$232,IF($D559=4,Q$234,IF($D559=5,Q$236,Q$227)))))</f>
        <v>0</v>
      </c>
      <c r="R559" s="112" t="n">
        <f aca="false">IF($D559=1,R$227,IF($D559=2,R$230,IF($D559=3,R$232,IF($D559=4,R$234,IF($D559=5,R$236,R$227)))))</f>
        <v>0</v>
      </c>
      <c r="S559" s="112" t="n">
        <f aca="false">IF($D559=1,S$227,IF($D559=2,S$230,IF($D559=3,S$232,IF($D559=4,S$234,IF($D559=5,S$236,S$227)))))</f>
        <v>0</v>
      </c>
      <c r="T559" s="112" t="n">
        <f aca="false">IF($D559=1,T$227,IF($D559=2,T$230,IF($D559=3,T$232,IF($D559=4,T$234,IF($D559=5,T$236,T$227)))))</f>
        <v>0</v>
      </c>
      <c r="U559" s="112" t="n">
        <f aca="false">IF($D559=1,U$227,IF($D559=2,U$230,IF($D559=3,U$232,IF($D559=4,U$234,IF($D559=5,U$236,U$227)))))</f>
        <v>0</v>
      </c>
      <c r="V559" s="112" t="n">
        <f aca="false">IF($D559=1,V$227,IF($D559=2,V$230,IF($D559=3,V$232,IF($D559=4,V$234,IF($D559=5,V$236,V$227)))))</f>
        <v>0</v>
      </c>
      <c r="W559" s="112" t="n">
        <f aca="false">IF($D559=1,W$227,IF($D559=2,W$230,IF($D559=3,W$232,IF($D559=4,W$234,IF($D559=5,W$236,W$227)))))</f>
        <v>0</v>
      </c>
      <c r="X559" s="112" t="n">
        <f aca="false">IF($D559=1,X$227,IF($D559=2,X$230,IF($D559=3,X$232,IF($D559=4,X$234,IF($D559=5,X$236,X$227)))))</f>
        <v>0</v>
      </c>
      <c r="Y559" s="112" t="n">
        <f aca="false">IF($D559=1,Y$227,IF($D559=2,Y$230,IF($D559=3,Y$232,IF($D559=4,Y$234,IF($D559=5,Y$236,Y$227)))))</f>
        <v>0</v>
      </c>
      <c r="Z559" s="112" t="n">
        <f aca="false">IF($D559=1,Z$227,IF($D559=2,Z$230,IF($D559=3,Z$232,IF($D559=4,Z$234,IF($D559=5,Z$236,Z$227)))))</f>
        <v>0</v>
      </c>
      <c r="AA559" s="112" t="n">
        <f aca="false">IF($D559=1,AA$227,IF($D559=2,AA$230,IF($D559=3,AA$232,IF($D559=4,AA$234,IF($D559=5,AA$236,AA$227)))))</f>
        <v>0</v>
      </c>
      <c r="AB559" s="112" t="n">
        <f aca="false">IF($D559=1,AB$227,IF($D559=2,AB$230,IF($D559=3,AB$232,IF($D559=4,AB$234,IF($D559=5,AB$236,AB$227)))))</f>
        <v>0</v>
      </c>
      <c r="AC559" s="112" t="n">
        <f aca="false">IF($D559=1,AC$227,IF($D559=2,AC$230,IF($D559=3,AC$232,IF($D559=4,AC$234,IF($D559=5,AC$236,AC$227)))))</f>
        <v>0</v>
      </c>
    </row>
    <row r="560" customFormat="false" ht="11.25" hidden="false" customHeight="false" outlineLevel="0" collapsed="false">
      <c r="A560" s="4"/>
      <c r="B560" s="43" t="s">
        <v>179</v>
      </c>
      <c r="D560" s="35"/>
      <c r="I560" s="99" t="n">
        <v>0</v>
      </c>
      <c r="J560" s="99" t="n">
        <v>0</v>
      </c>
      <c r="K560" s="99" t="n">
        <v>0</v>
      </c>
      <c r="L560" s="99" t="n">
        <v>0</v>
      </c>
      <c r="M560" s="99" t="n">
        <v>0</v>
      </c>
      <c r="N560" s="99" t="n">
        <v>0</v>
      </c>
      <c r="O560" s="99" t="n">
        <v>0</v>
      </c>
      <c r="P560" s="99" t="n">
        <v>0</v>
      </c>
      <c r="Q560" s="99" t="n">
        <v>0</v>
      </c>
      <c r="R560" s="99" t="n">
        <v>0</v>
      </c>
      <c r="S560" s="99" t="n">
        <v>0</v>
      </c>
      <c r="T560" s="99" t="n">
        <v>0</v>
      </c>
      <c r="U560" s="99" t="n">
        <v>0</v>
      </c>
      <c r="V560" s="99" t="n">
        <v>0</v>
      </c>
      <c r="W560" s="99" t="n">
        <v>0</v>
      </c>
      <c r="X560" s="99" t="n">
        <v>0</v>
      </c>
      <c r="Y560" s="99" t="n">
        <v>0</v>
      </c>
      <c r="Z560" s="99" t="n">
        <v>0</v>
      </c>
      <c r="AA560" s="99" t="n">
        <v>0</v>
      </c>
      <c r="AB560" s="99" t="n">
        <v>0</v>
      </c>
      <c r="AC560" s="99" t="n">
        <v>0</v>
      </c>
    </row>
    <row r="561" customFormat="false" ht="11.25" hidden="false" customHeight="false" outlineLevel="0" collapsed="false">
      <c r="A561" s="4"/>
      <c r="B561" s="43" t="s">
        <v>529</v>
      </c>
      <c r="D561" s="35"/>
      <c r="I561" s="257" t="n">
        <f aca="false">+I559+I560</f>
        <v>0</v>
      </c>
      <c r="J561" s="257" t="n">
        <f aca="false">+J559+J560</f>
        <v>0</v>
      </c>
      <c r="K561" s="257" t="n">
        <f aca="false">+K559+K560</f>
        <v>0</v>
      </c>
      <c r="L561" s="257" t="n">
        <f aca="false">+L559+L560</f>
        <v>0</v>
      </c>
      <c r="M561" s="257" t="n">
        <f aca="false">+M559+M560</f>
        <v>0</v>
      </c>
      <c r="N561" s="257" t="n">
        <f aca="false">+N559+N560</f>
        <v>0</v>
      </c>
      <c r="O561" s="257" t="n">
        <f aca="false">+O559+O560</f>
        <v>0</v>
      </c>
      <c r="P561" s="257" t="n">
        <f aca="false">+P559+P560</f>
        <v>0</v>
      </c>
      <c r="Q561" s="257" t="n">
        <f aca="false">+Q559+Q560</f>
        <v>0</v>
      </c>
      <c r="R561" s="257" t="n">
        <f aca="false">+R559+R560</f>
        <v>0</v>
      </c>
      <c r="S561" s="257" t="n">
        <f aca="false">+S559+S560</f>
        <v>0</v>
      </c>
      <c r="T561" s="257" t="n">
        <f aca="false">+T559+T560</f>
        <v>0</v>
      </c>
      <c r="U561" s="257" t="n">
        <f aca="false">+U559+U560</f>
        <v>0</v>
      </c>
      <c r="V561" s="257" t="n">
        <f aca="false">+V559+V560</f>
        <v>0</v>
      </c>
      <c r="W561" s="257" t="n">
        <f aca="false">+W559+W560</f>
        <v>0</v>
      </c>
      <c r="X561" s="257" t="n">
        <f aca="false">+X559+X560</f>
        <v>0</v>
      </c>
      <c r="Y561" s="257" t="n">
        <f aca="false">+Y559+Y560</f>
        <v>0</v>
      </c>
      <c r="Z561" s="257" t="n">
        <f aca="false">+Z559+Z560</f>
        <v>0</v>
      </c>
      <c r="AA561" s="257" t="n">
        <f aca="false">+AA559+AA560</f>
        <v>0</v>
      </c>
      <c r="AB561" s="257" t="n">
        <f aca="false">+AB559+AB560</f>
        <v>0</v>
      </c>
      <c r="AC561" s="257" t="n">
        <f aca="false">+AC559+AC560</f>
        <v>0</v>
      </c>
    </row>
    <row r="562" customFormat="false" ht="11.25" hidden="false" customHeight="false" outlineLevel="0" collapsed="false">
      <c r="A562" s="4"/>
      <c r="B562" s="35" t="s">
        <v>536</v>
      </c>
      <c r="D562" s="35"/>
      <c r="I562" s="116" t="n">
        <f aca="false">I557*I561*1000/unit</f>
        <v>0</v>
      </c>
      <c r="J562" s="116" t="n">
        <f aca="false">J557*J561*1000/unit</f>
        <v>0</v>
      </c>
      <c r="K562" s="116" t="n">
        <f aca="false">K557*K561*1000/unit</f>
        <v>0</v>
      </c>
      <c r="L562" s="116" t="n">
        <f aca="false">L557*L561*1000/unit</f>
        <v>0</v>
      </c>
      <c r="M562" s="116" t="n">
        <f aca="false">M557*M561*1000/unit</f>
        <v>0</v>
      </c>
      <c r="N562" s="116" t="n">
        <f aca="false">N557*N561*1000/unit</f>
        <v>0</v>
      </c>
      <c r="O562" s="116" t="n">
        <f aca="false">O557*O561*1000/unit</f>
        <v>0</v>
      </c>
      <c r="P562" s="116" t="n">
        <f aca="false">P557*P561*1000/unit</f>
        <v>0</v>
      </c>
      <c r="Q562" s="116" t="n">
        <f aca="false">Q557*Q561*1000/unit</f>
        <v>0</v>
      </c>
      <c r="R562" s="116" t="n">
        <f aca="false">R557*R561*1000/unit</f>
        <v>0</v>
      </c>
      <c r="S562" s="116" t="n">
        <f aca="false">S557*S561*1000/unit</f>
        <v>0</v>
      </c>
      <c r="T562" s="116" t="n">
        <f aca="false">T557*T561*1000/unit</f>
        <v>0</v>
      </c>
      <c r="U562" s="116" t="n">
        <f aca="false">U557*U561*1000/unit</f>
        <v>0</v>
      </c>
      <c r="V562" s="116" t="n">
        <f aca="false">V557*V561*1000/unit</f>
        <v>0</v>
      </c>
      <c r="W562" s="116" t="n">
        <f aca="false">W557*W561*1000/unit</f>
        <v>0</v>
      </c>
      <c r="X562" s="116" t="n">
        <f aca="false">X557*X561*1000/unit</f>
        <v>0</v>
      </c>
      <c r="Y562" s="116" t="n">
        <f aca="false">Y557*Y561*1000/unit</f>
        <v>0</v>
      </c>
      <c r="Z562" s="116" t="n">
        <f aca="false">Z557*Z561*1000/unit</f>
        <v>0</v>
      </c>
      <c r="AA562" s="116" t="n">
        <f aca="false">AA557*AA561*1000/unit</f>
        <v>0</v>
      </c>
      <c r="AB562" s="116" t="n">
        <f aca="false">AB557*AB561*1000/unit</f>
        <v>0</v>
      </c>
      <c r="AC562" s="116" t="n">
        <f aca="false">AC557*AC561*1000/unit</f>
        <v>0</v>
      </c>
    </row>
    <row r="563" customFormat="false" ht="11.25" hidden="false" customHeight="false" outlineLevel="0" collapsed="false">
      <c r="B563" s="35"/>
      <c r="D563" s="35"/>
      <c r="E563" s="128"/>
      <c r="F563" s="128"/>
      <c r="G563" s="128"/>
      <c r="H563" s="111"/>
      <c r="I563" s="258"/>
      <c r="J563" s="258"/>
      <c r="K563" s="258"/>
      <c r="L563" s="258"/>
      <c r="M563" s="258"/>
      <c r="N563" s="258"/>
      <c r="O563" s="258"/>
      <c r="P563" s="258"/>
      <c r="Q563" s="258"/>
      <c r="R563" s="258"/>
      <c r="S563" s="258"/>
      <c r="T563" s="258"/>
      <c r="U563" s="258"/>
      <c r="V563" s="258"/>
      <c r="W563" s="258"/>
      <c r="X563" s="258"/>
      <c r="Y563" s="268"/>
      <c r="Z563" s="268"/>
      <c r="AA563" s="268"/>
      <c r="AB563" s="268"/>
      <c r="AC563" s="268"/>
    </row>
    <row r="564" customFormat="false" ht="11.25" hidden="false" customHeight="false" outlineLevel="0" collapsed="false">
      <c r="A564" s="153" t="str">
        <f aca="false">+"Total Revenues - "&amp;C18</f>
        <v>Total Revenues - Acrerage Dev. Prog. </v>
      </c>
      <c r="D564" s="35"/>
      <c r="E564" s="50" t="n">
        <v>0</v>
      </c>
      <c r="F564" s="50" t="n">
        <v>0</v>
      </c>
      <c r="G564" s="50" t="n">
        <v>0</v>
      </c>
      <c r="H564" s="280" t="n">
        <f aca="false">H551+H535+H562</f>
        <v>0</v>
      </c>
      <c r="I564" s="258" t="n">
        <f aca="false">I551+I535+I562</f>
        <v>0</v>
      </c>
      <c r="J564" s="258" t="n">
        <f aca="false">J551+J535+J562</f>
        <v>0</v>
      </c>
      <c r="K564" s="258" t="n">
        <f aca="false">K551+K535+K562</f>
        <v>0</v>
      </c>
      <c r="L564" s="258" t="n">
        <f aca="false">L551+L535+L562</f>
        <v>0</v>
      </c>
      <c r="M564" s="258" t="n">
        <f aca="false">M551+M535+M562</f>
        <v>0</v>
      </c>
      <c r="N564" s="258" t="n">
        <f aca="false">N551+N535+N562</f>
        <v>0</v>
      </c>
      <c r="O564" s="258" t="n">
        <f aca="false">O551+O535+O562</f>
        <v>0</v>
      </c>
      <c r="P564" s="258" t="n">
        <f aca="false">P551+P535+P562</f>
        <v>0</v>
      </c>
      <c r="Q564" s="258" t="n">
        <f aca="false">Q551+Q535+Q562</f>
        <v>0</v>
      </c>
      <c r="R564" s="258" t="n">
        <f aca="false">R551+R535+R562</f>
        <v>0</v>
      </c>
      <c r="S564" s="258" t="n">
        <f aca="false">S551+S535+S562</f>
        <v>0</v>
      </c>
      <c r="T564" s="258" t="n">
        <f aca="false">T551+T535+T562</f>
        <v>0</v>
      </c>
      <c r="U564" s="258" t="n">
        <f aca="false">U551+U535+U562</f>
        <v>0</v>
      </c>
      <c r="V564" s="258" t="n">
        <f aca="false">V551+V535+V562</f>
        <v>0</v>
      </c>
      <c r="W564" s="258" t="n">
        <f aca="false">W551+W535+W562</f>
        <v>0</v>
      </c>
      <c r="X564" s="258" t="n">
        <f aca="false">X551+X535+X562</f>
        <v>0</v>
      </c>
      <c r="Y564" s="258" t="n">
        <f aca="false">Y551+Y535+Y562</f>
        <v>0</v>
      </c>
      <c r="Z564" s="258" t="n">
        <f aca="false">Z551+Z535+Z562</f>
        <v>0</v>
      </c>
      <c r="AA564" s="258" t="n">
        <f aca="false">AA551+AA535+AA562</f>
        <v>0</v>
      </c>
      <c r="AB564" s="258" t="n">
        <f aca="false">AB551+AB535+AB562</f>
        <v>0</v>
      </c>
      <c r="AC564" s="258" t="n">
        <f aca="false">AC551+AC535+AC562</f>
        <v>0</v>
      </c>
    </row>
    <row r="565" customFormat="false" ht="12" hidden="false" customHeight="false" outlineLevel="0" collapsed="false">
      <c r="A565" s="4"/>
      <c r="B565" s="35"/>
      <c r="D565" s="35"/>
      <c r="E565" s="110"/>
      <c r="F565" s="110"/>
      <c r="G565" s="110"/>
      <c r="H565" s="111"/>
      <c r="I565" s="258"/>
      <c r="J565" s="258"/>
      <c r="K565" s="258"/>
      <c r="L565" s="258"/>
      <c r="M565" s="258"/>
      <c r="N565" s="258"/>
      <c r="O565" s="258"/>
      <c r="P565" s="258"/>
      <c r="Q565" s="258"/>
      <c r="R565" s="258"/>
      <c r="S565" s="258"/>
      <c r="T565" s="258"/>
      <c r="U565" s="258"/>
      <c r="V565" s="258"/>
      <c r="W565" s="258"/>
      <c r="X565" s="258"/>
      <c r="Y565" s="268"/>
      <c r="Z565" s="268"/>
      <c r="AA565" s="268"/>
      <c r="AB565" s="268"/>
      <c r="AC565" s="268"/>
    </row>
    <row r="566" customFormat="false" ht="12" hidden="false" customHeight="false" outlineLevel="0" collapsed="false">
      <c r="A566" s="130"/>
      <c r="B566" s="130"/>
      <c r="C566" s="130"/>
      <c r="D566" s="130"/>
      <c r="E566" s="130"/>
      <c r="F566" s="130"/>
      <c r="G566" s="130"/>
      <c r="H566" s="130"/>
      <c r="I566" s="130"/>
      <c r="J566" s="130"/>
      <c r="K566" s="130"/>
      <c r="L566" s="130"/>
      <c r="M566" s="130"/>
      <c r="N566" s="130"/>
      <c r="O566" s="130"/>
      <c r="P566" s="130"/>
      <c r="Q566" s="130"/>
      <c r="R566" s="130"/>
      <c r="S566" s="130"/>
      <c r="T566" s="130"/>
      <c r="U566" s="130"/>
      <c r="V566" s="130"/>
      <c r="W566" s="130"/>
      <c r="X566" s="130"/>
      <c r="Y566" s="130"/>
      <c r="Z566" s="130"/>
      <c r="AA566" s="130"/>
      <c r="AB566" s="130"/>
      <c r="AC566" s="130"/>
    </row>
    <row r="567" customFormat="false" ht="11.25" hidden="false" customHeight="false" outlineLevel="0" collapsed="false">
      <c r="A567" s="4"/>
      <c r="B567" s="4" t="s">
        <v>192</v>
      </c>
      <c r="C567" s="103"/>
      <c r="D567" s="103"/>
      <c r="E567" s="258"/>
      <c r="F567" s="258"/>
      <c r="G567" s="258"/>
      <c r="H567" s="111"/>
      <c r="I567" s="258"/>
      <c r="J567" s="258"/>
      <c r="K567" s="258"/>
      <c r="L567" s="258"/>
      <c r="M567" s="258"/>
      <c r="N567" s="258"/>
      <c r="O567" s="258"/>
      <c r="P567" s="258"/>
      <c r="Q567" s="258"/>
      <c r="R567" s="258"/>
      <c r="S567" s="258"/>
      <c r="T567" s="258"/>
      <c r="U567" s="258"/>
      <c r="V567" s="258"/>
      <c r="W567" s="258"/>
      <c r="X567" s="258"/>
      <c r="Y567" s="258"/>
      <c r="Z567" s="258"/>
      <c r="AA567" s="258"/>
      <c r="AB567" s="258"/>
      <c r="AC567" s="258"/>
    </row>
    <row r="568" customFormat="false" ht="11.25" hidden="false" customHeight="false" outlineLevel="0" collapsed="false">
      <c r="A568" s="4"/>
      <c r="B568" s="43" t="s">
        <v>193</v>
      </c>
      <c r="C568" s="131" t="s">
        <v>194</v>
      </c>
      <c r="D568" s="102" t="n">
        <v>6</v>
      </c>
      <c r="E568" s="88"/>
      <c r="F568" s="111"/>
      <c r="G568" s="111"/>
      <c r="H568" s="111" t="s">
        <v>195</v>
      </c>
      <c r="I568" s="258" t="n">
        <f aca="false">(I530+(I546/$D568)+I557)*1000</f>
        <v>0</v>
      </c>
      <c r="J568" s="258" t="n">
        <f aca="false">(J530+(J546/$D568)+J557)*1000</f>
        <v>0</v>
      </c>
      <c r="K568" s="258" t="n">
        <f aca="false">(K530+(K546/$D568)+K557)*1000</f>
        <v>0</v>
      </c>
      <c r="L568" s="258" t="n">
        <f aca="false">(L530+(L546/$D568)+L557)*1000</f>
        <v>0</v>
      </c>
      <c r="M568" s="258" t="n">
        <f aca="false">(M530+(M546/$D568)+M557)*1000</f>
        <v>0</v>
      </c>
      <c r="N568" s="258" t="n">
        <f aca="false">(N530+(N546/$D568)+N557)*1000</f>
        <v>0</v>
      </c>
      <c r="O568" s="258" t="n">
        <f aca="false">(O530+(O546/$D568)+O557)*1000</f>
        <v>0</v>
      </c>
      <c r="P568" s="258" t="n">
        <f aca="false">(P530+(P546/$D568)+P557)*1000</f>
        <v>0</v>
      </c>
      <c r="Q568" s="258" t="n">
        <f aca="false">(Q530+(Q546/$D568)+Q557)*1000</f>
        <v>0</v>
      </c>
      <c r="R568" s="258" t="n">
        <f aca="false">(R530+(R546/$D568)+R557)*1000</f>
        <v>0</v>
      </c>
      <c r="S568" s="258" t="n">
        <f aca="false">(S530+(S546/$D568)+S557)*1000</f>
        <v>0</v>
      </c>
      <c r="T568" s="258" t="n">
        <f aca="false">(T530+(T546/$D568)+T557)*1000</f>
        <v>0</v>
      </c>
      <c r="U568" s="258" t="n">
        <f aca="false">(U530+(U546/$D568)+U557)*1000</f>
        <v>0</v>
      </c>
      <c r="V568" s="258" t="n">
        <f aca="false">(V530+(V546/$D568)+V557)*1000</f>
        <v>0</v>
      </c>
      <c r="W568" s="258" t="n">
        <f aca="false">(W530+(W546/$D568)+W557)*1000</f>
        <v>0</v>
      </c>
      <c r="X568" s="258" t="n">
        <f aca="false">(X530+(X546/$D568)+X557)*1000</f>
        <v>0</v>
      </c>
      <c r="Y568" s="258" t="n">
        <f aca="false">(Y530+(Y546/$D568)+Y557)*1000</f>
        <v>0</v>
      </c>
      <c r="Z568" s="258" t="n">
        <f aca="false">(Z530+(Z546/$D568)+Z557)*1000</f>
        <v>0</v>
      </c>
      <c r="AA568" s="258" t="n">
        <f aca="false">(AA530+(AA546/$D568)+AA557)*1000</f>
        <v>0</v>
      </c>
      <c r="AB568" s="258" t="n">
        <f aca="false">(AB530+(AB546/$D568)+AB557)*1000</f>
        <v>0</v>
      </c>
      <c r="AC568" s="258" t="n">
        <f aca="false">(AC530+(AC546/$D568)+AC557)*1000</f>
        <v>0</v>
      </c>
    </row>
    <row r="569" customFormat="false" ht="11.25" hidden="false" customHeight="false" outlineLevel="0" collapsed="false">
      <c r="A569" s="4"/>
      <c r="B569" s="65"/>
      <c r="C569" s="131"/>
      <c r="D569" s="103"/>
      <c r="E569" s="111"/>
      <c r="F569" s="111"/>
      <c r="J569" s="258"/>
      <c r="K569" s="258"/>
      <c r="L569" s="258"/>
      <c r="M569" s="258"/>
      <c r="N569" s="258"/>
      <c r="O569" s="258"/>
      <c r="P569" s="258"/>
      <c r="Q569" s="258"/>
      <c r="R569" s="258"/>
      <c r="S569" s="258"/>
      <c r="T569" s="258"/>
      <c r="U569" s="258"/>
      <c r="V569" s="258"/>
      <c r="W569" s="258"/>
      <c r="X569" s="258"/>
      <c r="Y569" s="258"/>
      <c r="Z569" s="258"/>
      <c r="AA569" s="258"/>
      <c r="AB569" s="258"/>
      <c r="AC569" s="258"/>
    </row>
    <row r="570" customFormat="false" ht="11.25" hidden="false" customHeight="false" outlineLevel="0" collapsed="false">
      <c r="A570" s="4"/>
      <c r="B570" s="138" t="s">
        <v>157</v>
      </c>
      <c r="C570" s="132" t="s">
        <v>162</v>
      </c>
      <c r="E570" s="43" t="s">
        <v>196</v>
      </c>
      <c r="H570" s="245" t="n">
        <v>0</v>
      </c>
      <c r="I570" s="12"/>
      <c r="J570" s="133" t="s">
        <v>540</v>
      </c>
      <c r="K570" s="133" t="s">
        <v>531</v>
      </c>
      <c r="L570" s="133" t="s">
        <v>541</v>
      </c>
      <c r="M570" s="12"/>
      <c r="N570" s="12"/>
      <c r="O570" s="12"/>
      <c r="P570" s="12"/>
      <c r="Q570" s="12"/>
      <c r="R570" s="12"/>
      <c r="S570" s="12"/>
      <c r="T570" s="12"/>
      <c r="U570" s="12"/>
      <c r="V570" s="12"/>
      <c r="W570" s="12"/>
      <c r="X570" s="12"/>
      <c r="Y570" s="12"/>
      <c r="Z570" s="12"/>
      <c r="AA570" s="12"/>
      <c r="AB570" s="12"/>
      <c r="AC570" s="12"/>
    </row>
    <row r="571" customFormat="false" ht="11.25" hidden="false" customHeight="false" outlineLevel="0" collapsed="false">
      <c r="A571" s="4"/>
      <c r="B571" s="43" t="s">
        <v>158</v>
      </c>
      <c r="C571" s="132"/>
      <c r="E571" s="67" t="s">
        <v>197</v>
      </c>
      <c r="H571" s="287" t="n">
        <v>1</v>
      </c>
      <c r="I571" s="12"/>
      <c r="J571" s="259" t="n">
        <v>0.7</v>
      </c>
      <c r="K571" s="273" t="n">
        <v>1</v>
      </c>
      <c r="L571" s="259" t="n">
        <v>1.15</v>
      </c>
      <c r="M571" s="12"/>
      <c r="N571" s="12"/>
      <c r="O571" s="12"/>
      <c r="P571" s="12"/>
      <c r="Q571" s="12"/>
      <c r="R571" s="12"/>
      <c r="X571" s="12"/>
      <c r="Y571" s="12"/>
      <c r="Z571" s="12"/>
      <c r="AA571" s="12"/>
      <c r="AB571" s="12"/>
      <c r="AC571" s="12"/>
    </row>
    <row r="572" customFormat="false" ht="11.25" hidden="false" customHeight="false" outlineLevel="0" collapsed="false">
      <c r="A572" s="4"/>
      <c r="B572" s="43" t="s">
        <v>159</v>
      </c>
      <c r="C572" s="132"/>
      <c r="E572" s="43" t="s">
        <v>198</v>
      </c>
      <c r="H572" s="135" t="n">
        <v>0</v>
      </c>
      <c r="I572" s="12"/>
      <c r="J572" s="288"/>
      <c r="K572" s="135"/>
      <c r="L572" s="85"/>
      <c r="M572" s="12"/>
      <c r="N572" s="12"/>
      <c r="O572" s="12"/>
      <c r="P572" s="12"/>
      <c r="Q572" s="12"/>
      <c r="R572" s="12"/>
      <c r="X572" s="12"/>
      <c r="Y572" s="12"/>
      <c r="Z572" s="12"/>
      <c r="AA572" s="12"/>
      <c r="AB572" s="12"/>
      <c r="AC572" s="12"/>
    </row>
    <row r="573" customFormat="false" ht="11.25" hidden="false" customHeight="false" outlineLevel="0" collapsed="false">
      <c r="A573" s="4"/>
      <c r="B573" s="43" t="s">
        <v>160</v>
      </c>
      <c r="C573" s="132"/>
      <c r="E573" s="43" t="s">
        <v>199</v>
      </c>
      <c r="H573" s="141" t="n">
        <v>0</v>
      </c>
      <c r="I573" s="88" t="n">
        <v>0</v>
      </c>
      <c r="J573" s="137" t="n">
        <v>0</v>
      </c>
      <c r="K573" s="137" t="n">
        <v>0</v>
      </c>
      <c r="L573" s="137" t="n">
        <v>0</v>
      </c>
      <c r="M573" s="137" t="n">
        <v>0</v>
      </c>
      <c r="N573" s="137" t="n">
        <v>0</v>
      </c>
      <c r="O573" s="137" t="n">
        <v>0</v>
      </c>
      <c r="P573" s="137" t="n">
        <v>0</v>
      </c>
      <c r="Q573" s="137" t="n">
        <v>0</v>
      </c>
      <c r="R573" s="137" t="n">
        <v>0</v>
      </c>
      <c r="S573" s="137" t="n">
        <v>0</v>
      </c>
      <c r="T573" s="137" t="n">
        <v>0</v>
      </c>
      <c r="U573" s="137" t="n">
        <v>0</v>
      </c>
      <c r="V573" s="137" t="n">
        <v>0</v>
      </c>
      <c r="W573" s="137" t="n">
        <v>0</v>
      </c>
      <c r="X573" s="289" t="n">
        <v>0</v>
      </c>
      <c r="Y573" s="289" t="n">
        <v>0</v>
      </c>
      <c r="Z573" s="289" t="n">
        <v>0</v>
      </c>
      <c r="AA573" s="289" t="n">
        <v>0</v>
      </c>
      <c r="AB573" s="289" t="n">
        <v>0</v>
      </c>
      <c r="AC573" s="289" t="n">
        <v>0</v>
      </c>
    </row>
    <row r="574" customFormat="false" ht="11.25" hidden="false" customHeight="false" outlineLevel="0" collapsed="false">
      <c r="A574" s="4"/>
      <c r="B574" s="138" t="s">
        <v>200</v>
      </c>
      <c r="E574" s="88"/>
      <c r="F574" s="88"/>
      <c r="G574" s="88"/>
      <c r="H574" s="88"/>
      <c r="I574" s="88" t="n">
        <f aca="false">I573*$K$571</f>
        <v>0</v>
      </c>
      <c r="J574" s="88" t="n">
        <f aca="false">J573*$K$571</f>
        <v>0</v>
      </c>
      <c r="K574" s="88" t="n">
        <f aca="false">K573*$K$571</f>
        <v>0</v>
      </c>
      <c r="L574" s="88" t="n">
        <f aca="false">L573*$K$571</f>
        <v>0</v>
      </c>
      <c r="M574" s="88" t="n">
        <f aca="false">M573*$K$571</f>
        <v>0</v>
      </c>
      <c r="N574" s="88" t="n">
        <f aca="false">N573*$K$571</f>
        <v>0</v>
      </c>
      <c r="O574" s="88" t="n">
        <f aca="false">O573*$K$571</f>
        <v>0</v>
      </c>
      <c r="P574" s="88" t="n">
        <f aca="false">P573*$K$571</f>
        <v>0</v>
      </c>
      <c r="Q574" s="88" t="n">
        <f aca="false">Q573*$K$571</f>
        <v>0</v>
      </c>
      <c r="R574" s="88" t="n">
        <f aca="false">R573*$K$571</f>
        <v>0</v>
      </c>
      <c r="S574" s="88" t="n">
        <f aca="false">S573*$K$571</f>
        <v>0</v>
      </c>
      <c r="T574" s="88" t="n">
        <f aca="false">T573*$K$571</f>
        <v>0</v>
      </c>
      <c r="U574" s="88" t="n">
        <f aca="false">U573*$K$571</f>
        <v>0</v>
      </c>
      <c r="V574" s="88" t="n">
        <f aca="false">V573*$K$571</f>
        <v>0</v>
      </c>
      <c r="W574" s="88" t="n">
        <f aca="false">W573*$K$571</f>
        <v>0</v>
      </c>
      <c r="X574" s="88" t="n">
        <f aca="false">X573*$K$571</f>
        <v>0</v>
      </c>
      <c r="Y574" s="88" t="n">
        <f aca="false">Y573*$K$571</f>
        <v>0</v>
      </c>
      <c r="Z574" s="88" t="n">
        <f aca="false">Z573*$K$571</f>
        <v>0</v>
      </c>
      <c r="AA574" s="88" t="n">
        <f aca="false">AA573*$K$571</f>
        <v>0</v>
      </c>
      <c r="AB574" s="88" t="n">
        <f aca="false">AB573*$K$571</f>
        <v>0</v>
      </c>
      <c r="AC574" s="88" t="n">
        <f aca="false">AC573*$K$571</f>
        <v>0</v>
      </c>
    </row>
    <row r="575" customFormat="false" ht="11.25" hidden="false" customHeight="false" outlineLevel="0" collapsed="false">
      <c r="A575" s="4"/>
      <c r="B575" s="138"/>
      <c r="E575" s="88"/>
      <c r="F575" s="88"/>
      <c r="G575" s="88"/>
      <c r="H575" s="88"/>
      <c r="I575" s="88"/>
      <c r="J575" s="88"/>
      <c r="K575" s="88"/>
      <c r="L575" s="88"/>
      <c r="M575" s="88"/>
      <c r="N575" s="88"/>
      <c r="O575" s="88"/>
      <c r="P575" s="88"/>
      <c r="Q575" s="88"/>
      <c r="R575" s="88"/>
      <c r="S575" s="88"/>
      <c r="T575" s="88"/>
      <c r="U575" s="88"/>
      <c r="V575" s="88"/>
      <c r="W575" s="88"/>
      <c r="X575" s="88"/>
      <c r="Y575" s="88"/>
      <c r="Z575" s="88"/>
      <c r="AA575" s="88"/>
      <c r="AB575" s="88"/>
      <c r="AC575" s="88"/>
    </row>
    <row r="576" customFormat="false" ht="11.25" hidden="false" customHeight="false" outlineLevel="0" collapsed="false">
      <c r="A576" s="4"/>
      <c r="B576" s="138" t="s">
        <v>201</v>
      </c>
      <c r="E576" s="88" t="s">
        <v>533</v>
      </c>
      <c r="F576" s="88"/>
      <c r="G576" s="88"/>
      <c r="H576" s="26" t="n">
        <v>0.12</v>
      </c>
      <c r="I576" s="88" t="n">
        <f aca="false">I564*$H$576</f>
        <v>0</v>
      </c>
      <c r="J576" s="88" t="n">
        <f aca="false">J564*$H$576</f>
        <v>0</v>
      </c>
      <c r="K576" s="88" t="n">
        <f aca="false">K564*$H$576</f>
        <v>0</v>
      </c>
      <c r="L576" s="88" t="n">
        <f aca="false">L564*$H$576</f>
        <v>0</v>
      </c>
      <c r="M576" s="88" t="n">
        <f aca="false">M564*$H$576</f>
        <v>0</v>
      </c>
      <c r="N576" s="88" t="n">
        <f aca="false">N564*$H$576</f>
        <v>0</v>
      </c>
      <c r="O576" s="88" t="n">
        <f aca="false">O564*$H$576</f>
        <v>0</v>
      </c>
      <c r="P576" s="88" t="n">
        <f aca="false">P564*$H$576</f>
        <v>0</v>
      </c>
      <c r="Q576" s="88" t="n">
        <f aca="false">Q564*$H$576</f>
        <v>0</v>
      </c>
      <c r="R576" s="88" t="n">
        <f aca="false">R564*$H$576</f>
        <v>0</v>
      </c>
      <c r="S576" s="88" t="n">
        <f aca="false">S564*$H$576</f>
        <v>0</v>
      </c>
      <c r="T576" s="88" t="n">
        <f aca="false">T564*$H$576</f>
        <v>0</v>
      </c>
      <c r="U576" s="88" t="n">
        <f aca="false">U564*$H$576</f>
        <v>0</v>
      </c>
      <c r="V576" s="88" t="n">
        <f aca="false">V564*$H$576</f>
        <v>0</v>
      </c>
      <c r="W576" s="88" t="n">
        <f aca="false">W564*$H$576</f>
        <v>0</v>
      </c>
      <c r="X576" s="88" t="n">
        <f aca="false">X564*$H$576</f>
        <v>0</v>
      </c>
      <c r="Y576" s="88" t="n">
        <f aca="false">Y564*$H$576</f>
        <v>0</v>
      </c>
      <c r="Z576" s="88" t="n">
        <f aca="false">Z564*$H$576</f>
        <v>0</v>
      </c>
      <c r="AA576" s="88" t="n">
        <f aca="false">AA564*$H$576</f>
        <v>0</v>
      </c>
      <c r="AB576" s="88" t="n">
        <f aca="false">AB564*$H$576</f>
        <v>0</v>
      </c>
      <c r="AC576" s="88" t="n">
        <f aca="false">AC564*$H$576</f>
        <v>0</v>
      </c>
    </row>
    <row r="577" customFormat="false" ht="11.25" hidden="false" customHeight="false" outlineLevel="0" collapsed="false">
      <c r="A577" s="4"/>
      <c r="B577" s="138"/>
      <c r="E577" s="88"/>
      <c r="F577" s="88"/>
      <c r="G577" s="88"/>
      <c r="H577" s="88"/>
      <c r="I577" s="88"/>
      <c r="J577" s="88"/>
      <c r="K577" s="88"/>
      <c r="L577" s="88"/>
      <c r="M577" s="88"/>
      <c r="N577" s="88"/>
      <c r="O577" s="88"/>
      <c r="P577" s="88"/>
      <c r="Q577" s="88"/>
      <c r="R577" s="88"/>
      <c r="S577" s="88"/>
      <c r="T577" s="88"/>
      <c r="U577" s="88"/>
      <c r="V577" s="88"/>
      <c r="W577" s="88"/>
      <c r="X577" s="88"/>
      <c r="Y577" s="88"/>
      <c r="Z577" s="88"/>
      <c r="AA577" s="88"/>
      <c r="AB577" s="88"/>
      <c r="AC577" s="88"/>
    </row>
    <row r="578" customFormat="false" ht="11.25" hidden="false" customHeight="false" outlineLevel="0" collapsed="false">
      <c r="A578" s="4"/>
      <c r="B578" s="138" t="s">
        <v>203</v>
      </c>
      <c r="E578" s="88"/>
      <c r="F578" s="88"/>
      <c r="G578" s="88"/>
      <c r="H578" s="88"/>
      <c r="I578" s="88"/>
      <c r="J578" s="88"/>
      <c r="K578" s="88"/>
      <c r="L578" s="88"/>
      <c r="M578" s="88"/>
      <c r="N578" s="88"/>
      <c r="O578" s="88"/>
      <c r="P578" s="88"/>
      <c r="Q578" s="88"/>
      <c r="R578" s="88"/>
      <c r="S578" s="88"/>
      <c r="T578" s="88"/>
      <c r="U578" s="88"/>
      <c r="V578" s="88"/>
      <c r="W578" s="88"/>
      <c r="X578" s="88"/>
      <c r="Y578" s="88"/>
      <c r="Z578" s="88"/>
      <c r="AA578" s="88"/>
      <c r="AB578" s="88"/>
      <c r="AC578" s="88"/>
    </row>
    <row r="579" customFormat="false" ht="11.25" hidden="false" customHeight="false" outlineLevel="0" collapsed="false">
      <c r="A579" s="4"/>
      <c r="B579" s="138" t="s">
        <v>157</v>
      </c>
      <c r="C579" s="132" t="s">
        <v>162</v>
      </c>
      <c r="E579" s="43" t="s">
        <v>204</v>
      </c>
      <c r="H579" s="141" t="n">
        <v>0</v>
      </c>
      <c r="I579" s="140"/>
      <c r="J579" s="140"/>
      <c r="K579" s="140"/>
      <c r="L579" s="140"/>
      <c r="M579" s="140"/>
      <c r="N579" s="140"/>
      <c r="O579" s="140"/>
      <c r="P579" s="140"/>
      <c r="Q579" s="140"/>
      <c r="R579" s="140"/>
      <c r="S579" s="140"/>
      <c r="T579" s="140"/>
      <c r="U579" s="140"/>
      <c r="V579" s="140"/>
      <c r="W579" s="140"/>
      <c r="X579" s="140"/>
      <c r="Y579" s="140"/>
      <c r="Z579" s="140"/>
      <c r="AA579" s="140"/>
      <c r="AB579" s="140"/>
      <c r="AC579" s="140"/>
    </row>
    <row r="580" customFormat="false" ht="11.25" hidden="false" customHeight="false" outlineLevel="0" collapsed="false">
      <c r="A580" s="4"/>
      <c r="B580" s="43" t="s">
        <v>158</v>
      </c>
      <c r="C580" s="132"/>
      <c r="E580" s="67" t="s">
        <v>197</v>
      </c>
      <c r="H580" s="26" t="n">
        <v>0</v>
      </c>
      <c r="I580" s="80"/>
      <c r="J580" s="80"/>
      <c r="K580" s="80"/>
      <c r="L580" s="80"/>
      <c r="M580" s="80"/>
      <c r="N580" s="80"/>
      <c r="O580" s="80"/>
      <c r="P580" s="80"/>
      <c r="Q580" s="80"/>
      <c r="R580" s="80"/>
      <c r="S580" s="80"/>
      <c r="T580" s="80"/>
      <c r="U580" s="80"/>
      <c r="V580" s="80"/>
      <c r="W580" s="80"/>
      <c r="X580" s="80"/>
      <c r="Y580" s="80"/>
      <c r="Z580" s="80"/>
      <c r="AA580" s="80"/>
      <c r="AB580" s="80"/>
      <c r="AC580" s="80"/>
    </row>
    <row r="581" customFormat="false" ht="11.25" hidden="false" customHeight="false" outlineLevel="0" collapsed="false">
      <c r="A581" s="4"/>
      <c r="B581" s="43" t="s">
        <v>159</v>
      </c>
      <c r="C581" s="132"/>
      <c r="E581" s="43" t="s">
        <v>198</v>
      </c>
      <c r="H581" s="88" t="n">
        <f aca="false">+H579*H580</f>
        <v>0</v>
      </c>
      <c r="I581" s="12"/>
      <c r="J581" s="12"/>
      <c r="K581" s="12"/>
      <c r="L581" s="12"/>
      <c r="M581" s="12"/>
      <c r="N581" s="12"/>
      <c r="O581" s="12"/>
      <c r="P581" s="12"/>
      <c r="Q581" s="12"/>
      <c r="R581" s="12"/>
      <c r="S581" s="12"/>
      <c r="T581" s="12"/>
      <c r="U581" s="12"/>
      <c r="V581" s="12"/>
      <c r="W581" s="12"/>
      <c r="X581" s="12"/>
      <c r="Y581" s="12"/>
      <c r="Z581" s="12"/>
      <c r="AA581" s="12"/>
      <c r="AB581" s="12"/>
      <c r="AC581" s="12"/>
    </row>
    <row r="582" customFormat="false" ht="11.25" hidden="false" customHeight="false" outlineLevel="0" collapsed="false">
      <c r="A582" s="4"/>
      <c r="B582" s="43" t="s">
        <v>160</v>
      </c>
      <c r="C582" s="132"/>
      <c r="E582" s="43" t="s">
        <v>199</v>
      </c>
      <c r="H582" s="141" t="n">
        <v>1</v>
      </c>
      <c r="I582" s="137"/>
      <c r="J582" s="137"/>
      <c r="K582" s="137"/>
      <c r="L582" s="137"/>
      <c r="M582" s="137"/>
      <c r="N582" s="137"/>
      <c r="O582" s="137"/>
      <c r="P582" s="137"/>
      <c r="Q582" s="137"/>
      <c r="R582" s="137"/>
      <c r="S582" s="137"/>
      <c r="T582" s="137"/>
      <c r="U582" s="137"/>
      <c r="V582" s="137"/>
      <c r="W582" s="137"/>
      <c r="X582" s="137"/>
      <c r="Y582" s="137"/>
      <c r="Z582" s="137"/>
      <c r="AA582" s="137"/>
      <c r="AB582" s="137"/>
      <c r="AC582" s="137"/>
    </row>
    <row r="583" customFormat="false" ht="11.25" hidden="false" customHeight="false" outlineLevel="0" collapsed="false">
      <c r="A583" s="4"/>
      <c r="B583" s="138" t="s">
        <v>205</v>
      </c>
      <c r="E583" s="88"/>
      <c r="F583" s="88"/>
      <c r="G583" s="88"/>
      <c r="H583" s="88"/>
      <c r="I583" s="88" t="n">
        <v>0</v>
      </c>
      <c r="J583" s="88" t="n">
        <v>0</v>
      </c>
      <c r="K583" s="88" t="n">
        <v>0</v>
      </c>
      <c r="L583" s="88" t="n">
        <v>0</v>
      </c>
      <c r="M583" s="88" t="n">
        <v>0</v>
      </c>
      <c r="N583" s="88" t="n">
        <v>0</v>
      </c>
      <c r="O583" s="88" t="n">
        <v>0</v>
      </c>
      <c r="P583" s="88" t="n">
        <v>0</v>
      </c>
      <c r="Q583" s="88" t="n">
        <v>0</v>
      </c>
      <c r="R583" s="88" t="n">
        <v>0</v>
      </c>
      <c r="S583" s="88" t="n">
        <v>0</v>
      </c>
      <c r="T583" s="88" t="n">
        <v>0</v>
      </c>
      <c r="U583" s="88" t="n">
        <v>0</v>
      </c>
      <c r="V583" s="88" t="n">
        <v>0</v>
      </c>
      <c r="W583" s="88" t="n">
        <v>0</v>
      </c>
      <c r="X583" s="88" t="n">
        <v>0</v>
      </c>
      <c r="Y583" s="88" t="n">
        <f aca="false">($H581)*(IF($H582=1,Y$185,IF($H582=2,Y$188,IF($H582=3,Y$191,0))))</f>
        <v>0</v>
      </c>
      <c r="Z583" s="88" t="n">
        <v>0</v>
      </c>
      <c r="AA583" s="88" t="n">
        <v>0</v>
      </c>
      <c r="AB583" s="88" t="n">
        <v>0</v>
      </c>
      <c r="AC583" s="88" t="n">
        <v>0</v>
      </c>
    </row>
    <row r="584" customFormat="false" ht="11.25" hidden="false" customHeight="false" outlineLevel="0" collapsed="false">
      <c r="A584" s="4"/>
      <c r="B584" s="138"/>
      <c r="E584" s="88"/>
      <c r="F584" s="88"/>
      <c r="G584" s="88"/>
      <c r="H584" s="88"/>
      <c r="I584" s="88"/>
      <c r="J584" s="88"/>
      <c r="K584" s="88"/>
      <c r="L584" s="88"/>
      <c r="M584" s="88"/>
      <c r="N584" s="88"/>
      <c r="O584" s="88"/>
      <c r="P584" s="88"/>
      <c r="Q584" s="88"/>
      <c r="R584" s="88"/>
      <c r="S584" s="88"/>
      <c r="T584" s="88"/>
      <c r="U584" s="88"/>
      <c r="V584" s="88"/>
      <c r="W584" s="88"/>
      <c r="X584" s="88"/>
      <c r="Y584" s="88"/>
      <c r="Z584" s="88"/>
      <c r="AA584" s="88"/>
      <c r="AB584" s="88"/>
      <c r="AC584" s="88"/>
    </row>
    <row r="585" customFormat="false" ht="11.25" hidden="false" customHeight="false" outlineLevel="0" collapsed="false">
      <c r="A585" s="4"/>
      <c r="B585" s="138" t="s">
        <v>206</v>
      </c>
      <c r="E585" s="88"/>
      <c r="F585" s="88"/>
      <c r="G585" s="88"/>
      <c r="H585" s="88"/>
      <c r="I585" s="141" t="n">
        <v>0</v>
      </c>
      <c r="J585" s="141" t="n">
        <v>0</v>
      </c>
      <c r="K585" s="141" t="n">
        <v>0</v>
      </c>
      <c r="L585" s="141" t="n">
        <v>0</v>
      </c>
      <c r="M585" s="141" t="n">
        <v>0</v>
      </c>
      <c r="N585" s="141" t="n">
        <v>0</v>
      </c>
      <c r="O585" s="141" t="n">
        <v>0</v>
      </c>
      <c r="P585" s="141" t="n">
        <v>0</v>
      </c>
      <c r="Q585" s="141" t="n">
        <v>0</v>
      </c>
      <c r="R585" s="141" t="n">
        <v>0</v>
      </c>
      <c r="S585" s="141" t="n">
        <v>0</v>
      </c>
      <c r="T585" s="141" t="n">
        <v>0</v>
      </c>
      <c r="U585" s="141" t="n">
        <v>0</v>
      </c>
      <c r="V585" s="141" t="n">
        <v>0</v>
      </c>
      <c r="W585" s="141" t="n">
        <v>0</v>
      </c>
      <c r="X585" s="141" t="n">
        <v>0</v>
      </c>
      <c r="Y585" s="141" t="n">
        <v>0</v>
      </c>
      <c r="Z585" s="141" t="n">
        <v>0</v>
      </c>
      <c r="AA585" s="141" t="n">
        <v>0</v>
      </c>
      <c r="AB585" s="141" t="n">
        <v>0</v>
      </c>
      <c r="AC585" s="141" t="n">
        <v>0</v>
      </c>
    </row>
    <row r="586" customFormat="false" ht="11.25" hidden="false" customHeight="false" outlineLevel="0" collapsed="false">
      <c r="A586" s="142" t="str">
        <f aca="false">"Total Production Costs - "&amp;C18</f>
        <v>Total Production Costs - Acrerage Dev. Prog. </v>
      </c>
      <c r="E586" s="254" t="n">
        <v>0</v>
      </c>
      <c r="F586" s="254" t="n">
        <v>0</v>
      </c>
      <c r="G586" s="254" t="n">
        <v>0</v>
      </c>
      <c r="H586" s="254" t="n">
        <v>0</v>
      </c>
      <c r="I586" s="143" t="n">
        <f aca="false">+I583+I574+I576+I585</f>
        <v>0</v>
      </c>
      <c r="J586" s="143" t="n">
        <f aca="false">+J583+J574+J576+J585</f>
        <v>0</v>
      </c>
      <c r="K586" s="143" t="n">
        <f aca="false">+K583+K574+K576+K585</f>
        <v>0</v>
      </c>
      <c r="L586" s="143" t="n">
        <f aca="false">+L583+L574+L576+L585</f>
        <v>0</v>
      </c>
      <c r="M586" s="143" t="n">
        <f aca="false">+M583+M574+M576+M585</f>
        <v>0</v>
      </c>
      <c r="N586" s="143" t="n">
        <f aca="false">+N583+N574+N576+N585</f>
        <v>0</v>
      </c>
      <c r="O586" s="143" t="n">
        <f aca="false">+O583+O574+O576+O585</f>
        <v>0</v>
      </c>
      <c r="P586" s="143" t="n">
        <f aca="false">+P583+P574+P576+P585</f>
        <v>0</v>
      </c>
      <c r="Q586" s="143" t="n">
        <f aca="false">+Q583+Q574+Q576+Q585</f>
        <v>0</v>
      </c>
      <c r="R586" s="143" t="n">
        <f aca="false">+R583+R574+R576+R585</f>
        <v>0</v>
      </c>
      <c r="S586" s="143" t="n">
        <f aca="false">+S583+S574+S576+S585</f>
        <v>0</v>
      </c>
      <c r="T586" s="143" t="n">
        <f aca="false">+T583+T574+T576+T585</f>
        <v>0</v>
      </c>
      <c r="U586" s="143" t="n">
        <f aca="false">+U583+U574+U576+U585</f>
        <v>0</v>
      </c>
      <c r="V586" s="143" t="n">
        <f aca="false">+V583+V574+V576+V585</f>
        <v>0</v>
      </c>
      <c r="W586" s="143" t="n">
        <f aca="false">+W583+W574+W576+W585</f>
        <v>0</v>
      </c>
      <c r="X586" s="143" t="n">
        <f aca="false">+X583+X574+X576+X585</f>
        <v>0</v>
      </c>
      <c r="Y586" s="143" t="n">
        <f aca="false">+Y583+Y574+Y576+Y585</f>
        <v>0</v>
      </c>
      <c r="Z586" s="143" t="n">
        <f aca="false">+Z583+Z574+Z576+Z585</f>
        <v>0</v>
      </c>
      <c r="AA586" s="143" t="n">
        <f aca="false">+AA583+AA574+AA576+AA585</f>
        <v>0</v>
      </c>
      <c r="AB586" s="143" t="n">
        <f aca="false">+AB583+AB574+AB576+AB585</f>
        <v>0</v>
      </c>
      <c r="AC586" s="143" t="n">
        <f aca="false">+AC583+AC574+AC576+AC585</f>
        <v>0</v>
      </c>
      <c r="AD586" s="67" t="n">
        <f aca="false">SUM(E586:AC586)</f>
        <v>0</v>
      </c>
      <c r="AE586" s="286" t="e">
        <f aca="false">AD586/AD587</f>
        <v>#DIV/0!</v>
      </c>
    </row>
    <row r="587" customFormat="false" ht="11.25" hidden="false" customHeight="false" outlineLevel="0" collapsed="false">
      <c r="A587" s="4" t="str">
        <f aca="false">"Net Oil &amp; Gas Income - "&amp;C18</f>
        <v>Net Oil &amp; Gas Income - Acrerage Dev. Prog. </v>
      </c>
      <c r="D587" s="43"/>
      <c r="E587" s="127" t="n">
        <f aca="false">+E564-E586</f>
        <v>0</v>
      </c>
      <c r="F587" s="127" t="n">
        <f aca="false">+F564-F586</f>
        <v>0</v>
      </c>
      <c r="G587" s="127" t="n">
        <f aca="false">+G564-G586</f>
        <v>0</v>
      </c>
      <c r="H587" s="127" t="n">
        <f aca="false">+H564-H586</f>
        <v>0</v>
      </c>
      <c r="I587" s="116" t="n">
        <f aca="false">+I564-I586</f>
        <v>0</v>
      </c>
      <c r="J587" s="116" t="n">
        <f aca="false">+J564-J586</f>
        <v>0</v>
      </c>
      <c r="K587" s="116" t="n">
        <f aca="false">+K564-K586</f>
        <v>0</v>
      </c>
      <c r="L587" s="116" t="n">
        <f aca="false">+L564-L586</f>
        <v>0</v>
      </c>
      <c r="M587" s="116" t="n">
        <f aca="false">+M564-M586</f>
        <v>0</v>
      </c>
      <c r="N587" s="116" t="n">
        <f aca="false">+N564-N586</f>
        <v>0</v>
      </c>
      <c r="O587" s="116" t="n">
        <f aca="false">+O564-O586</f>
        <v>0</v>
      </c>
      <c r="P587" s="116" t="n">
        <f aca="false">+P564-P586</f>
        <v>0</v>
      </c>
      <c r="Q587" s="116" t="n">
        <f aca="false">+Q564-Q586</f>
        <v>0</v>
      </c>
      <c r="R587" s="116" t="n">
        <f aca="false">+R564-R586</f>
        <v>0</v>
      </c>
      <c r="S587" s="116" t="n">
        <f aca="false">+S564-S586</f>
        <v>0</v>
      </c>
      <c r="T587" s="116" t="n">
        <f aca="false">+T564-T586</f>
        <v>0</v>
      </c>
      <c r="U587" s="116" t="n">
        <f aca="false">+U564-U586</f>
        <v>0</v>
      </c>
      <c r="V587" s="116" t="n">
        <f aca="false">+V564-V586</f>
        <v>0</v>
      </c>
      <c r="W587" s="116" t="n">
        <f aca="false">+W564-W586</f>
        <v>0</v>
      </c>
      <c r="X587" s="116" t="n">
        <f aca="false">+X564-X586</f>
        <v>0</v>
      </c>
      <c r="Y587" s="116" t="n">
        <f aca="false">+Y564-Y586</f>
        <v>0</v>
      </c>
      <c r="Z587" s="116" t="n">
        <f aca="false">+Z564-Z586</f>
        <v>0</v>
      </c>
      <c r="AA587" s="116" t="n">
        <f aca="false">+AA564-AA586</f>
        <v>0</v>
      </c>
      <c r="AB587" s="116" t="n">
        <f aca="false">+AB564-AB586</f>
        <v>0</v>
      </c>
      <c r="AC587" s="116" t="n">
        <f aca="false">+AC564-AC586</f>
        <v>0</v>
      </c>
      <c r="AD587" s="67" t="n">
        <f aca="false">AD530+AD543</f>
        <v>0</v>
      </c>
    </row>
    <row r="588" customFormat="false" ht="11.25" hidden="false" customHeight="false" outlineLevel="0" collapsed="false">
      <c r="A588" s="4"/>
      <c r="B588" s="35"/>
      <c r="D588" s="35"/>
      <c r="E588" s="110"/>
      <c r="F588" s="110"/>
      <c r="G588" s="110"/>
      <c r="I588" s="258"/>
      <c r="J588" s="258"/>
      <c r="K588" s="258"/>
      <c r="L588" s="258"/>
      <c r="M588" s="258"/>
      <c r="N588" s="258"/>
      <c r="O588" s="258"/>
      <c r="P588" s="258"/>
      <c r="Q588" s="258"/>
      <c r="R588" s="258"/>
      <c r="S588" s="258"/>
      <c r="T588" s="258"/>
      <c r="U588" s="258"/>
      <c r="V588" s="258"/>
      <c r="W588" s="258"/>
      <c r="X588" s="258"/>
      <c r="Y588" s="268"/>
      <c r="Z588" s="268"/>
      <c r="AA588" s="268"/>
      <c r="AB588" s="268"/>
      <c r="AC588" s="268"/>
    </row>
    <row r="589" customFormat="false" ht="11.25" hidden="false" customHeight="false" outlineLevel="0" collapsed="false">
      <c r="A589" s="4"/>
      <c r="B589" s="35" t="s">
        <v>534</v>
      </c>
      <c r="D589" s="35"/>
      <c r="E589" s="110"/>
      <c r="F589" s="110"/>
      <c r="G589" s="110"/>
      <c r="I589" s="141" t="n">
        <v>0</v>
      </c>
      <c r="J589" s="141" t="n">
        <v>0</v>
      </c>
      <c r="K589" s="141" t="n">
        <v>0</v>
      </c>
      <c r="L589" s="141" t="n">
        <v>0</v>
      </c>
      <c r="M589" s="141" t="n">
        <v>0</v>
      </c>
      <c r="N589" s="141" t="n">
        <v>0</v>
      </c>
      <c r="O589" s="141" t="n">
        <v>0</v>
      </c>
      <c r="P589" s="141" t="n">
        <v>0</v>
      </c>
      <c r="Q589" s="141" t="n">
        <v>0</v>
      </c>
      <c r="R589" s="141" t="n">
        <v>0</v>
      </c>
      <c r="S589" s="141" t="n">
        <v>0</v>
      </c>
      <c r="T589" s="141" t="n">
        <v>0</v>
      </c>
      <c r="U589" s="141" t="n">
        <v>0</v>
      </c>
      <c r="V589" s="141" t="n">
        <v>0</v>
      </c>
      <c r="W589" s="141" t="n">
        <v>0</v>
      </c>
      <c r="X589" s="141" t="n">
        <v>0</v>
      </c>
      <c r="Y589" s="141" t="n">
        <v>0</v>
      </c>
      <c r="Z589" s="141" t="n">
        <v>0</v>
      </c>
      <c r="AA589" s="141" t="n">
        <v>0</v>
      </c>
      <c r="AB589" s="141" t="n">
        <v>0</v>
      </c>
      <c r="AC589" s="141" t="n">
        <v>0</v>
      </c>
    </row>
    <row r="590" customFormat="false" ht="11.25" hidden="false" customHeight="false" outlineLevel="0" collapsed="false">
      <c r="A590" s="4"/>
      <c r="B590" s="35"/>
      <c r="D590" s="35"/>
      <c r="E590" s="110"/>
      <c r="F590" s="110"/>
      <c r="G590" s="110"/>
      <c r="H590" s="111"/>
      <c r="I590" s="258"/>
      <c r="J590" s="258"/>
      <c r="K590" s="258"/>
      <c r="L590" s="258"/>
      <c r="M590" s="258"/>
      <c r="N590" s="258"/>
      <c r="O590" s="258"/>
      <c r="P590" s="258"/>
      <c r="Q590" s="258"/>
      <c r="R590" s="258"/>
      <c r="S590" s="258"/>
      <c r="T590" s="258"/>
      <c r="U590" s="258"/>
      <c r="V590" s="258"/>
      <c r="W590" s="258"/>
      <c r="X590" s="258"/>
      <c r="Y590" s="268"/>
      <c r="Z590" s="268"/>
      <c r="AA590" s="268"/>
      <c r="AB590" s="268"/>
      <c r="AC590" s="268"/>
    </row>
    <row r="591" customFormat="false" ht="12" hidden="false" customHeight="false" outlineLevel="0" collapsed="false">
      <c r="A591" s="4"/>
      <c r="B591" s="35"/>
      <c r="D591" s="35"/>
      <c r="E591" s="110"/>
      <c r="F591" s="110"/>
      <c r="G591" s="110"/>
      <c r="H591" s="111"/>
      <c r="I591" s="258"/>
      <c r="J591" s="258"/>
      <c r="K591" s="258"/>
      <c r="L591" s="258"/>
      <c r="M591" s="258"/>
      <c r="N591" s="258"/>
      <c r="O591" s="258"/>
      <c r="P591" s="258"/>
      <c r="Q591" s="258"/>
      <c r="R591" s="258"/>
      <c r="S591" s="258"/>
      <c r="T591" s="258"/>
      <c r="U591" s="258"/>
      <c r="V591" s="258"/>
      <c r="W591" s="258"/>
      <c r="X591" s="258"/>
      <c r="Y591" s="268"/>
      <c r="Z591" s="268"/>
      <c r="AA591" s="268"/>
      <c r="AB591" s="268"/>
      <c r="AC591" s="268"/>
    </row>
    <row r="592" customFormat="false" ht="12.75" hidden="false" customHeight="false" outlineLevel="0" collapsed="false">
      <c r="A592" s="4" t="s">
        <v>172</v>
      </c>
      <c r="B592" s="35"/>
      <c r="C592" s="35"/>
      <c r="D592" s="35"/>
      <c r="E592" s="81" t="str">
        <f aca="false">+E$3</f>
        <v>1996 </v>
      </c>
      <c r="F592" s="81" t="str">
        <f aca="false">+F$3</f>
        <v>1997 </v>
      </c>
      <c r="G592" s="81" t="str">
        <f aca="false">+G$3</f>
        <v>1998 </v>
      </c>
      <c r="H592" s="81" t="str">
        <f aca="false">+H$3</f>
        <v>6 M/1999 </v>
      </c>
      <c r="I592" s="81" t="str">
        <f aca="false">+I$3</f>
        <v>6 M/1999 </v>
      </c>
      <c r="J592" s="81" t="n">
        <f aca="false">+J$3</f>
        <v>2000</v>
      </c>
      <c r="K592" s="81" t="n">
        <f aca="false">+K$3</f>
        <v>2001</v>
      </c>
      <c r="L592" s="81" t="n">
        <f aca="false">+L$3</f>
        <v>2002</v>
      </c>
      <c r="M592" s="81" t="n">
        <f aca="false">+M$3</f>
        <v>2003</v>
      </c>
      <c r="N592" s="81" t="n">
        <f aca="false">+N$3</f>
        <v>2004</v>
      </c>
      <c r="O592" s="81" t="n">
        <f aca="false">+O$3</f>
        <v>2005</v>
      </c>
      <c r="P592" s="81" t="n">
        <f aca="false">+P$3</f>
        <v>2006</v>
      </c>
      <c r="Q592" s="81" t="n">
        <f aca="false">+Q$3</f>
        <v>2007</v>
      </c>
      <c r="R592" s="81" t="n">
        <f aca="false">+R$3</f>
        <v>2008</v>
      </c>
      <c r="S592" s="81" t="n">
        <f aca="false">+S$3</f>
        <v>2009</v>
      </c>
      <c r="T592" s="81" t="n">
        <f aca="false">+T$3</f>
        <v>2010</v>
      </c>
      <c r="U592" s="81" t="n">
        <f aca="false">+U$3</f>
        <v>2011</v>
      </c>
      <c r="V592" s="81" t="n">
        <f aca="false">+V$3</f>
        <v>2012</v>
      </c>
      <c r="W592" s="81" t="n">
        <f aca="false">+W$3</f>
        <v>2013</v>
      </c>
      <c r="X592" s="81" t="n">
        <f aca="false">+X$3</f>
        <v>2014</v>
      </c>
      <c r="Y592" s="81" t="n">
        <f aca="false">+Y$3</f>
        <v>2015</v>
      </c>
      <c r="Z592" s="81" t="n">
        <f aca="false">+Z$3</f>
        <v>2016</v>
      </c>
      <c r="AA592" s="81" t="n">
        <f aca="false">+AA$3</f>
        <v>2017</v>
      </c>
      <c r="AB592" s="81" t="n">
        <f aca="false">+AB$3</f>
        <v>2018</v>
      </c>
      <c r="AC592" s="81" t="n">
        <f aca="false">+AC$3</f>
        <v>2019</v>
      </c>
    </row>
    <row r="593" customFormat="false" ht="13.5" hidden="false" customHeight="false" outlineLevel="0" collapsed="false">
      <c r="A593" s="107" t="str">
        <f aca="false">+C19</f>
        <v>Class F Reserves</v>
      </c>
      <c r="B593" s="35"/>
      <c r="C593" s="35"/>
      <c r="D593" s="35"/>
      <c r="E593" s="108"/>
      <c r="F593" s="108"/>
      <c r="G593" s="108"/>
      <c r="H593" s="108"/>
      <c r="I593" s="250"/>
      <c r="J593" s="250"/>
      <c r="K593" s="250"/>
      <c r="L593" s="250"/>
      <c r="M593" s="250"/>
      <c r="N593" s="250"/>
      <c r="O593" s="250"/>
      <c r="P593" s="250"/>
      <c r="Q593" s="250"/>
      <c r="R593" s="250"/>
      <c r="S593" s="250"/>
      <c r="T593" s="250"/>
      <c r="U593" s="250"/>
      <c r="V593" s="250"/>
      <c r="W593" s="250"/>
      <c r="X593" s="250"/>
      <c r="Y593" s="250"/>
      <c r="Z593" s="250"/>
      <c r="AA593" s="250"/>
      <c r="AB593" s="250"/>
      <c r="AC593" s="250"/>
    </row>
    <row r="594" customFormat="false" ht="11.25" hidden="false" customHeight="false" outlineLevel="0" collapsed="false">
      <c r="A594" s="109" t="s">
        <v>174</v>
      </c>
      <c r="B594" s="43" t="s">
        <v>515</v>
      </c>
      <c r="C594" s="35"/>
      <c r="D594" s="35"/>
      <c r="E594" s="108"/>
      <c r="F594" s="108"/>
      <c r="G594" s="108"/>
      <c r="H594" s="108"/>
      <c r="I594" s="141" t="n">
        <v>0</v>
      </c>
      <c r="J594" s="141" t="n">
        <v>0</v>
      </c>
      <c r="K594" s="141" t="n">
        <v>0</v>
      </c>
      <c r="L594" s="141" t="n">
        <v>0</v>
      </c>
      <c r="M594" s="141" t="n">
        <v>0</v>
      </c>
      <c r="N594" s="141" t="n">
        <v>0</v>
      </c>
      <c r="O594" s="141" t="n">
        <v>0</v>
      </c>
      <c r="P594" s="141" t="n">
        <v>0</v>
      </c>
      <c r="Q594" s="141" t="n">
        <v>0</v>
      </c>
      <c r="R594" s="141" t="n">
        <v>0</v>
      </c>
      <c r="S594" s="141" t="n">
        <v>0</v>
      </c>
      <c r="T594" s="141" t="n">
        <v>0</v>
      </c>
      <c r="U594" s="141" t="n">
        <v>0</v>
      </c>
      <c r="V594" s="141" t="n">
        <v>0</v>
      </c>
      <c r="W594" s="141" t="n">
        <v>0</v>
      </c>
      <c r="X594" s="141" t="n">
        <v>0</v>
      </c>
      <c r="Y594" s="141" t="n">
        <v>0</v>
      </c>
      <c r="Z594" s="141" t="n">
        <v>0</v>
      </c>
      <c r="AA594" s="141" t="n">
        <v>0</v>
      </c>
      <c r="AB594" s="141" t="n">
        <v>0</v>
      </c>
      <c r="AC594" s="141" t="n">
        <v>0</v>
      </c>
      <c r="AD594" s="141" t="n">
        <v>0</v>
      </c>
    </row>
    <row r="595" customFormat="false" ht="12.75" hidden="false" customHeight="false" outlineLevel="0" collapsed="false">
      <c r="A595" s="107"/>
      <c r="B595" s="43" t="s">
        <v>517</v>
      </c>
      <c r="C595" s="35"/>
      <c r="D595" s="35"/>
      <c r="E595" s="108"/>
      <c r="F595" s="108"/>
      <c r="G595" s="108"/>
      <c r="H595" s="108"/>
      <c r="I595" s="26" t="n">
        <v>1</v>
      </c>
      <c r="J595" s="26" t="n">
        <f aca="false">I595</f>
        <v>1</v>
      </c>
      <c r="K595" s="26" t="n">
        <f aca="false">J595</f>
        <v>1</v>
      </c>
      <c r="L595" s="26" t="n">
        <f aca="false">K595</f>
        <v>1</v>
      </c>
      <c r="M595" s="26" t="n">
        <f aca="false">L595</f>
        <v>1</v>
      </c>
      <c r="N595" s="26" t="n">
        <f aca="false">M595</f>
        <v>1</v>
      </c>
      <c r="O595" s="26" t="n">
        <f aca="false">N595</f>
        <v>1</v>
      </c>
      <c r="P595" s="26" t="n">
        <f aca="false">O595</f>
        <v>1</v>
      </c>
      <c r="Q595" s="26" t="n">
        <f aca="false">P595</f>
        <v>1</v>
      </c>
      <c r="R595" s="26" t="n">
        <f aca="false">Q595</f>
        <v>1</v>
      </c>
      <c r="S595" s="26" t="n">
        <f aca="false">R595</f>
        <v>1</v>
      </c>
      <c r="T595" s="26" t="n">
        <f aca="false">S595</f>
        <v>1</v>
      </c>
      <c r="U595" s="26" t="n">
        <f aca="false">T595</f>
        <v>1</v>
      </c>
      <c r="V595" s="26" t="n">
        <f aca="false">U595</f>
        <v>1</v>
      </c>
      <c r="W595" s="26" t="n">
        <f aca="false">V595</f>
        <v>1</v>
      </c>
      <c r="X595" s="26" t="n">
        <f aca="false">W595</f>
        <v>1</v>
      </c>
      <c r="Y595" s="26" t="n">
        <f aca="false">X595</f>
        <v>1</v>
      </c>
      <c r="Z595" s="26" t="n">
        <f aca="false">Y595</f>
        <v>1</v>
      </c>
      <c r="AA595" s="26" t="n">
        <f aca="false">Z595</f>
        <v>1</v>
      </c>
      <c r="AB595" s="26" t="n">
        <f aca="false">AA595</f>
        <v>1</v>
      </c>
      <c r="AC595" s="26" t="n">
        <f aca="false">AB595</f>
        <v>1</v>
      </c>
    </row>
    <row r="596" customFormat="false" ht="11.25" hidden="false" customHeight="false" outlineLevel="0" collapsed="false">
      <c r="B596" s="43" t="s">
        <v>518</v>
      </c>
      <c r="C596" s="35"/>
      <c r="D596" s="35"/>
      <c r="E596" s="108"/>
      <c r="F596" s="108"/>
      <c r="G596" s="108"/>
      <c r="H596" s="250"/>
      <c r="I596" s="120" t="n">
        <f aca="false">+I594*I595</f>
        <v>0</v>
      </c>
      <c r="J596" s="120" t="n">
        <f aca="false">+J594*J595</f>
        <v>0</v>
      </c>
      <c r="K596" s="120" t="n">
        <f aca="false">+K594*K595</f>
        <v>0</v>
      </c>
      <c r="L596" s="120" t="n">
        <f aca="false">+L594*L595</f>
        <v>0</v>
      </c>
      <c r="M596" s="120" t="n">
        <f aca="false">+M594*M595</f>
        <v>0</v>
      </c>
      <c r="N596" s="120" t="n">
        <f aca="false">+N594*N595</f>
        <v>0</v>
      </c>
      <c r="O596" s="120" t="n">
        <f aca="false">+O594*O595</f>
        <v>0</v>
      </c>
      <c r="P596" s="120" t="n">
        <f aca="false">+P594*P595</f>
        <v>0</v>
      </c>
      <c r="Q596" s="120" t="n">
        <f aca="false">+Q594*Q595</f>
        <v>0</v>
      </c>
      <c r="R596" s="120" t="n">
        <f aca="false">+R594*R595</f>
        <v>0</v>
      </c>
      <c r="S596" s="120" t="n">
        <f aca="false">+S594*S595</f>
        <v>0</v>
      </c>
      <c r="T596" s="120" t="n">
        <f aca="false">+T594*T595</f>
        <v>0</v>
      </c>
      <c r="U596" s="120" t="n">
        <f aca="false">+U594*U595</f>
        <v>0</v>
      </c>
      <c r="V596" s="120" t="n">
        <f aca="false">+V594*V595</f>
        <v>0</v>
      </c>
      <c r="W596" s="120" t="n">
        <f aca="false">+W594*W595</f>
        <v>0</v>
      </c>
      <c r="X596" s="120" t="n">
        <f aca="false">+X594*X595</f>
        <v>0</v>
      </c>
      <c r="Y596" s="120" t="n">
        <f aca="false">+Y594*Y595</f>
        <v>0</v>
      </c>
      <c r="Z596" s="120" t="n">
        <f aca="false">+Z594*Z595</f>
        <v>0</v>
      </c>
      <c r="AA596" s="120" t="n">
        <f aca="false">+AA594*AA595</f>
        <v>0</v>
      </c>
      <c r="AB596" s="120" t="n">
        <f aca="false">+AB594*AB595</f>
        <v>0</v>
      </c>
      <c r="AC596" s="120" t="n">
        <f aca="false">+AC594*AC595</f>
        <v>0</v>
      </c>
    </row>
    <row r="597" customFormat="false" ht="12.75" hidden="false" customHeight="false" outlineLevel="0" collapsed="false">
      <c r="A597" s="107"/>
      <c r="B597" s="35" t="s">
        <v>176</v>
      </c>
      <c r="C597" s="35"/>
      <c r="D597" s="35"/>
      <c r="E597" s="108"/>
      <c r="F597" s="108"/>
      <c r="G597" s="108"/>
      <c r="H597" s="250"/>
      <c r="I597" s="26" t="n">
        <v>1</v>
      </c>
      <c r="J597" s="26" t="n">
        <f aca="false">I597</f>
        <v>1</v>
      </c>
      <c r="K597" s="26" t="n">
        <f aca="false">J597</f>
        <v>1</v>
      </c>
      <c r="L597" s="26" t="n">
        <f aca="false">K597</f>
        <v>1</v>
      </c>
      <c r="M597" s="26" t="n">
        <f aca="false">L597</f>
        <v>1</v>
      </c>
      <c r="N597" s="26" t="n">
        <f aca="false">M597</f>
        <v>1</v>
      </c>
      <c r="O597" s="26" t="n">
        <f aca="false">N597</f>
        <v>1</v>
      </c>
      <c r="P597" s="26" t="n">
        <f aca="false">O597</f>
        <v>1</v>
      </c>
      <c r="Q597" s="26" t="n">
        <f aca="false">P597</f>
        <v>1</v>
      </c>
      <c r="R597" s="26" t="n">
        <f aca="false">Q597</f>
        <v>1</v>
      </c>
      <c r="S597" s="26" t="n">
        <f aca="false">R597</f>
        <v>1</v>
      </c>
      <c r="T597" s="26" t="n">
        <f aca="false">S597</f>
        <v>1</v>
      </c>
      <c r="U597" s="26" t="n">
        <f aca="false">T597</f>
        <v>1</v>
      </c>
      <c r="V597" s="26" t="n">
        <f aca="false">U597</f>
        <v>1</v>
      </c>
      <c r="W597" s="26" t="n">
        <f aca="false">V597</f>
        <v>1</v>
      </c>
      <c r="X597" s="26" t="n">
        <f aca="false">W597</f>
        <v>1</v>
      </c>
      <c r="Y597" s="26" t="n">
        <f aca="false">X597</f>
        <v>1</v>
      </c>
      <c r="Z597" s="26" t="n">
        <f aca="false">Y597</f>
        <v>1</v>
      </c>
      <c r="AA597" s="26" t="n">
        <f aca="false">Z597</f>
        <v>1</v>
      </c>
      <c r="AB597" s="26" t="n">
        <f aca="false">AA597</f>
        <v>1</v>
      </c>
      <c r="AC597" s="26" t="n">
        <f aca="false">AB597</f>
        <v>1</v>
      </c>
    </row>
    <row r="598" customFormat="false" ht="11.25" hidden="false" customHeight="false" outlineLevel="0" collapsed="false">
      <c r="B598" s="43" t="s">
        <v>519</v>
      </c>
      <c r="D598" s="35"/>
      <c r="E598" s="110"/>
      <c r="F598" s="110"/>
      <c r="H598" s="258"/>
      <c r="I598" s="120" t="n">
        <f aca="false">+I596*I597</f>
        <v>0</v>
      </c>
      <c r="J598" s="120" t="n">
        <f aca="false">+J596*J597</f>
        <v>0</v>
      </c>
      <c r="K598" s="120" t="n">
        <f aca="false">+K596*K597</f>
        <v>0</v>
      </c>
      <c r="L598" s="120" t="n">
        <f aca="false">+L596*L597</f>
        <v>0</v>
      </c>
      <c r="M598" s="120" t="n">
        <f aca="false">+M596*M597</f>
        <v>0</v>
      </c>
      <c r="N598" s="120" t="n">
        <f aca="false">+N596*N597</f>
        <v>0</v>
      </c>
      <c r="O598" s="120" t="n">
        <f aca="false">+O596*O597</f>
        <v>0</v>
      </c>
      <c r="P598" s="120" t="n">
        <f aca="false">+P596*P597</f>
        <v>0</v>
      </c>
      <c r="Q598" s="120" t="n">
        <f aca="false">+Q596*Q597</f>
        <v>0</v>
      </c>
      <c r="R598" s="120" t="n">
        <f aca="false">+R596*R597</f>
        <v>0</v>
      </c>
      <c r="S598" s="120" t="n">
        <f aca="false">+S596*S597</f>
        <v>0</v>
      </c>
      <c r="T598" s="120" t="n">
        <f aca="false">+T596*T597</f>
        <v>0</v>
      </c>
      <c r="U598" s="120" t="n">
        <f aca="false">+U596*U597</f>
        <v>0</v>
      </c>
      <c r="V598" s="120" t="n">
        <f aca="false">+V596*V597</f>
        <v>0</v>
      </c>
      <c r="W598" s="120" t="n">
        <f aca="false">+W596*W597</f>
        <v>0</v>
      </c>
      <c r="X598" s="120" t="n">
        <f aca="false">+X596*X597</f>
        <v>0</v>
      </c>
      <c r="Y598" s="120" t="n">
        <f aca="false">+Y596*Y597</f>
        <v>0</v>
      </c>
      <c r="Z598" s="120" t="n">
        <f aca="false">+Z596*Z597</f>
        <v>0</v>
      </c>
      <c r="AA598" s="120" t="n">
        <f aca="false">+AA596*AA597</f>
        <v>0</v>
      </c>
      <c r="AB598" s="120" t="n">
        <f aca="false">+AB596*AB597</f>
        <v>0</v>
      </c>
      <c r="AC598" s="120" t="n">
        <f aca="false">+AC596*AC597</f>
        <v>0</v>
      </c>
    </row>
    <row r="599" customFormat="false" ht="11.25" hidden="false" customHeight="false" outlineLevel="0" collapsed="false">
      <c r="D599" s="35"/>
      <c r="E599" s="110"/>
      <c r="F599" s="110"/>
      <c r="G599" s="110"/>
    </row>
    <row r="600" customFormat="false" ht="11.25" hidden="false" customHeight="false" outlineLevel="0" collapsed="false">
      <c r="A600" s="109"/>
      <c r="B600" s="43" t="s">
        <v>520</v>
      </c>
      <c r="D600" s="102" t="n">
        <v>5</v>
      </c>
      <c r="I600" s="112" t="n">
        <f aca="false">IF($D600=1,I$212,IF($D600=2,I$215,IF($D600=3,I$217,IF($D600=4,I$219,IF($D600=5,I$221,I$212)))))</f>
        <v>0</v>
      </c>
      <c r="J600" s="112" t="n">
        <f aca="false">IF($D600=1,J$212,IF($D600=2,J$215,IF($D600=3,J$217,IF($D600=4,J$219,IF($D600=5,J$221,J$212)))))</f>
        <v>0</v>
      </c>
      <c r="K600" s="112" t="n">
        <f aca="false">IF($D600=1,K$212,IF($D600=2,K$215,IF($D600=3,K$217,IF($D600=4,K$219,IF($D600=5,K$221,K$212)))))</f>
        <v>0</v>
      </c>
      <c r="L600" s="112" t="n">
        <f aca="false">IF($D600=1,L$212,IF($D600=2,L$215,IF($D600=3,L$217,IF($D600=4,L$219,IF($D600=5,L$221,L$212)))))</f>
        <v>0</v>
      </c>
      <c r="M600" s="112" t="n">
        <f aca="false">IF($D600=1,M$212,IF($D600=2,M$215,IF($D600=3,M$217,IF($D600=4,M$219,IF($D600=5,M$221,M$212)))))</f>
        <v>0</v>
      </c>
      <c r="N600" s="112" t="n">
        <f aca="false">IF($D600=1,N$212,IF($D600=2,N$215,IF($D600=3,N$217,IF($D600=4,N$219,IF($D600=5,N$221,N$212)))))</f>
        <v>0</v>
      </c>
      <c r="O600" s="112" t="n">
        <f aca="false">IF($D600=1,O$212,IF($D600=2,O$215,IF($D600=3,O$217,IF($D600=4,O$219,IF($D600=5,O$221,O$212)))))</f>
        <v>0</v>
      </c>
      <c r="P600" s="112" t="n">
        <f aca="false">IF($D600=1,P$212,IF($D600=2,P$215,IF($D600=3,P$217,IF($D600=4,P$219,IF($D600=5,P$221,P$212)))))</f>
        <v>0</v>
      </c>
      <c r="Q600" s="112" t="n">
        <f aca="false">IF($D600=1,Q$212,IF($D600=2,Q$215,IF($D600=3,Q$217,IF($D600=4,Q$219,IF($D600=5,Q$221,Q$212)))))</f>
        <v>0</v>
      </c>
      <c r="R600" s="112" t="n">
        <f aca="false">IF($D600=1,R$212,IF($D600=2,R$215,IF($D600=3,R$217,IF($D600=4,R$219,IF($D600=5,R$221,R$212)))))</f>
        <v>0</v>
      </c>
      <c r="S600" s="112" t="n">
        <f aca="false">IF($D600=1,S$212,IF($D600=2,S$215,IF($D600=3,S$217,IF($D600=4,S$219,IF($D600=5,S$221,S$212)))))</f>
        <v>0</v>
      </c>
      <c r="T600" s="112" t="n">
        <f aca="false">IF($D600=1,T$212,IF($D600=2,T$215,IF($D600=3,T$217,IF($D600=4,T$219,IF($D600=5,T$221,T$212)))))</f>
        <v>0</v>
      </c>
      <c r="U600" s="112" t="n">
        <f aca="false">IF($D600=1,U$212,IF($D600=2,U$215,IF($D600=3,U$217,IF($D600=4,U$219,IF($D600=5,U$221,U$212)))))</f>
        <v>0</v>
      </c>
      <c r="V600" s="112" t="n">
        <f aca="false">IF($D600=1,V$212,IF($D600=2,V$215,IF($D600=3,V$217,IF($D600=4,V$219,IF($D600=5,V$221,V$212)))))</f>
        <v>0</v>
      </c>
      <c r="W600" s="112" t="n">
        <f aca="false">IF($D600=1,W$212,IF($D600=2,W$215,IF($D600=3,W$217,IF($D600=4,W$219,IF($D600=5,W$221,W$212)))))</f>
        <v>0</v>
      </c>
      <c r="X600" s="112" t="n">
        <f aca="false">IF($D600=1,X$212,IF($D600=2,X$215,IF($D600=3,X$217,IF($D600=4,X$219,IF($D600=5,X$221,X$212)))))</f>
        <v>0</v>
      </c>
      <c r="Y600" s="112" t="n">
        <f aca="false">IF($D600=1,Y$212,IF($D600=2,Y$215,IF($D600=3,Y$217,IF($D600=4,Y$219,IF($D600=5,Y$221,Y$212)))))</f>
        <v>0</v>
      </c>
      <c r="Z600" s="112" t="n">
        <f aca="false">IF($D600=1,Z$212,IF($D600=2,Z$215,IF($D600=3,Z$217,IF($D600=4,Z$219,IF($D600=5,Z$221,Z$212)))))</f>
        <v>0</v>
      </c>
      <c r="AA600" s="112" t="n">
        <f aca="false">IF($D600=1,AA$212,IF($D600=2,AA$215,IF($D600=3,AA$217,IF($D600=4,AA$219,IF($D600=5,AA$221,AA$212)))))</f>
        <v>0</v>
      </c>
      <c r="AB600" s="112" t="n">
        <f aca="false">IF($D600=1,AB$212,IF($D600=2,AB$215,IF($D600=3,AB$217,IF($D600=4,AB$219,IF($D600=5,AB$221,AB$212)))))</f>
        <v>0</v>
      </c>
      <c r="AC600" s="112" t="n">
        <f aca="false">IF($D600=1,AC$212,IF($D600=2,AC$215,IF($D600=3,AC$217,IF($D600=4,AC$219,IF($D600=5,AC$221,AC$212)))))</f>
        <v>0</v>
      </c>
    </row>
    <row r="601" customFormat="false" ht="11.25" hidden="false" customHeight="false" outlineLevel="0" collapsed="false">
      <c r="A601" s="279"/>
      <c r="B601" s="43" t="s">
        <v>179</v>
      </c>
      <c r="D601" s="35"/>
      <c r="I601" s="99" t="n">
        <v>0</v>
      </c>
      <c r="J601" s="99" t="n">
        <v>0</v>
      </c>
      <c r="K601" s="99" t="n">
        <v>0</v>
      </c>
      <c r="L601" s="99" t="n">
        <v>0</v>
      </c>
      <c r="M601" s="99" t="n">
        <v>0</v>
      </c>
      <c r="N601" s="99" t="n">
        <v>0</v>
      </c>
      <c r="O601" s="99" t="n">
        <v>0</v>
      </c>
      <c r="P601" s="99" t="n">
        <v>0</v>
      </c>
      <c r="Q601" s="99" t="n">
        <v>0</v>
      </c>
      <c r="R601" s="99" t="n">
        <v>0</v>
      </c>
      <c r="S601" s="99" t="n">
        <v>0</v>
      </c>
      <c r="T601" s="99" t="n">
        <v>0</v>
      </c>
      <c r="U601" s="99" t="n">
        <v>0</v>
      </c>
      <c r="V601" s="99" t="n">
        <v>0</v>
      </c>
      <c r="W601" s="99" t="n">
        <v>0</v>
      </c>
      <c r="X601" s="99" t="n">
        <v>0</v>
      </c>
      <c r="Y601" s="99" t="n">
        <v>0</v>
      </c>
      <c r="Z601" s="99" t="n">
        <v>0</v>
      </c>
      <c r="AA601" s="99" t="n">
        <v>0</v>
      </c>
      <c r="AB601" s="99" t="n">
        <v>0</v>
      </c>
      <c r="AC601" s="99" t="n">
        <v>0</v>
      </c>
    </row>
    <row r="602" customFormat="false" ht="11.25" hidden="false" customHeight="false" outlineLevel="0" collapsed="false">
      <c r="A602" s="133"/>
      <c r="B602" s="43" t="s">
        <v>180</v>
      </c>
      <c r="D602" s="35"/>
      <c r="I602" s="257" t="n">
        <f aca="false">+I600+I601</f>
        <v>0</v>
      </c>
      <c r="J602" s="257" t="n">
        <f aca="false">+J600+J601</f>
        <v>0</v>
      </c>
      <c r="K602" s="257" t="n">
        <f aca="false">+K600+K601</f>
        <v>0</v>
      </c>
      <c r="L602" s="257" t="n">
        <f aca="false">+L600+L601</f>
        <v>0</v>
      </c>
      <c r="M602" s="257" t="n">
        <f aca="false">+M600+M601</f>
        <v>0</v>
      </c>
      <c r="N602" s="257" t="n">
        <f aca="false">+N600+N601</f>
        <v>0</v>
      </c>
      <c r="O602" s="257" t="n">
        <f aca="false">+O600+O601</f>
        <v>0</v>
      </c>
      <c r="P602" s="257" t="n">
        <f aca="false">+P600+P601</f>
        <v>0</v>
      </c>
      <c r="Q602" s="257" t="n">
        <f aca="false">+Q600+Q601</f>
        <v>0</v>
      </c>
      <c r="R602" s="257" t="n">
        <f aca="false">+R600+R601</f>
        <v>0</v>
      </c>
      <c r="S602" s="257" t="n">
        <f aca="false">+S600+S601</f>
        <v>0</v>
      </c>
      <c r="T602" s="257" t="n">
        <f aca="false">+T600+T601</f>
        <v>0</v>
      </c>
      <c r="U602" s="257" t="n">
        <f aca="false">+U600+U601</f>
        <v>0</v>
      </c>
      <c r="V602" s="257" t="n">
        <f aca="false">+V600+V601</f>
        <v>0</v>
      </c>
      <c r="W602" s="257" t="n">
        <f aca="false">+W600+W601</f>
        <v>0</v>
      </c>
      <c r="X602" s="257" t="n">
        <f aca="false">+X600+X601</f>
        <v>0</v>
      </c>
      <c r="Y602" s="257" t="n">
        <f aca="false">+Y600+Y601</f>
        <v>0</v>
      </c>
      <c r="Z602" s="257" t="n">
        <f aca="false">+Z600+Z601</f>
        <v>0</v>
      </c>
      <c r="AA602" s="257" t="n">
        <f aca="false">+AA600+AA601</f>
        <v>0</v>
      </c>
      <c r="AB602" s="257" t="n">
        <f aca="false">+AB600+AB601</f>
        <v>0</v>
      </c>
      <c r="AC602" s="257" t="n">
        <f aca="false">+AC600+AC601</f>
        <v>0</v>
      </c>
    </row>
    <row r="603" customFormat="false" ht="11.25" hidden="false" customHeight="false" outlineLevel="0" collapsed="false">
      <c r="A603" s="109"/>
      <c r="B603" s="35" t="str">
        <f aca="false">+"Oil Revenue ($"&amp;$F$5</f>
        <v>Oil Revenue ($Thousands)</v>
      </c>
      <c r="D603" s="35"/>
      <c r="E603" s="110"/>
      <c r="F603" s="110"/>
      <c r="G603" s="110"/>
      <c r="H603" s="111"/>
      <c r="I603" s="116" t="n">
        <f aca="false">I598*I602*1000/unit</f>
        <v>0</v>
      </c>
      <c r="J603" s="116" t="n">
        <f aca="false">J598*J602*1000/unit</f>
        <v>0</v>
      </c>
      <c r="K603" s="116" t="n">
        <f aca="false">K598*K602*1000/unit</f>
        <v>0</v>
      </c>
      <c r="L603" s="116" t="n">
        <f aca="false">L598*L602*1000/unit</f>
        <v>0</v>
      </c>
      <c r="M603" s="116" t="n">
        <f aca="false">M598*M602*1000/unit</f>
        <v>0</v>
      </c>
      <c r="N603" s="116" t="n">
        <f aca="false">N598*N602*1000/unit</f>
        <v>0</v>
      </c>
      <c r="O603" s="116" t="n">
        <f aca="false">O598*O602*1000/unit</f>
        <v>0</v>
      </c>
      <c r="P603" s="116" t="n">
        <f aca="false">P598*P602*1000/unit</f>
        <v>0</v>
      </c>
      <c r="Q603" s="116" t="n">
        <f aca="false">Q598*Q602*1000/unit</f>
        <v>0</v>
      </c>
      <c r="R603" s="116" t="n">
        <f aca="false">R598*R602*1000/unit</f>
        <v>0</v>
      </c>
      <c r="S603" s="116" t="n">
        <f aca="false">S598*S602*1000/unit</f>
        <v>0</v>
      </c>
      <c r="T603" s="116" t="n">
        <f aca="false">T598*T602*1000/unit</f>
        <v>0</v>
      </c>
      <c r="U603" s="116" t="n">
        <f aca="false">U598*U602*1000/unit</f>
        <v>0</v>
      </c>
      <c r="V603" s="116" t="n">
        <f aca="false">V598*V602*1000/unit</f>
        <v>0</v>
      </c>
      <c r="W603" s="116" t="n">
        <f aca="false">W598*W602*1000/unit</f>
        <v>0</v>
      </c>
      <c r="X603" s="116" t="n">
        <f aca="false">X598*X602*1000/unit</f>
        <v>0</v>
      </c>
      <c r="Y603" s="116" t="n">
        <f aca="false">Y598*Y602*1000/unit</f>
        <v>0</v>
      </c>
      <c r="Z603" s="116" t="n">
        <f aca="false">Z598*Z602*1000/unit</f>
        <v>0</v>
      </c>
      <c r="AA603" s="116" t="n">
        <f aca="false">AA598*AA602*1000/unit</f>
        <v>0</v>
      </c>
      <c r="AB603" s="116" t="n">
        <f aca="false">AB598*AB602*1000/unit</f>
        <v>0</v>
      </c>
      <c r="AC603" s="116" t="n">
        <f aca="false">AC598*AC602*1000/unit</f>
        <v>0</v>
      </c>
    </row>
    <row r="604" customFormat="false" ht="11.25" hidden="false" customHeight="false" outlineLevel="0" collapsed="false">
      <c r="A604" s="109"/>
      <c r="B604" s="35"/>
      <c r="D604" s="35"/>
      <c r="E604" s="110"/>
      <c r="F604" s="110"/>
      <c r="G604" s="110"/>
      <c r="H604" s="111"/>
      <c r="I604" s="258"/>
      <c r="J604" s="258"/>
      <c r="K604" s="258"/>
      <c r="L604" s="258"/>
      <c r="M604" s="258"/>
      <c r="N604" s="258"/>
      <c r="O604" s="258"/>
      <c r="P604" s="258"/>
      <c r="Q604" s="258"/>
      <c r="R604" s="258"/>
      <c r="S604" s="258"/>
      <c r="T604" s="258"/>
      <c r="U604" s="258"/>
      <c r="V604" s="258"/>
      <c r="W604" s="258"/>
      <c r="X604" s="258"/>
      <c r="Y604" s="203"/>
      <c r="Z604" s="203"/>
      <c r="AA604" s="203"/>
      <c r="AB604" s="203"/>
      <c r="AC604" s="203"/>
    </row>
    <row r="605" customFormat="false" ht="11.25" hidden="false" customHeight="false" outlineLevel="0" collapsed="false">
      <c r="A605" s="109" t="s">
        <v>181</v>
      </c>
      <c r="B605" s="43" t="s">
        <v>521</v>
      </c>
      <c r="D605" s="35"/>
      <c r="E605" s="110"/>
      <c r="F605" s="110"/>
      <c r="G605" s="110"/>
      <c r="H605" s="111"/>
      <c r="I605" s="141" t="n">
        <v>0</v>
      </c>
      <c r="J605" s="141" t="n">
        <v>0</v>
      </c>
      <c r="K605" s="141" t="n">
        <v>0</v>
      </c>
      <c r="L605" s="141" t="n">
        <v>0</v>
      </c>
      <c r="M605" s="141" t="n">
        <v>0</v>
      </c>
      <c r="N605" s="141" t="n">
        <v>0</v>
      </c>
      <c r="O605" s="141" t="n">
        <v>0</v>
      </c>
      <c r="P605" s="141" t="n">
        <v>0</v>
      </c>
      <c r="Q605" s="141" t="n">
        <v>0</v>
      </c>
      <c r="R605" s="141" t="n">
        <v>0</v>
      </c>
      <c r="S605" s="141" t="n">
        <v>0</v>
      </c>
      <c r="T605" s="141" t="n">
        <v>0</v>
      </c>
      <c r="U605" s="141" t="n">
        <v>0</v>
      </c>
      <c r="V605" s="141" t="n">
        <v>0</v>
      </c>
      <c r="W605" s="141" t="n">
        <v>0</v>
      </c>
      <c r="X605" s="141" t="n">
        <v>0</v>
      </c>
      <c r="Y605" s="141" t="n">
        <v>0</v>
      </c>
      <c r="Z605" s="141" t="n">
        <v>0</v>
      </c>
      <c r="AA605" s="141" t="n">
        <v>0</v>
      </c>
      <c r="AB605" s="141" t="n">
        <v>0</v>
      </c>
      <c r="AC605" s="141" t="n">
        <v>0</v>
      </c>
    </row>
    <row r="606" customFormat="false" ht="11.25" hidden="false" customHeight="false" outlineLevel="0" collapsed="false">
      <c r="A606" s="109"/>
      <c r="B606" s="43" t="s">
        <v>517</v>
      </c>
      <c r="D606" s="35"/>
      <c r="E606" s="110"/>
      <c r="F606" s="110"/>
      <c r="G606" s="110"/>
      <c r="H606" s="111"/>
      <c r="I606" s="26" t="n">
        <v>1</v>
      </c>
      <c r="J606" s="26" t="n">
        <f aca="false">I606</f>
        <v>1</v>
      </c>
      <c r="K606" s="26" t="n">
        <f aca="false">J606</f>
        <v>1</v>
      </c>
      <c r="L606" s="26" t="n">
        <f aca="false">K606</f>
        <v>1</v>
      </c>
      <c r="M606" s="26" t="n">
        <f aca="false">L606</f>
        <v>1</v>
      </c>
      <c r="N606" s="26" t="n">
        <f aca="false">M606</f>
        <v>1</v>
      </c>
      <c r="O606" s="26" t="n">
        <f aca="false">N606</f>
        <v>1</v>
      </c>
      <c r="P606" s="26" t="n">
        <f aca="false">O606</f>
        <v>1</v>
      </c>
      <c r="Q606" s="26" t="n">
        <f aca="false">P606</f>
        <v>1</v>
      </c>
      <c r="R606" s="26" t="n">
        <f aca="false">Q606</f>
        <v>1</v>
      </c>
      <c r="S606" s="26" t="n">
        <f aca="false">R606</f>
        <v>1</v>
      </c>
      <c r="T606" s="26" t="n">
        <f aca="false">S606</f>
        <v>1</v>
      </c>
      <c r="U606" s="26" t="n">
        <f aca="false">T606</f>
        <v>1</v>
      </c>
      <c r="V606" s="26" t="n">
        <f aca="false">U606</f>
        <v>1</v>
      </c>
      <c r="W606" s="26" t="n">
        <f aca="false">V606</f>
        <v>1</v>
      </c>
      <c r="X606" s="26" t="n">
        <f aca="false">W606</f>
        <v>1</v>
      </c>
      <c r="Y606" s="26" t="n">
        <f aca="false">X606</f>
        <v>1</v>
      </c>
      <c r="Z606" s="26" t="n">
        <f aca="false">Y606</f>
        <v>1</v>
      </c>
      <c r="AA606" s="26" t="n">
        <f aca="false">Z606</f>
        <v>1</v>
      </c>
      <c r="AB606" s="26" t="n">
        <f aca="false">AA606</f>
        <v>1</v>
      </c>
      <c r="AC606" s="26" t="n">
        <f aca="false">AB606</f>
        <v>1</v>
      </c>
    </row>
    <row r="607" customFormat="false" ht="11.25" hidden="false" customHeight="false" outlineLevel="0" collapsed="false">
      <c r="B607" s="43" t="s">
        <v>522</v>
      </c>
      <c r="D607" s="35"/>
      <c r="E607" s="110"/>
      <c r="F607" s="110"/>
      <c r="G607" s="110"/>
      <c r="H607" s="258"/>
      <c r="I607" s="120" t="n">
        <f aca="false">+I605*I606</f>
        <v>0</v>
      </c>
      <c r="J607" s="120" t="n">
        <f aca="false">+J605*J606</f>
        <v>0</v>
      </c>
      <c r="K607" s="120" t="n">
        <f aca="false">+K605*K606</f>
        <v>0</v>
      </c>
      <c r="L607" s="120" t="n">
        <f aca="false">+L605*L606</f>
        <v>0</v>
      </c>
      <c r="M607" s="120" t="n">
        <f aca="false">+M605*M606</f>
        <v>0</v>
      </c>
      <c r="N607" s="120" t="n">
        <f aca="false">+N605*N606</f>
        <v>0</v>
      </c>
      <c r="O607" s="120" t="n">
        <f aca="false">+O605*O606</f>
        <v>0</v>
      </c>
      <c r="P607" s="120" t="n">
        <f aca="false">+P605*P606</f>
        <v>0</v>
      </c>
      <c r="Q607" s="120" t="n">
        <f aca="false">+Q605*Q606</f>
        <v>0</v>
      </c>
      <c r="R607" s="120" t="n">
        <f aca="false">+R605*R606</f>
        <v>0</v>
      </c>
      <c r="S607" s="120" t="n">
        <f aca="false">+S605*S606</f>
        <v>0</v>
      </c>
      <c r="T607" s="120" t="n">
        <f aca="false">+T605*T606</f>
        <v>0</v>
      </c>
      <c r="U607" s="120" t="n">
        <f aca="false">+U605*U606</f>
        <v>0</v>
      </c>
      <c r="V607" s="120" t="n">
        <f aca="false">+V605*V606</f>
        <v>0</v>
      </c>
      <c r="W607" s="120" t="n">
        <f aca="false">+W605*W606</f>
        <v>0</v>
      </c>
      <c r="X607" s="120" t="n">
        <f aca="false">+X605*X606</f>
        <v>0</v>
      </c>
      <c r="Y607" s="120" t="n">
        <f aca="false">+Y605*Y606</f>
        <v>0</v>
      </c>
      <c r="Z607" s="120" t="n">
        <f aca="false">+Z605*Z606</f>
        <v>0</v>
      </c>
      <c r="AA607" s="120" t="n">
        <f aca="false">+AA605*AA606</f>
        <v>0</v>
      </c>
      <c r="AB607" s="120" t="n">
        <f aca="false">+AB605*AB606</f>
        <v>0</v>
      </c>
      <c r="AC607" s="120" t="n">
        <f aca="false">+AC605*AC606</f>
        <v>0</v>
      </c>
    </row>
    <row r="608" customFormat="false" ht="11.25" hidden="false" customHeight="false" outlineLevel="0" collapsed="false">
      <c r="A608" s="109"/>
      <c r="B608" s="35" t="s">
        <v>176</v>
      </c>
      <c r="D608" s="35"/>
      <c r="E608" s="110"/>
      <c r="F608" s="110"/>
      <c r="G608" s="110"/>
      <c r="H608" s="258"/>
      <c r="I608" s="26" t="n">
        <v>1</v>
      </c>
      <c r="J608" s="26" t="n">
        <f aca="false">I608</f>
        <v>1</v>
      </c>
      <c r="K608" s="26" t="n">
        <f aca="false">J608</f>
        <v>1</v>
      </c>
      <c r="L608" s="26" t="n">
        <f aca="false">K608</f>
        <v>1</v>
      </c>
      <c r="M608" s="26" t="n">
        <f aca="false">L608</f>
        <v>1</v>
      </c>
      <c r="N608" s="26" t="n">
        <f aca="false">M608</f>
        <v>1</v>
      </c>
      <c r="O608" s="26" t="n">
        <f aca="false">N608</f>
        <v>1</v>
      </c>
      <c r="P608" s="26" t="n">
        <f aca="false">O608</f>
        <v>1</v>
      </c>
      <c r="Q608" s="26" t="n">
        <f aca="false">P608</f>
        <v>1</v>
      </c>
      <c r="R608" s="26" t="n">
        <f aca="false">Q608</f>
        <v>1</v>
      </c>
      <c r="S608" s="26" t="n">
        <f aca="false">R608</f>
        <v>1</v>
      </c>
      <c r="T608" s="26" t="n">
        <f aca="false">S608</f>
        <v>1</v>
      </c>
      <c r="U608" s="26" t="n">
        <f aca="false">T608</f>
        <v>1</v>
      </c>
      <c r="V608" s="26" t="n">
        <f aca="false">U608</f>
        <v>1</v>
      </c>
      <c r="W608" s="26" t="n">
        <f aca="false">V608</f>
        <v>1</v>
      </c>
      <c r="X608" s="26" t="n">
        <f aca="false">W608</f>
        <v>1</v>
      </c>
      <c r="Y608" s="26" t="n">
        <f aca="false">X608</f>
        <v>1</v>
      </c>
      <c r="Z608" s="26" t="n">
        <f aca="false">Y608</f>
        <v>1</v>
      </c>
      <c r="AA608" s="26" t="n">
        <f aca="false">Z608</f>
        <v>1</v>
      </c>
      <c r="AB608" s="26" t="n">
        <f aca="false">AA608</f>
        <v>1</v>
      </c>
      <c r="AC608" s="26" t="n">
        <f aca="false">AB608</f>
        <v>1</v>
      </c>
    </row>
    <row r="609" customFormat="false" ht="11.25" hidden="false" customHeight="false" outlineLevel="0" collapsed="false">
      <c r="B609" s="43" t="s">
        <v>183</v>
      </c>
      <c r="D609" s="35"/>
      <c r="E609" s="110"/>
      <c r="F609" s="110"/>
      <c r="G609" s="110"/>
      <c r="H609" s="258"/>
      <c r="I609" s="120" t="n">
        <f aca="false">+I607*I608</f>
        <v>0</v>
      </c>
      <c r="J609" s="120" t="n">
        <f aca="false">+J607*J608</f>
        <v>0</v>
      </c>
      <c r="K609" s="120" t="n">
        <f aca="false">+K607*K608</f>
        <v>0</v>
      </c>
      <c r="L609" s="120" t="n">
        <f aca="false">+L607*L608</f>
        <v>0</v>
      </c>
      <c r="M609" s="120" t="n">
        <f aca="false">+M607*M608</f>
        <v>0</v>
      </c>
      <c r="N609" s="120" t="n">
        <f aca="false">+N607*N608</f>
        <v>0</v>
      </c>
      <c r="O609" s="120" t="n">
        <f aca="false">+O607*O608</f>
        <v>0</v>
      </c>
      <c r="P609" s="120" t="n">
        <f aca="false">+P607*P608</f>
        <v>0</v>
      </c>
      <c r="Q609" s="120" t="n">
        <f aca="false">+Q607*Q608</f>
        <v>0</v>
      </c>
      <c r="R609" s="120" t="n">
        <f aca="false">+R607*R608</f>
        <v>0</v>
      </c>
      <c r="S609" s="120" t="n">
        <f aca="false">+S607*S608</f>
        <v>0</v>
      </c>
      <c r="T609" s="120" t="n">
        <f aca="false">+T607*T608</f>
        <v>0</v>
      </c>
      <c r="U609" s="120" t="n">
        <f aca="false">+U607*U608</f>
        <v>0</v>
      </c>
      <c r="V609" s="120" t="n">
        <f aca="false">+V607*V608</f>
        <v>0</v>
      </c>
      <c r="W609" s="120" t="n">
        <f aca="false">+W607*W608</f>
        <v>0</v>
      </c>
      <c r="X609" s="120" t="n">
        <f aca="false">+X607*X608</f>
        <v>0</v>
      </c>
      <c r="Y609" s="120" t="n">
        <f aca="false">+Y607*Y608</f>
        <v>0</v>
      </c>
      <c r="Z609" s="120" t="n">
        <f aca="false">+Z607*Z608</f>
        <v>0</v>
      </c>
      <c r="AA609" s="120" t="n">
        <f aca="false">+AA607*AA608</f>
        <v>0</v>
      </c>
      <c r="AB609" s="120" t="n">
        <f aca="false">+AB607*AB608</f>
        <v>0</v>
      </c>
      <c r="AC609" s="120" t="n">
        <f aca="false">+AC607*AC608</f>
        <v>0</v>
      </c>
    </row>
    <row r="610" customFormat="false" ht="11.25" hidden="false" customHeight="false" outlineLevel="0" collapsed="false">
      <c r="A610" s="109"/>
      <c r="B610" s="43" t="s">
        <v>187</v>
      </c>
      <c r="D610" s="118" t="s">
        <v>157</v>
      </c>
      <c r="E610" s="119" t="s">
        <v>184</v>
      </c>
      <c r="F610" s="119" t="s">
        <v>185</v>
      </c>
      <c r="G610" s="119" t="s">
        <v>186</v>
      </c>
      <c r="H610" s="111"/>
      <c r="I610" s="258"/>
      <c r="J610" s="258"/>
      <c r="K610" s="258"/>
      <c r="L610" s="258"/>
      <c r="M610" s="258"/>
      <c r="N610" s="258"/>
      <c r="O610" s="258"/>
      <c r="P610" s="258"/>
      <c r="Q610" s="258"/>
      <c r="R610" s="258"/>
      <c r="S610" s="258"/>
      <c r="T610" s="258"/>
      <c r="U610" s="258"/>
      <c r="V610" s="258"/>
      <c r="W610" s="258"/>
      <c r="X610" s="258"/>
      <c r="Y610" s="258"/>
      <c r="Z610" s="258"/>
      <c r="AA610" s="258"/>
      <c r="AB610" s="258"/>
      <c r="AC610" s="258"/>
    </row>
    <row r="611" customFormat="false" ht="11.25" hidden="false" customHeight="false" outlineLevel="0" collapsed="false">
      <c r="A611" s="109"/>
      <c r="D611" s="100" t="s">
        <v>162</v>
      </c>
      <c r="E611" s="121"/>
      <c r="F611" s="121"/>
      <c r="G611" s="121"/>
      <c r="H611" s="111"/>
      <c r="I611" s="264" t="n">
        <v>1</v>
      </c>
      <c r="J611" s="264" t="n">
        <v>1</v>
      </c>
      <c r="K611" s="264" t="n">
        <v>1</v>
      </c>
      <c r="L611" s="264" t="n">
        <v>1</v>
      </c>
      <c r="M611" s="264" t="n">
        <v>1</v>
      </c>
      <c r="N611" s="264" t="n">
        <v>1</v>
      </c>
      <c r="O611" s="264" t="n">
        <v>1</v>
      </c>
      <c r="P611" s="264" t="n">
        <v>1</v>
      </c>
      <c r="Q611" s="264" t="n">
        <v>1</v>
      </c>
      <c r="R611" s="264" t="n">
        <v>1</v>
      </c>
      <c r="S611" s="264" t="n">
        <v>1</v>
      </c>
      <c r="T611" s="264" t="n">
        <v>1</v>
      </c>
      <c r="U611" s="264" t="n">
        <v>1</v>
      </c>
      <c r="V611" s="264" t="n">
        <v>1</v>
      </c>
      <c r="W611" s="264" t="n">
        <v>1</v>
      </c>
      <c r="X611" s="264" t="n">
        <v>1</v>
      </c>
      <c r="Y611" s="264" t="n">
        <v>1</v>
      </c>
      <c r="Z611" s="264" t="n">
        <v>1</v>
      </c>
      <c r="AA611" s="264" t="n">
        <v>1</v>
      </c>
      <c r="AB611" s="264" t="n">
        <v>1</v>
      </c>
      <c r="AC611" s="264" t="n">
        <v>1</v>
      </c>
    </row>
    <row r="612" customFormat="false" ht="11.25" hidden="false" customHeight="false" outlineLevel="0" collapsed="false">
      <c r="A612" s="109"/>
      <c r="B612" s="43" t="s">
        <v>188</v>
      </c>
      <c r="D612" s="35"/>
      <c r="I612" s="116" t="n">
        <f aca="false">+I611*I609</f>
        <v>0</v>
      </c>
      <c r="J612" s="116" t="n">
        <f aca="false">+J611*J609</f>
        <v>0</v>
      </c>
      <c r="K612" s="116" t="n">
        <f aca="false">+K611*K609</f>
        <v>0</v>
      </c>
      <c r="L612" s="116" t="n">
        <f aca="false">+L611*L609</f>
        <v>0</v>
      </c>
      <c r="M612" s="116" t="n">
        <f aca="false">+M611*M609</f>
        <v>0</v>
      </c>
      <c r="N612" s="116" t="n">
        <f aca="false">+N611*N609</f>
        <v>0</v>
      </c>
      <c r="O612" s="116" t="n">
        <f aca="false">+O611*O609</f>
        <v>0</v>
      </c>
      <c r="P612" s="116" t="n">
        <f aca="false">+P611*P609</f>
        <v>0</v>
      </c>
      <c r="Q612" s="116" t="n">
        <f aca="false">+Q611*Q609</f>
        <v>0</v>
      </c>
      <c r="R612" s="116" t="n">
        <f aca="false">+R611*R609</f>
        <v>0</v>
      </c>
      <c r="S612" s="116" t="n">
        <f aca="false">+S611*S609</f>
        <v>0</v>
      </c>
      <c r="T612" s="116" t="n">
        <f aca="false">+T611*T609</f>
        <v>0</v>
      </c>
      <c r="U612" s="116" t="n">
        <f aca="false">+U611*U609</f>
        <v>0</v>
      </c>
      <c r="V612" s="116" t="n">
        <f aca="false">+V611*V609</f>
        <v>0</v>
      </c>
      <c r="W612" s="116" t="n">
        <f aca="false">+W611*W609</f>
        <v>0</v>
      </c>
      <c r="X612" s="116" t="n">
        <f aca="false">+X611*X609</f>
        <v>0</v>
      </c>
      <c r="Y612" s="116" t="n">
        <f aca="false">+Y611*Y609</f>
        <v>0</v>
      </c>
      <c r="Z612" s="116" t="n">
        <f aca="false">+Z611*Z609</f>
        <v>0</v>
      </c>
      <c r="AA612" s="116" t="n">
        <f aca="false">+AA611*AA609</f>
        <v>0</v>
      </c>
      <c r="AB612" s="116" t="n">
        <f aca="false">+AB611*AB609</f>
        <v>0</v>
      </c>
      <c r="AC612" s="116" t="n">
        <f aca="false">+AC611*AC609</f>
        <v>0</v>
      </c>
    </row>
    <row r="613" customFormat="false" ht="11.25" hidden="false" customHeight="false" outlineLevel="0" collapsed="false">
      <c r="A613" s="109"/>
      <c r="B613" s="43"/>
      <c r="D613" s="35"/>
      <c r="I613" s="258"/>
      <c r="J613" s="258"/>
      <c r="K613" s="258"/>
      <c r="L613" s="258"/>
      <c r="M613" s="258"/>
      <c r="N613" s="258"/>
      <c r="O613" s="258"/>
      <c r="P613" s="258"/>
      <c r="Q613" s="258"/>
      <c r="R613" s="258"/>
      <c r="S613" s="258"/>
      <c r="T613" s="258"/>
      <c r="U613" s="258"/>
      <c r="V613" s="258"/>
      <c r="W613" s="258"/>
      <c r="X613" s="258"/>
      <c r="Y613" s="258"/>
      <c r="Z613" s="258"/>
      <c r="AA613" s="258"/>
      <c r="AB613" s="258"/>
      <c r="AC613" s="258"/>
    </row>
    <row r="614" customFormat="false" ht="11.25" hidden="false" customHeight="false" outlineLevel="0" collapsed="false">
      <c r="A614" s="109"/>
      <c r="B614" s="43" t="s">
        <v>523</v>
      </c>
      <c r="D614" s="102" t="n">
        <v>5</v>
      </c>
      <c r="I614" s="123" t="n">
        <f aca="false">IF($D614=1,I$197,IF($D614=2,I$200,IF($D614=3,I$202,IF($D614=4,I$204,IF($D614=5,I$206,I$197)))))</f>
        <v>0</v>
      </c>
      <c r="J614" s="123" t="n">
        <f aca="false">IF($D614=1,J$197,IF($D614=2,J$200,IF($D614=3,J$202,IF($D614=4,J$204,IF($D614=5,J$206,J$197)))))</f>
        <v>0</v>
      </c>
      <c r="K614" s="123" t="n">
        <f aca="false">IF($D614=1,K$197,IF($D614=2,K$200,IF($D614=3,K$202,IF($D614=4,K$204,IF($D614=5,K$206,K$197)))))</f>
        <v>0</v>
      </c>
      <c r="L614" s="123" t="n">
        <f aca="false">IF($D614=1,L$197,IF($D614=2,L$200,IF($D614=3,L$202,IF($D614=4,L$204,IF($D614=5,L$206,L$197)))))</f>
        <v>0</v>
      </c>
      <c r="M614" s="123" t="n">
        <f aca="false">IF($D614=1,M$197,IF($D614=2,M$200,IF($D614=3,M$202,IF($D614=4,M$204,IF($D614=5,M$206,M$197)))))</f>
        <v>0</v>
      </c>
      <c r="N614" s="123" t="n">
        <f aca="false">IF($D614=1,N$197,IF($D614=2,N$200,IF($D614=3,N$202,IF($D614=4,N$204,IF($D614=5,N$206,N$197)))))</f>
        <v>0</v>
      </c>
      <c r="O614" s="123" t="n">
        <f aca="false">IF($D614=1,O$197,IF($D614=2,O$200,IF($D614=3,O$202,IF($D614=4,O$204,IF($D614=5,O$206,O$197)))))</f>
        <v>0</v>
      </c>
      <c r="P614" s="123" t="n">
        <f aca="false">IF($D614=1,P$197,IF($D614=2,P$200,IF($D614=3,P$202,IF($D614=4,P$204,IF($D614=5,P$206,P$197)))))</f>
        <v>0</v>
      </c>
      <c r="Q614" s="123" t="n">
        <f aca="false">IF($D614=1,Q$197,IF($D614=2,Q$200,IF($D614=3,Q$202,IF($D614=4,Q$204,IF($D614=5,Q$206,Q$197)))))</f>
        <v>0</v>
      </c>
      <c r="R614" s="123" t="n">
        <f aca="false">IF($D614=1,R$197,IF($D614=2,R$200,IF($D614=3,R$202,IF($D614=4,R$204,IF($D614=5,R$206,R$197)))))</f>
        <v>0</v>
      </c>
      <c r="S614" s="123" t="n">
        <f aca="false">IF($D614=1,S$197,IF($D614=2,S$200,IF($D614=3,S$202,IF($D614=4,S$204,IF($D614=5,S$206,S$197)))))</f>
        <v>0</v>
      </c>
      <c r="T614" s="123" t="n">
        <f aca="false">IF($D614=1,T$197,IF($D614=2,T$200,IF($D614=3,T$202,IF($D614=4,T$204,IF($D614=5,T$206,T$197)))))</f>
        <v>0</v>
      </c>
      <c r="U614" s="123" t="n">
        <f aca="false">IF($D614=1,U$197,IF($D614=2,U$200,IF($D614=3,U$202,IF($D614=4,U$204,IF($D614=5,U$206,U$197)))))</f>
        <v>0</v>
      </c>
      <c r="V614" s="123" t="n">
        <f aca="false">IF($D614=1,V$197,IF($D614=2,V$200,IF($D614=3,V$202,IF($D614=4,V$204,IF($D614=5,V$206,V$197)))))</f>
        <v>0</v>
      </c>
      <c r="W614" s="123" t="n">
        <f aca="false">IF($D614=1,W$197,IF($D614=2,W$200,IF($D614=3,W$202,IF($D614=4,W$204,IF($D614=5,W$206,W$197)))))</f>
        <v>0</v>
      </c>
      <c r="X614" s="123" t="n">
        <f aca="false">IF($D614=1,X$197,IF($D614=2,X$200,IF($D614=3,X$202,IF($D614=4,X$204,IF($D614=5,X$206,X$197)))))</f>
        <v>0</v>
      </c>
      <c r="Y614" s="123" t="n">
        <f aca="false">IF($D614=1,Y$197,IF($D614=2,Y$200,IF($D614=3,Y$202,IF($D614=4,Y$204,IF($D614=5,Y$206,Y$197)))))</f>
        <v>0</v>
      </c>
      <c r="Z614" s="123" t="n">
        <f aca="false">IF($D614=1,Z$197,IF($D614=2,Z$200,IF($D614=3,Z$202,IF($D614=4,Z$204,IF($D614=5,Z$206,Z$197)))))</f>
        <v>0</v>
      </c>
      <c r="AA614" s="123" t="n">
        <f aca="false">IF($D614=1,AA$197,IF($D614=2,AA$200,IF($D614=3,AA$202,IF($D614=4,AA$204,IF($D614=5,AA$206,AA$197)))))</f>
        <v>0</v>
      </c>
      <c r="AB614" s="123" t="n">
        <f aca="false">IF($D614=1,AB$197,IF($D614=2,AB$200,IF($D614=3,AB$202,IF($D614=4,AB$204,IF($D614=5,AB$206,AB$197)))))</f>
        <v>0</v>
      </c>
      <c r="AC614" s="123" t="n">
        <f aca="false">IF($D614=1,AC$197,IF($D614=2,AC$200,IF($D614=3,AC$202,IF($D614=4,AC$204,IF($D614=5,AC$206,AC$197)))))</f>
        <v>0</v>
      </c>
    </row>
    <row r="615" customFormat="false" ht="11.25" hidden="false" customHeight="false" outlineLevel="0" collapsed="false">
      <c r="A615" s="109"/>
      <c r="B615" s="43" t="s">
        <v>179</v>
      </c>
      <c r="D615" s="35"/>
      <c r="E615" s="124"/>
      <c r="F615" s="124"/>
      <c r="G615" s="124"/>
      <c r="H615" s="125"/>
      <c r="I615" s="264" t="n">
        <v>0</v>
      </c>
      <c r="J615" s="264" t="n">
        <v>0</v>
      </c>
      <c r="K615" s="264" t="n">
        <v>0</v>
      </c>
      <c r="L615" s="264" t="n">
        <v>0</v>
      </c>
      <c r="M615" s="264" t="n">
        <v>0</v>
      </c>
      <c r="N615" s="264" t="n">
        <v>0</v>
      </c>
      <c r="O615" s="264" t="n">
        <v>0</v>
      </c>
      <c r="P615" s="264" t="n">
        <v>0</v>
      </c>
      <c r="Q615" s="264" t="n">
        <v>0</v>
      </c>
      <c r="R615" s="264" t="n">
        <v>0</v>
      </c>
      <c r="S615" s="264" t="n">
        <v>0</v>
      </c>
      <c r="T615" s="264" t="n">
        <v>0</v>
      </c>
      <c r="U615" s="264" t="n">
        <v>0</v>
      </c>
      <c r="V615" s="264" t="n">
        <v>0</v>
      </c>
      <c r="W615" s="264" t="n">
        <v>0</v>
      </c>
      <c r="X615" s="264" t="n">
        <v>0</v>
      </c>
      <c r="Y615" s="264" t="n">
        <v>0</v>
      </c>
      <c r="Z615" s="264" t="n">
        <v>0</v>
      </c>
      <c r="AA615" s="264" t="n">
        <v>0</v>
      </c>
      <c r="AB615" s="264" t="n">
        <v>0</v>
      </c>
      <c r="AC615" s="264" t="n">
        <v>0</v>
      </c>
    </row>
    <row r="616" customFormat="false" ht="11.25" hidden="false" customHeight="false" outlineLevel="0" collapsed="false">
      <c r="A616" s="109"/>
      <c r="B616" s="43" t="s">
        <v>190</v>
      </c>
      <c r="D616" s="35"/>
      <c r="I616" s="267" t="n">
        <f aca="false">+I614+I615</f>
        <v>0</v>
      </c>
      <c r="J616" s="267" t="n">
        <f aca="false">+J614+J615</f>
        <v>0</v>
      </c>
      <c r="K616" s="267" t="n">
        <f aca="false">+K614+K615</f>
        <v>0</v>
      </c>
      <c r="L616" s="267" t="n">
        <f aca="false">+L614+L615</f>
        <v>0</v>
      </c>
      <c r="M616" s="267" t="n">
        <f aca="false">+M614+M615</f>
        <v>0</v>
      </c>
      <c r="N616" s="267" t="n">
        <f aca="false">+N614+N615</f>
        <v>0</v>
      </c>
      <c r="O616" s="267" t="n">
        <f aca="false">+O614+O615</f>
        <v>0</v>
      </c>
      <c r="P616" s="267" t="n">
        <f aca="false">+P614+P615</f>
        <v>0</v>
      </c>
      <c r="Q616" s="267" t="n">
        <f aca="false">+Q614+Q615</f>
        <v>0</v>
      </c>
      <c r="R616" s="267" t="n">
        <f aca="false">+R614+R615</f>
        <v>0</v>
      </c>
      <c r="S616" s="267" t="n">
        <f aca="false">+S614+S615</f>
        <v>0</v>
      </c>
      <c r="T616" s="267" t="n">
        <f aca="false">+T614+T615</f>
        <v>0</v>
      </c>
      <c r="U616" s="267" t="n">
        <f aca="false">+U614+U615</f>
        <v>0</v>
      </c>
      <c r="V616" s="267" t="n">
        <f aca="false">+V614+V615</f>
        <v>0</v>
      </c>
      <c r="W616" s="267" t="n">
        <f aca="false">+W614+W615</f>
        <v>0</v>
      </c>
      <c r="X616" s="267" t="n">
        <f aca="false">+X614+X615</f>
        <v>0</v>
      </c>
      <c r="Y616" s="267" t="n">
        <f aca="false">+Y614+Y615</f>
        <v>0</v>
      </c>
      <c r="Z616" s="267" t="n">
        <f aca="false">+Z614+Z615</f>
        <v>0</v>
      </c>
      <c r="AA616" s="267" t="n">
        <f aca="false">+AA614+AA615</f>
        <v>0</v>
      </c>
      <c r="AB616" s="267" t="n">
        <f aca="false">+AB614+AB615</f>
        <v>0</v>
      </c>
      <c r="AC616" s="267" t="n">
        <f aca="false">+AC614+AC615</f>
        <v>0</v>
      </c>
    </row>
    <row r="617" customFormat="false" ht="11.25" hidden="false" customHeight="false" outlineLevel="0" collapsed="false">
      <c r="A617" s="109"/>
      <c r="B617" s="35" t="str">
        <f aca="false">+"Gas Revenues ($"&amp;$F$5</f>
        <v>Gas Revenues ($Thousands)</v>
      </c>
      <c r="D617" s="35"/>
      <c r="I617" s="116" t="n">
        <f aca="false">I612*1000*I616/unit</f>
        <v>0</v>
      </c>
      <c r="J617" s="116" t="n">
        <f aca="false">J612*1000*J616/unit</f>
        <v>0</v>
      </c>
      <c r="K617" s="116" t="n">
        <f aca="false">K612*1000*K616/unit</f>
        <v>0</v>
      </c>
      <c r="L617" s="116" t="n">
        <f aca="false">L612*1000*L616/unit</f>
        <v>0</v>
      </c>
      <c r="M617" s="116" t="n">
        <f aca="false">M612*1000*M616/unit</f>
        <v>0</v>
      </c>
      <c r="N617" s="116" t="n">
        <f aca="false">N612*1000*N616/unit</f>
        <v>0</v>
      </c>
      <c r="O617" s="116" t="n">
        <f aca="false">O612*1000*O616/unit</f>
        <v>0</v>
      </c>
      <c r="P617" s="116" t="n">
        <f aca="false">P612*1000*P616/unit</f>
        <v>0</v>
      </c>
      <c r="Q617" s="116" t="n">
        <f aca="false">Q612*1000*Q616/unit</f>
        <v>0</v>
      </c>
      <c r="R617" s="116" t="n">
        <f aca="false">R612*1000*R616/unit</f>
        <v>0</v>
      </c>
      <c r="S617" s="116" t="n">
        <f aca="false">S612*1000*S616/unit</f>
        <v>0</v>
      </c>
      <c r="T617" s="116" t="n">
        <f aca="false">T612*1000*T616/unit</f>
        <v>0</v>
      </c>
      <c r="U617" s="116" t="n">
        <f aca="false">U612*1000*U616/unit</f>
        <v>0</v>
      </c>
      <c r="V617" s="116" t="n">
        <f aca="false">V612*1000*V616/unit</f>
        <v>0</v>
      </c>
      <c r="W617" s="116" t="n">
        <f aca="false">W612*1000*W616/unit</f>
        <v>0</v>
      </c>
      <c r="X617" s="116" t="n">
        <f aca="false">X612*1000*X616/unit</f>
        <v>0</v>
      </c>
      <c r="Y617" s="116" t="n">
        <f aca="false">Y612*1000*Y616/unit</f>
        <v>0</v>
      </c>
      <c r="Z617" s="116" t="n">
        <f aca="false">Z612*1000*Z616/unit</f>
        <v>0</v>
      </c>
      <c r="AA617" s="116" t="n">
        <f aca="false">AA612*1000*AA616/unit</f>
        <v>0</v>
      </c>
      <c r="AB617" s="116" t="n">
        <f aca="false">AB612*1000*AB616/unit</f>
        <v>0</v>
      </c>
      <c r="AC617" s="116" t="n">
        <f aca="false">AC612*1000*AC616/unit</f>
        <v>0</v>
      </c>
    </row>
    <row r="618" customFormat="false" ht="11.25" hidden="false" customHeight="false" outlineLevel="0" collapsed="false">
      <c r="A618" s="109"/>
      <c r="B618" s="35"/>
      <c r="D618" s="35"/>
      <c r="E618" s="110"/>
      <c r="F618" s="110"/>
      <c r="G618" s="110"/>
      <c r="H618" s="111"/>
      <c r="I618" s="258"/>
      <c r="J618" s="258"/>
      <c r="K618" s="258"/>
      <c r="L618" s="258"/>
      <c r="M618" s="258"/>
      <c r="N618" s="258"/>
      <c r="O618" s="258"/>
      <c r="P618" s="258"/>
      <c r="Q618" s="258"/>
      <c r="R618" s="258"/>
      <c r="S618" s="258"/>
      <c r="T618" s="258"/>
      <c r="U618" s="258"/>
      <c r="V618" s="258"/>
      <c r="W618" s="258"/>
      <c r="X618" s="258"/>
      <c r="Y618" s="268"/>
      <c r="Z618" s="268"/>
      <c r="AA618" s="268"/>
      <c r="AB618" s="268"/>
      <c r="AC618" s="268"/>
    </row>
    <row r="619" customFormat="false" ht="11.25" hidden="false" customHeight="false" outlineLevel="0" collapsed="false">
      <c r="A619" s="109" t="s">
        <v>524</v>
      </c>
      <c r="B619" s="35" t="s">
        <v>525</v>
      </c>
      <c r="D619" s="35"/>
      <c r="E619" s="110"/>
      <c r="F619" s="110"/>
      <c r="G619" s="110"/>
      <c r="H619" s="111"/>
      <c r="I619" s="141" t="n">
        <v>0</v>
      </c>
      <c r="J619" s="141" t="n">
        <v>0</v>
      </c>
      <c r="K619" s="141" t="n">
        <v>0</v>
      </c>
      <c r="L619" s="141" t="n">
        <v>0</v>
      </c>
      <c r="M619" s="141" t="n">
        <v>0</v>
      </c>
      <c r="N619" s="141" t="n">
        <v>0</v>
      </c>
      <c r="O619" s="141" t="n">
        <v>0</v>
      </c>
      <c r="P619" s="141" t="n">
        <v>0</v>
      </c>
      <c r="Q619" s="141" t="n">
        <v>0</v>
      </c>
      <c r="R619" s="141" t="n">
        <v>0</v>
      </c>
      <c r="S619" s="141" t="n">
        <v>0</v>
      </c>
      <c r="T619" s="141" t="n">
        <v>0</v>
      </c>
      <c r="U619" s="141" t="n">
        <v>0</v>
      </c>
      <c r="V619" s="141" t="n">
        <v>0</v>
      </c>
      <c r="W619" s="141" t="n">
        <v>0</v>
      </c>
      <c r="X619" s="141" t="n">
        <v>0</v>
      </c>
      <c r="Y619" s="141" t="n">
        <v>0</v>
      </c>
      <c r="Z619" s="141" t="n">
        <v>0</v>
      </c>
      <c r="AA619" s="141" t="n">
        <v>0</v>
      </c>
      <c r="AB619" s="141" t="n">
        <v>0</v>
      </c>
      <c r="AC619" s="141" t="n">
        <v>0</v>
      </c>
    </row>
    <row r="620" customFormat="false" ht="11.25" hidden="false" customHeight="false" outlineLevel="0" collapsed="false">
      <c r="A620" s="109"/>
      <c r="B620" s="43" t="s">
        <v>517</v>
      </c>
      <c r="D620" s="35"/>
      <c r="E620" s="110"/>
      <c r="F620" s="110"/>
      <c r="G620" s="110"/>
      <c r="H620" s="111"/>
      <c r="I620" s="26" t="n">
        <v>1</v>
      </c>
      <c r="J620" s="26" t="n">
        <f aca="false">I620</f>
        <v>1</v>
      </c>
      <c r="K620" s="26" t="n">
        <f aca="false">J620</f>
        <v>1</v>
      </c>
      <c r="L620" s="26" t="n">
        <f aca="false">K620</f>
        <v>1</v>
      </c>
      <c r="M620" s="26" t="n">
        <f aca="false">L620</f>
        <v>1</v>
      </c>
      <c r="N620" s="26" t="n">
        <f aca="false">M620</f>
        <v>1</v>
      </c>
      <c r="O620" s="26" t="n">
        <f aca="false">N620</f>
        <v>1</v>
      </c>
      <c r="P620" s="26" t="n">
        <f aca="false">O620</f>
        <v>1</v>
      </c>
      <c r="Q620" s="26" t="n">
        <f aca="false">P620</f>
        <v>1</v>
      </c>
      <c r="R620" s="26" t="n">
        <f aca="false">Q620</f>
        <v>1</v>
      </c>
      <c r="S620" s="26" t="n">
        <f aca="false">R620</f>
        <v>1</v>
      </c>
      <c r="T620" s="26" t="n">
        <f aca="false">S620</f>
        <v>1</v>
      </c>
      <c r="U620" s="26" t="n">
        <f aca="false">T620</f>
        <v>1</v>
      </c>
      <c r="V620" s="26" t="n">
        <f aca="false">U620</f>
        <v>1</v>
      </c>
      <c r="W620" s="26" t="n">
        <f aca="false">V620</f>
        <v>1</v>
      </c>
      <c r="X620" s="26" t="n">
        <f aca="false">W620</f>
        <v>1</v>
      </c>
      <c r="Y620" s="26" t="n">
        <f aca="false">X620</f>
        <v>1</v>
      </c>
      <c r="Z620" s="26" t="n">
        <f aca="false">Y620</f>
        <v>1</v>
      </c>
      <c r="AA620" s="26" t="n">
        <f aca="false">Z620</f>
        <v>1</v>
      </c>
      <c r="AB620" s="26" t="n">
        <f aca="false">AA620</f>
        <v>1</v>
      </c>
      <c r="AC620" s="26" t="n">
        <f aca="false">AB620</f>
        <v>1</v>
      </c>
    </row>
    <row r="621" customFormat="false" ht="11.25" hidden="false" customHeight="false" outlineLevel="0" collapsed="false">
      <c r="B621" s="43" t="s">
        <v>526</v>
      </c>
      <c r="D621" s="35"/>
      <c r="E621" s="128"/>
      <c r="F621" s="128"/>
      <c r="G621" s="128"/>
      <c r="H621" s="258"/>
      <c r="I621" s="120" t="n">
        <f aca="false">+I619*I620</f>
        <v>0</v>
      </c>
      <c r="J621" s="120" t="n">
        <f aca="false">+J619*J620</f>
        <v>0</v>
      </c>
      <c r="K621" s="120" t="n">
        <f aca="false">+K619*K620</f>
        <v>0</v>
      </c>
      <c r="L621" s="120" t="n">
        <f aca="false">+L619*L620</f>
        <v>0</v>
      </c>
      <c r="M621" s="120" t="n">
        <f aca="false">+M619*M620</f>
        <v>0</v>
      </c>
      <c r="N621" s="120" t="n">
        <f aca="false">+N619*N620</f>
        <v>0</v>
      </c>
      <c r="O621" s="120" t="n">
        <f aca="false">+O619*O620</f>
        <v>0</v>
      </c>
      <c r="P621" s="120" t="n">
        <f aca="false">+P619*P620</f>
        <v>0</v>
      </c>
      <c r="Q621" s="120" t="n">
        <f aca="false">+Q619*Q620</f>
        <v>0</v>
      </c>
      <c r="R621" s="120" t="n">
        <f aca="false">+R619*R620</f>
        <v>0</v>
      </c>
      <c r="S621" s="120" t="n">
        <f aca="false">+S619*S620</f>
        <v>0</v>
      </c>
      <c r="T621" s="120" t="n">
        <f aca="false">+T619*T620</f>
        <v>0</v>
      </c>
      <c r="U621" s="120" t="n">
        <f aca="false">+U619*U620</f>
        <v>0</v>
      </c>
      <c r="V621" s="120" t="n">
        <f aca="false">+V619*V620</f>
        <v>0</v>
      </c>
      <c r="W621" s="120" t="n">
        <f aca="false">+W619*W620</f>
        <v>0</v>
      </c>
      <c r="X621" s="120" t="n">
        <f aca="false">+X619*X620</f>
        <v>0</v>
      </c>
      <c r="Y621" s="120" t="n">
        <f aca="false">+Y619*Y620</f>
        <v>0</v>
      </c>
      <c r="Z621" s="120" t="n">
        <f aca="false">+Z619*Z620</f>
        <v>0</v>
      </c>
      <c r="AA621" s="120" t="n">
        <f aca="false">+AA619*AA620</f>
        <v>0</v>
      </c>
      <c r="AB621" s="120" t="n">
        <f aca="false">+AB619*AB620</f>
        <v>0</v>
      </c>
      <c r="AC621" s="120" t="n">
        <f aca="false">+AC619*AC620</f>
        <v>0</v>
      </c>
    </row>
    <row r="622" customFormat="false" ht="11.25" hidden="false" customHeight="false" outlineLevel="0" collapsed="false">
      <c r="A622" s="109"/>
      <c r="B622" s="35" t="s">
        <v>176</v>
      </c>
      <c r="D622" s="35"/>
      <c r="E622" s="128"/>
      <c r="F622" s="128"/>
      <c r="G622" s="128"/>
      <c r="H622" s="258"/>
      <c r="I622" s="26" t="n">
        <v>1</v>
      </c>
      <c r="J622" s="26" t="n">
        <f aca="false">I622</f>
        <v>1</v>
      </c>
      <c r="K622" s="26" t="n">
        <f aca="false">J622</f>
        <v>1</v>
      </c>
      <c r="L622" s="26" t="n">
        <f aca="false">K622</f>
        <v>1</v>
      </c>
      <c r="M622" s="26" t="n">
        <f aca="false">L622</f>
        <v>1</v>
      </c>
      <c r="N622" s="26" t="n">
        <f aca="false">M622</f>
        <v>1</v>
      </c>
      <c r="O622" s="26" t="n">
        <f aca="false">N622</f>
        <v>1</v>
      </c>
      <c r="P622" s="26" t="n">
        <f aca="false">O622</f>
        <v>1</v>
      </c>
      <c r="Q622" s="26" t="n">
        <f aca="false">P622</f>
        <v>1</v>
      </c>
      <c r="R622" s="26" t="n">
        <f aca="false">Q622</f>
        <v>1</v>
      </c>
      <c r="S622" s="26" t="n">
        <f aca="false">R622</f>
        <v>1</v>
      </c>
      <c r="T622" s="26" t="n">
        <f aca="false">S622</f>
        <v>1</v>
      </c>
      <c r="U622" s="26" t="n">
        <f aca="false">T622</f>
        <v>1</v>
      </c>
      <c r="V622" s="26" t="n">
        <f aca="false">U622</f>
        <v>1</v>
      </c>
      <c r="W622" s="26" t="n">
        <f aca="false">V622</f>
        <v>1</v>
      </c>
      <c r="X622" s="26" t="n">
        <f aca="false">W622</f>
        <v>1</v>
      </c>
      <c r="Y622" s="26" t="n">
        <f aca="false">X622</f>
        <v>1</v>
      </c>
      <c r="Z622" s="26" t="n">
        <f aca="false">Y622</f>
        <v>1</v>
      </c>
      <c r="AA622" s="26" t="n">
        <f aca="false">Z622</f>
        <v>1</v>
      </c>
      <c r="AB622" s="26" t="n">
        <f aca="false">AA622</f>
        <v>1</v>
      </c>
      <c r="AC622" s="26" t="n">
        <f aca="false">AB622</f>
        <v>1</v>
      </c>
    </row>
    <row r="623" customFormat="false" ht="11.25" hidden="false" customHeight="false" outlineLevel="0" collapsed="false">
      <c r="B623" s="43" t="s">
        <v>527</v>
      </c>
      <c r="D623" s="35"/>
      <c r="H623" s="12"/>
      <c r="I623" s="120" t="n">
        <f aca="false">+I621*I622</f>
        <v>0</v>
      </c>
      <c r="J623" s="120" t="n">
        <f aca="false">+J621*J622</f>
        <v>0</v>
      </c>
      <c r="K623" s="120" t="n">
        <f aca="false">+K621*K622</f>
        <v>0</v>
      </c>
      <c r="L623" s="120" t="n">
        <f aca="false">+L621*L622</f>
        <v>0</v>
      </c>
      <c r="M623" s="120" t="n">
        <f aca="false">+M621*M622</f>
        <v>0</v>
      </c>
      <c r="N623" s="120" t="n">
        <f aca="false">+N621*N622</f>
        <v>0</v>
      </c>
      <c r="O623" s="120" t="n">
        <f aca="false">+O621*O622</f>
        <v>0</v>
      </c>
      <c r="P623" s="120" t="n">
        <f aca="false">+P621*P622</f>
        <v>0</v>
      </c>
      <c r="Q623" s="120" t="n">
        <f aca="false">+Q621*Q622</f>
        <v>0</v>
      </c>
      <c r="R623" s="120" t="n">
        <f aca="false">+R621*R622</f>
        <v>0</v>
      </c>
      <c r="S623" s="120" t="n">
        <f aca="false">+S621*S622</f>
        <v>0</v>
      </c>
      <c r="T623" s="120" t="n">
        <f aca="false">+T621*T622</f>
        <v>0</v>
      </c>
      <c r="U623" s="120" t="n">
        <f aca="false">+U621*U622</f>
        <v>0</v>
      </c>
      <c r="V623" s="120" t="n">
        <f aca="false">+V621*V622</f>
        <v>0</v>
      </c>
      <c r="W623" s="120" t="n">
        <f aca="false">+W621*W622</f>
        <v>0</v>
      </c>
      <c r="X623" s="120" t="n">
        <f aca="false">+X621*X622</f>
        <v>0</v>
      </c>
      <c r="Y623" s="120" t="n">
        <f aca="false">+Y621*Y622</f>
        <v>0</v>
      </c>
      <c r="Z623" s="120" t="n">
        <f aca="false">+Z621*Z622</f>
        <v>0</v>
      </c>
      <c r="AA623" s="120" t="n">
        <f aca="false">+AA621*AA622</f>
        <v>0</v>
      </c>
      <c r="AB623" s="120" t="n">
        <f aca="false">+AB621*AB622</f>
        <v>0</v>
      </c>
      <c r="AC623" s="120" t="n">
        <f aca="false">+AC621*AC622</f>
        <v>0</v>
      </c>
    </row>
    <row r="624" customFormat="false" ht="11.25" hidden="false" customHeight="false" outlineLevel="0" collapsed="false">
      <c r="D624" s="35"/>
    </row>
    <row r="625" customFormat="false" ht="11.25" hidden="false" customHeight="false" outlineLevel="0" collapsed="false">
      <c r="A625" s="4"/>
      <c r="B625" s="43" t="s">
        <v>528</v>
      </c>
      <c r="D625" s="102" t="n">
        <v>1</v>
      </c>
      <c r="I625" s="112" t="n">
        <f aca="false">IF($D625=1,I$227,IF($D625=2,I$230,IF($D625=3,I$232,IF($D625=4,I$234,IF($D625=5,I$236,I$227)))))</f>
        <v>0</v>
      </c>
      <c r="J625" s="112" t="n">
        <f aca="false">IF($D625=1,J$227,IF($D625=2,J$230,IF($D625=3,J$232,IF($D625=4,J$234,IF($D625=5,J$236,J$227)))))</f>
        <v>0</v>
      </c>
      <c r="K625" s="112" t="n">
        <f aca="false">IF($D625=1,K$227,IF($D625=2,K$230,IF($D625=3,K$232,IF($D625=4,K$234,IF($D625=5,K$236,K$227)))))</f>
        <v>0</v>
      </c>
      <c r="L625" s="112" t="n">
        <f aca="false">IF($D625=1,L$227,IF($D625=2,L$230,IF($D625=3,L$232,IF($D625=4,L$234,IF($D625=5,L$236,L$227)))))</f>
        <v>0</v>
      </c>
      <c r="M625" s="112" t="n">
        <f aca="false">IF($D625=1,M$227,IF($D625=2,M$230,IF($D625=3,M$232,IF($D625=4,M$234,IF($D625=5,M$236,M$227)))))</f>
        <v>0</v>
      </c>
      <c r="N625" s="112" t="n">
        <f aca="false">IF($D625=1,N$227,IF($D625=2,N$230,IF($D625=3,N$232,IF($D625=4,N$234,IF($D625=5,N$236,N$227)))))</f>
        <v>0</v>
      </c>
      <c r="O625" s="112" t="n">
        <f aca="false">IF($D625=1,O$227,IF($D625=2,O$230,IF($D625=3,O$232,IF($D625=4,O$234,IF($D625=5,O$236,O$227)))))</f>
        <v>0</v>
      </c>
      <c r="P625" s="112" t="n">
        <f aca="false">IF($D625=1,P$227,IF($D625=2,P$230,IF($D625=3,P$232,IF($D625=4,P$234,IF($D625=5,P$236,P$227)))))</f>
        <v>0</v>
      </c>
      <c r="Q625" s="112" t="n">
        <f aca="false">IF($D625=1,Q$227,IF($D625=2,Q$230,IF($D625=3,Q$232,IF($D625=4,Q$234,IF($D625=5,Q$236,Q$227)))))</f>
        <v>0</v>
      </c>
      <c r="R625" s="112" t="n">
        <f aca="false">IF($D625=1,R$227,IF($D625=2,R$230,IF($D625=3,R$232,IF($D625=4,R$234,IF($D625=5,R$236,R$227)))))</f>
        <v>0</v>
      </c>
      <c r="S625" s="112" t="n">
        <f aca="false">IF($D625=1,S$227,IF($D625=2,S$230,IF($D625=3,S$232,IF($D625=4,S$234,IF($D625=5,S$236,S$227)))))</f>
        <v>0</v>
      </c>
      <c r="T625" s="112" t="n">
        <f aca="false">IF($D625=1,T$227,IF($D625=2,T$230,IF($D625=3,T$232,IF($D625=4,T$234,IF($D625=5,T$236,T$227)))))</f>
        <v>0</v>
      </c>
      <c r="U625" s="112" t="n">
        <f aca="false">IF($D625=1,U$227,IF($D625=2,U$230,IF($D625=3,U$232,IF($D625=4,U$234,IF($D625=5,U$236,U$227)))))</f>
        <v>0</v>
      </c>
      <c r="V625" s="112" t="n">
        <f aca="false">IF($D625=1,V$227,IF($D625=2,V$230,IF($D625=3,V$232,IF($D625=4,V$234,IF($D625=5,V$236,V$227)))))</f>
        <v>0</v>
      </c>
      <c r="W625" s="112" t="n">
        <f aca="false">IF($D625=1,W$227,IF($D625=2,W$230,IF($D625=3,W$232,IF($D625=4,W$234,IF($D625=5,W$236,W$227)))))</f>
        <v>0</v>
      </c>
      <c r="X625" s="112" t="n">
        <f aca="false">IF($D625=1,X$227,IF($D625=2,X$230,IF($D625=3,X$232,IF($D625=4,X$234,IF($D625=5,X$236,X$227)))))</f>
        <v>0</v>
      </c>
      <c r="Y625" s="112" t="n">
        <f aca="false">IF($D625=1,Y$227,IF($D625=2,Y$230,IF($D625=3,Y$232,IF($D625=4,Y$234,IF($D625=5,Y$236,Y$227)))))</f>
        <v>0</v>
      </c>
      <c r="Z625" s="112" t="n">
        <f aca="false">IF($D625=1,Z$227,IF($D625=2,Z$230,IF($D625=3,Z$232,IF($D625=4,Z$234,IF($D625=5,Z$236,Z$227)))))</f>
        <v>0</v>
      </c>
      <c r="AA625" s="112" t="n">
        <f aca="false">IF($D625=1,AA$227,IF($D625=2,AA$230,IF($D625=3,AA$232,IF($D625=4,AA$234,IF($D625=5,AA$236,AA$227)))))</f>
        <v>0</v>
      </c>
      <c r="AB625" s="112" t="n">
        <f aca="false">IF($D625=1,AB$227,IF($D625=2,AB$230,IF($D625=3,AB$232,IF($D625=4,AB$234,IF($D625=5,AB$236,AB$227)))))</f>
        <v>0</v>
      </c>
      <c r="AC625" s="112" t="n">
        <f aca="false">IF($D625=1,AC$227,IF($D625=2,AC$230,IF($D625=3,AC$232,IF($D625=4,AC$234,IF($D625=5,AC$236,AC$227)))))</f>
        <v>0</v>
      </c>
    </row>
    <row r="626" customFormat="false" ht="11.25" hidden="false" customHeight="false" outlineLevel="0" collapsed="false">
      <c r="A626" s="4"/>
      <c r="B626" s="43" t="s">
        <v>179</v>
      </c>
      <c r="D626" s="35"/>
      <c r="I626" s="99" t="n">
        <v>0</v>
      </c>
      <c r="J626" s="99" t="n">
        <v>0</v>
      </c>
      <c r="K626" s="99" t="n">
        <v>0</v>
      </c>
      <c r="L626" s="99" t="n">
        <v>0</v>
      </c>
      <c r="M626" s="99" t="n">
        <v>0</v>
      </c>
      <c r="N626" s="99" t="n">
        <v>0</v>
      </c>
      <c r="O626" s="99" t="n">
        <v>0</v>
      </c>
      <c r="P626" s="99" t="n">
        <v>0</v>
      </c>
      <c r="Q626" s="99" t="n">
        <v>0</v>
      </c>
      <c r="R626" s="99" t="n">
        <v>0</v>
      </c>
      <c r="S626" s="99" t="n">
        <v>0</v>
      </c>
      <c r="T626" s="99" t="n">
        <v>0</v>
      </c>
      <c r="U626" s="99" t="n">
        <v>0</v>
      </c>
      <c r="V626" s="99" t="n">
        <v>0</v>
      </c>
      <c r="W626" s="99" t="n">
        <v>0</v>
      </c>
      <c r="X626" s="99" t="n">
        <v>0</v>
      </c>
      <c r="Y626" s="99" t="n">
        <v>0</v>
      </c>
      <c r="Z626" s="99" t="n">
        <v>0</v>
      </c>
      <c r="AA626" s="99" t="n">
        <v>0</v>
      </c>
      <c r="AB626" s="99" t="n">
        <v>0</v>
      </c>
      <c r="AC626" s="99" t="n">
        <v>0</v>
      </c>
    </row>
    <row r="627" customFormat="false" ht="11.25" hidden="false" customHeight="false" outlineLevel="0" collapsed="false">
      <c r="A627" s="4"/>
      <c r="B627" s="43" t="s">
        <v>529</v>
      </c>
      <c r="D627" s="35"/>
      <c r="I627" s="257" t="n">
        <f aca="false">+I625+I626</f>
        <v>0</v>
      </c>
      <c r="J627" s="257" t="n">
        <f aca="false">+J625+J626</f>
        <v>0</v>
      </c>
      <c r="K627" s="257" t="n">
        <f aca="false">+K625+K626</f>
        <v>0</v>
      </c>
      <c r="L627" s="257" t="n">
        <f aca="false">+L625+L626</f>
        <v>0</v>
      </c>
      <c r="M627" s="257" t="n">
        <f aca="false">+M625+M626</f>
        <v>0</v>
      </c>
      <c r="N627" s="257" t="n">
        <f aca="false">+N625+N626</f>
        <v>0</v>
      </c>
      <c r="O627" s="257" t="n">
        <f aca="false">+O625+O626</f>
        <v>0</v>
      </c>
      <c r="P627" s="257" t="n">
        <f aca="false">+P625+P626</f>
        <v>0</v>
      </c>
      <c r="Q627" s="257" t="n">
        <f aca="false">+Q625+Q626</f>
        <v>0</v>
      </c>
      <c r="R627" s="257" t="n">
        <f aca="false">+R625+R626</f>
        <v>0</v>
      </c>
      <c r="S627" s="257" t="n">
        <f aca="false">+S625+S626</f>
        <v>0</v>
      </c>
      <c r="T627" s="257" t="n">
        <f aca="false">+T625+T626</f>
        <v>0</v>
      </c>
      <c r="U627" s="257" t="n">
        <f aca="false">+U625+U626</f>
        <v>0</v>
      </c>
      <c r="V627" s="257" t="n">
        <f aca="false">+V625+V626</f>
        <v>0</v>
      </c>
      <c r="W627" s="257" t="n">
        <f aca="false">+W625+W626</f>
        <v>0</v>
      </c>
      <c r="X627" s="257" t="n">
        <f aca="false">+X625+X626</f>
        <v>0</v>
      </c>
      <c r="Y627" s="257" t="n">
        <f aca="false">+Y625+Y626</f>
        <v>0</v>
      </c>
      <c r="Z627" s="257" t="n">
        <f aca="false">+Z625+Z626</f>
        <v>0</v>
      </c>
      <c r="AA627" s="257" t="n">
        <f aca="false">+AA625+AA626</f>
        <v>0</v>
      </c>
      <c r="AB627" s="257" t="n">
        <f aca="false">+AB625+AB626</f>
        <v>0</v>
      </c>
      <c r="AC627" s="257" t="n">
        <f aca="false">+AC625+AC626</f>
        <v>0</v>
      </c>
    </row>
    <row r="628" customFormat="false" ht="11.25" hidden="false" customHeight="false" outlineLevel="0" collapsed="false">
      <c r="A628" s="4"/>
      <c r="B628" s="35" t="s">
        <v>536</v>
      </c>
      <c r="D628" s="35"/>
      <c r="I628" s="116" t="n">
        <f aca="false">I623*I627*1000/unit</f>
        <v>0</v>
      </c>
      <c r="J628" s="116" t="n">
        <f aca="false">J623*J627*1000/unit</f>
        <v>0</v>
      </c>
      <c r="K628" s="116" t="n">
        <f aca="false">K623*K627*1000/unit</f>
        <v>0</v>
      </c>
      <c r="L628" s="116" t="n">
        <f aca="false">L623*L627*1000/unit</f>
        <v>0</v>
      </c>
      <c r="M628" s="116" t="n">
        <f aca="false">M623*M627*1000/unit</f>
        <v>0</v>
      </c>
      <c r="N628" s="116" t="n">
        <f aca="false">N623*N627*1000/unit</f>
        <v>0</v>
      </c>
      <c r="O628" s="116" t="n">
        <f aca="false">O623*O627*1000/unit</f>
        <v>0</v>
      </c>
      <c r="P628" s="116" t="n">
        <f aca="false">P623*P627*1000/unit</f>
        <v>0</v>
      </c>
      <c r="Q628" s="116" t="n">
        <f aca="false">Q623*Q627*1000/unit</f>
        <v>0</v>
      </c>
      <c r="R628" s="116" t="n">
        <f aca="false">R623*R627*1000/unit</f>
        <v>0</v>
      </c>
      <c r="S628" s="116" t="n">
        <f aca="false">S623*S627*1000/unit</f>
        <v>0</v>
      </c>
      <c r="T628" s="116" t="n">
        <f aca="false">T623*T627*1000/unit</f>
        <v>0</v>
      </c>
      <c r="U628" s="116" t="n">
        <f aca="false">U623*U627*1000/unit</f>
        <v>0</v>
      </c>
      <c r="V628" s="116" t="n">
        <f aca="false">V623*V627*1000/unit</f>
        <v>0</v>
      </c>
      <c r="W628" s="116" t="n">
        <f aca="false">W623*W627*1000/unit</f>
        <v>0</v>
      </c>
      <c r="X628" s="116" t="n">
        <f aca="false">X623*X627*1000/unit</f>
        <v>0</v>
      </c>
      <c r="Y628" s="116" t="n">
        <f aca="false">Y623*Y627*1000/unit</f>
        <v>0</v>
      </c>
      <c r="Z628" s="116" t="n">
        <f aca="false">Z623*Z627*1000/unit</f>
        <v>0</v>
      </c>
      <c r="AA628" s="116" t="n">
        <f aca="false">AA623*AA627*1000/unit</f>
        <v>0</v>
      </c>
      <c r="AB628" s="116" t="n">
        <f aca="false">AB623*AB627*1000/unit</f>
        <v>0</v>
      </c>
      <c r="AC628" s="116" t="n">
        <f aca="false">AC623*AC627*1000/unit</f>
        <v>0</v>
      </c>
    </row>
    <row r="629" customFormat="false" ht="11.25" hidden="false" customHeight="false" outlineLevel="0" collapsed="false">
      <c r="B629" s="35"/>
      <c r="D629" s="35"/>
      <c r="E629" s="128"/>
      <c r="F629" s="128"/>
      <c r="G629" s="128"/>
      <c r="H629" s="111"/>
      <c r="I629" s="258"/>
      <c r="J629" s="258"/>
      <c r="K629" s="258"/>
      <c r="L629" s="258"/>
      <c r="M629" s="258"/>
      <c r="N629" s="258"/>
      <c r="O629" s="258"/>
      <c r="P629" s="258"/>
      <c r="Q629" s="258"/>
      <c r="R629" s="258"/>
      <c r="S629" s="258"/>
      <c r="T629" s="258"/>
      <c r="U629" s="258"/>
      <c r="V629" s="258"/>
      <c r="W629" s="258"/>
      <c r="X629" s="258"/>
      <c r="Y629" s="268"/>
      <c r="Z629" s="268"/>
      <c r="AA629" s="268"/>
      <c r="AB629" s="268"/>
      <c r="AC629" s="268"/>
    </row>
    <row r="630" customFormat="false" ht="11.25" hidden="false" customHeight="false" outlineLevel="0" collapsed="false">
      <c r="A630" s="153" t="str">
        <f aca="false">+"Total Revenues - "&amp;C19</f>
        <v>Total Revenues - Class F Reserves</v>
      </c>
      <c r="D630" s="35"/>
      <c r="E630" s="50" t="n">
        <v>0</v>
      </c>
      <c r="F630" s="50" t="n">
        <v>0</v>
      </c>
      <c r="G630" s="50" t="n">
        <v>0</v>
      </c>
      <c r="H630" s="280" t="n">
        <f aca="false">H617+H603+H628</f>
        <v>0</v>
      </c>
      <c r="I630" s="258" t="n">
        <f aca="false">I617+I603+I628</f>
        <v>0</v>
      </c>
      <c r="J630" s="258" t="n">
        <f aca="false">J617+J603+J628</f>
        <v>0</v>
      </c>
      <c r="K630" s="258" t="n">
        <f aca="false">K617+K603+K628</f>
        <v>0</v>
      </c>
      <c r="L630" s="258" t="n">
        <f aca="false">L617+L603+L628</f>
        <v>0</v>
      </c>
      <c r="M630" s="258" t="n">
        <f aca="false">M617+M603+M628</f>
        <v>0</v>
      </c>
      <c r="N630" s="258" t="n">
        <f aca="false">N617+N603+N628</f>
        <v>0</v>
      </c>
      <c r="O630" s="258" t="n">
        <f aca="false">O617+O603+O628</f>
        <v>0</v>
      </c>
      <c r="P630" s="258" t="n">
        <f aca="false">P617+P603+P628</f>
        <v>0</v>
      </c>
      <c r="Q630" s="258" t="n">
        <f aca="false">Q617+Q603+Q628</f>
        <v>0</v>
      </c>
      <c r="R630" s="258" t="n">
        <f aca="false">R617+R603+R628</f>
        <v>0</v>
      </c>
      <c r="S630" s="258" t="n">
        <f aca="false">S617+S603+S628</f>
        <v>0</v>
      </c>
      <c r="T630" s="258" t="n">
        <f aca="false">T617+T603+T628</f>
        <v>0</v>
      </c>
      <c r="U630" s="258" t="n">
        <f aca="false">U617+U603+U628</f>
        <v>0</v>
      </c>
      <c r="V630" s="258" t="n">
        <f aca="false">V617+V603+V628</f>
        <v>0</v>
      </c>
      <c r="W630" s="258" t="n">
        <f aca="false">W617+W603+W628</f>
        <v>0</v>
      </c>
      <c r="X630" s="258" t="n">
        <f aca="false">X617+X603+X628</f>
        <v>0</v>
      </c>
      <c r="Y630" s="258" t="n">
        <f aca="false">Y617+Y603+Y628</f>
        <v>0</v>
      </c>
      <c r="Z630" s="258" t="n">
        <f aca="false">Z617+Z603+Z628</f>
        <v>0</v>
      </c>
      <c r="AA630" s="258" t="n">
        <f aca="false">AA617+AA603+AA628</f>
        <v>0</v>
      </c>
      <c r="AB630" s="258" t="n">
        <f aca="false">AB617+AB603+AB628</f>
        <v>0</v>
      </c>
      <c r="AC630" s="258" t="n">
        <f aca="false">AC617+AC603+AC628</f>
        <v>0</v>
      </c>
    </row>
    <row r="631" customFormat="false" ht="12" hidden="false" customHeight="false" outlineLevel="0" collapsed="false">
      <c r="A631" s="4"/>
      <c r="B631" s="35"/>
      <c r="D631" s="35"/>
      <c r="E631" s="110"/>
      <c r="F631" s="110"/>
      <c r="G631" s="110"/>
      <c r="H631" s="111"/>
      <c r="I631" s="258"/>
      <c r="J631" s="258"/>
      <c r="K631" s="258"/>
      <c r="L631" s="258"/>
      <c r="M631" s="258"/>
      <c r="N631" s="258"/>
      <c r="O631" s="258"/>
      <c r="P631" s="258"/>
      <c r="Q631" s="258"/>
      <c r="R631" s="258"/>
      <c r="S631" s="258"/>
      <c r="T631" s="258"/>
      <c r="U631" s="258"/>
      <c r="V631" s="258"/>
      <c r="W631" s="258"/>
      <c r="X631" s="258"/>
      <c r="Y631" s="268"/>
      <c r="Z631" s="268"/>
      <c r="AA631" s="268"/>
      <c r="AB631" s="268"/>
      <c r="AC631" s="268"/>
    </row>
    <row r="632" customFormat="false" ht="12" hidden="false" customHeight="false" outlineLevel="0" collapsed="false">
      <c r="A632" s="130"/>
      <c r="B632" s="130"/>
      <c r="C632" s="130"/>
      <c r="D632" s="130"/>
      <c r="E632" s="130"/>
      <c r="F632" s="130"/>
      <c r="G632" s="130"/>
      <c r="H632" s="130"/>
      <c r="I632" s="130"/>
      <c r="J632" s="130"/>
      <c r="K632" s="130"/>
      <c r="L632" s="130"/>
      <c r="M632" s="130"/>
      <c r="N632" s="130"/>
      <c r="O632" s="130"/>
      <c r="P632" s="130"/>
      <c r="Q632" s="130"/>
      <c r="R632" s="130"/>
      <c r="S632" s="130"/>
      <c r="T632" s="130"/>
      <c r="U632" s="130"/>
      <c r="V632" s="130"/>
      <c r="W632" s="130"/>
      <c r="X632" s="130"/>
      <c r="Y632" s="130"/>
      <c r="Z632" s="130"/>
      <c r="AA632" s="130"/>
      <c r="AB632" s="130"/>
      <c r="AC632" s="130"/>
    </row>
    <row r="633" customFormat="false" ht="11.25" hidden="false" customHeight="false" outlineLevel="0" collapsed="false">
      <c r="A633" s="4"/>
      <c r="B633" s="4" t="s">
        <v>192</v>
      </c>
      <c r="C633" s="103"/>
      <c r="D633" s="103"/>
      <c r="E633" s="258"/>
      <c r="F633" s="258"/>
      <c r="G633" s="258"/>
      <c r="H633" s="111"/>
      <c r="I633" s="258"/>
      <c r="J633" s="258"/>
      <c r="K633" s="258"/>
      <c r="L633" s="258"/>
      <c r="M633" s="258"/>
      <c r="N633" s="258"/>
      <c r="O633" s="258"/>
      <c r="P633" s="258"/>
      <c r="Q633" s="258"/>
      <c r="R633" s="258"/>
      <c r="S633" s="258"/>
      <c r="T633" s="258"/>
      <c r="U633" s="258"/>
      <c r="V633" s="258"/>
      <c r="W633" s="258"/>
      <c r="X633" s="258"/>
      <c r="Y633" s="258"/>
      <c r="Z633" s="258"/>
      <c r="AA633" s="258"/>
      <c r="AB633" s="258"/>
      <c r="AC633" s="258"/>
    </row>
    <row r="634" customFormat="false" ht="11.25" hidden="false" customHeight="false" outlineLevel="0" collapsed="false">
      <c r="A634" s="4"/>
      <c r="B634" s="43" t="s">
        <v>193</v>
      </c>
      <c r="C634" s="131" t="s">
        <v>194</v>
      </c>
      <c r="D634" s="102" t="n">
        <v>6</v>
      </c>
      <c r="E634" s="88"/>
      <c r="F634" s="111"/>
      <c r="G634" s="111"/>
      <c r="H634" s="111" t="s">
        <v>195</v>
      </c>
      <c r="I634" s="258" t="n">
        <f aca="false">(I598+(I612/$D634)+I623)*1000</f>
        <v>0</v>
      </c>
      <c r="J634" s="258" t="n">
        <f aca="false">(J598+(J612/$D634)+J623)*1000</f>
        <v>0</v>
      </c>
      <c r="K634" s="258" t="n">
        <f aca="false">(K598+(K612/$D634)+K623)*1000</f>
        <v>0</v>
      </c>
      <c r="L634" s="258" t="n">
        <f aca="false">(L598+(L612/$D634)+L623)*1000</f>
        <v>0</v>
      </c>
      <c r="M634" s="258" t="n">
        <f aca="false">(M598+(M612/$D634)+M623)*1000</f>
        <v>0</v>
      </c>
      <c r="N634" s="258" t="n">
        <f aca="false">(N598+(N612/$D634)+N623)*1000</f>
        <v>0</v>
      </c>
      <c r="O634" s="258" t="n">
        <f aca="false">(O598+(O612/$D634)+O623)*1000</f>
        <v>0</v>
      </c>
      <c r="P634" s="258" t="n">
        <f aca="false">(P598+(P612/$D634)+P623)*1000</f>
        <v>0</v>
      </c>
      <c r="Q634" s="258" t="n">
        <f aca="false">(Q598+(Q612/$D634)+Q623)*1000</f>
        <v>0</v>
      </c>
      <c r="R634" s="258" t="n">
        <f aca="false">(R598+(R612/$D634)+R623)*1000</f>
        <v>0</v>
      </c>
      <c r="S634" s="258" t="n">
        <f aca="false">(S598+(S612/$D634)+S623)*1000</f>
        <v>0</v>
      </c>
      <c r="T634" s="258" t="n">
        <f aca="false">(T598+(T612/$D634)+T623)*1000</f>
        <v>0</v>
      </c>
      <c r="U634" s="258" t="n">
        <f aca="false">(U598+(U612/$D634)+U623)*1000</f>
        <v>0</v>
      </c>
      <c r="V634" s="258" t="n">
        <f aca="false">(V598+(V612/$D634)+V623)*1000</f>
        <v>0</v>
      </c>
      <c r="W634" s="258" t="n">
        <f aca="false">(W598+(W612/$D634)+W623)*1000</f>
        <v>0</v>
      </c>
      <c r="X634" s="258" t="n">
        <f aca="false">(X598+(X612/$D634)+X623)*1000</f>
        <v>0</v>
      </c>
      <c r="Y634" s="258" t="n">
        <f aca="false">(Y598+(Y612/$D634)+Y623)*1000</f>
        <v>0</v>
      </c>
      <c r="Z634" s="258" t="n">
        <f aca="false">(Z598+(Z612/$D634)+Z623)*1000</f>
        <v>0</v>
      </c>
      <c r="AA634" s="258" t="n">
        <f aca="false">(AA598+(AA612/$D634)+AA623)*1000</f>
        <v>0</v>
      </c>
      <c r="AB634" s="258" t="n">
        <f aca="false">(AB598+(AB612/$D634)+AB623)*1000</f>
        <v>0</v>
      </c>
      <c r="AC634" s="258" t="n">
        <f aca="false">(AC598+(AC612/$D634)+AC623)*1000</f>
        <v>0</v>
      </c>
    </row>
    <row r="635" customFormat="false" ht="11.25" hidden="false" customHeight="false" outlineLevel="0" collapsed="false">
      <c r="A635" s="4"/>
      <c r="B635" s="65"/>
      <c r="C635" s="131"/>
      <c r="D635" s="103"/>
      <c r="E635" s="111"/>
      <c r="F635" s="111"/>
      <c r="G635" s="111"/>
      <c r="H635" s="111"/>
      <c r="I635" s="258"/>
      <c r="J635" s="258"/>
      <c r="K635" s="258"/>
      <c r="L635" s="258"/>
      <c r="M635" s="258"/>
      <c r="N635" s="258"/>
      <c r="O635" s="258"/>
      <c r="P635" s="258"/>
      <c r="Q635" s="258"/>
      <c r="R635" s="258"/>
      <c r="S635" s="258"/>
      <c r="T635" s="258"/>
      <c r="U635" s="258"/>
      <c r="V635" s="258"/>
      <c r="W635" s="258"/>
      <c r="X635" s="258"/>
      <c r="Y635" s="258"/>
      <c r="Z635" s="258"/>
      <c r="AA635" s="258"/>
      <c r="AB635" s="258"/>
      <c r="AC635" s="258"/>
    </row>
    <row r="636" customFormat="false" ht="11.25" hidden="false" customHeight="false" outlineLevel="0" collapsed="false">
      <c r="A636" s="4"/>
      <c r="B636" s="138" t="s">
        <v>157</v>
      </c>
      <c r="C636" s="132" t="s">
        <v>162</v>
      </c>
      <c r="E636" s="43" t="s">
        <v>196</v>
      </c>
      <c r="H636" s="290" t="n">
        <v>0</v>
      </c>
      <c r="I636" s="12"/>
      <c r="J636" s="12"/>
      <c r="K636" s="12"/>
      <c r="L636" s="12"/>
      <c r="M636" s="12"/>
      <c r="N636" s="12"/>
      <c r="O636" s="12"/>
      <c r="P636" s="12"/>
      <c r="Q636" s="12"/>
      <c r="R636" s="12"/>
      <c r="S636" s="12"/>
      <c r="T636" s="12"/>
      <c r="U636" s="12"/>
      <c r="V636" s="12"/>
      <c r="W636" s="12"/>
      <c r="X636" s="12"/>
      <c r="Y636" s="12"/>
      <c r="Z636" s="12"/>
      <c r="AA636" s="12"/>
      <c r="AB636" s="12"/>
      <c r="AC636" s="12"/>
    </row>
    <row r="637" customFormat="false" ht="11.25" hidden="false" customHeight="false" outlineLevel="0" collapsed="false">
      <c r="A637" s="4"/>
      <c r="B637" s="43" t="s">
        <v>158</v>
      </c>
      <c r="C637" s="132"/>
      <c r="E637" s="67" t="s">
        <v>197</v>
      </c>
      <c r="H637" s="26" t="n">
        <v>0</v>
      </c>
      <c r="I637" s="12"/>
      <c r="J637" s="12"/>
      <c r="K637" s="12"/>
      <c r="L637" s="12"/>
      <c r="M637" s="12"/>
      <c r="N637" s="12"/>
      <c r="O637" s="12"/>
      <c r="P637" s="12"/>
      <c r="Q637" s="12"/>
      <c r="R637" s="12"/>
      <c r="S637" s="12"/>
      <c r="T637" s="12"/>
      <c r="U637" s="12"/>
      <c r="V637" s="12"/>
      <c r="W637" s="12"/>
      <c r="X637" s="12"/>
      <c r="Y637" s="12"/>
      <c r="Z637" s="12"/>
      <c r="AA637" s="12"/>
      <c r="AB637" s="12"/>
      <c r="AC637" s="12"/>
    </row>
    <row r="638" customFormat="false" ht="11.25" hidden="false" customHeight="false" outlineLevel="0" collapsed="false">
      <c r="A638" s="4"/>
      <c r="B638" s="43" t="s">
        <v>159</v>
      </c>
      <c r="C638" s="132"/>
      <c r="E638" s="43" t="s">
        <v>198</v>
      </c>
      <c r="H638" s="88" t="n">
        <f aca="false">+H636*H637</f>
        <v>0</v>
      </c>
      <c r="I638" s="12"/>
      <c r="J638" s="12"/>
      <c r="K638" s="12"/>
      <c r="L638" s="12"/>
      <c r="M638" s="12"/>
      <c r="N638" s="12"/>
      <c r="O638" s="12"/>
      <c r="P638" s="12"/>
      <c r="Q638" s="12"/>
      <c r="R638" s="12"/>
      <c r="S638" s="12"/>
      <c r="T638" s="12"/>
      <c r="U638" s="12"/>
      <c r="V638" s="12"/>
      <c r="W638" s="12"/>
      <c r="X638" s="12"/>
      <c r="Y638" s="12"/>
      <c r="Z638" s="12"/>
      <c r="AA638" s="12"/>
      <c r="AB638" s="12"/>
      <c r="AC638" s="12"/>
    </row>
    <row r="639" customFormat="false" ht="11.25" hidden="false" customHeight="false" outlineLevel="0" collapsed="false">
      <c r="A639" s="4"/>
      <c r="B639" s="43" t="s">
        <v>160</v>
      </c>
      <c r="C639" s="132"/>
      <c r="E639" s="43" t="s">
        <v>199</v>
      </c>
      <c r="H639" s="141" t="n">
        <v>3</v>
      </c>
      <c r="I639" s="137"/>
      <c r="J639" s="137"/>
      <c r="K639" s="137"/>
      <c r="L639" s="137"/>
      <c r="M639" s="137"/>
      <c r="N639" s="137"/>
      <c r="O639" s="137"/>
      <c r="P639" s="137"/>
      <c r="Q639" s="137"/>
      <c r="R639" s="137"/>
      <c r="S639" s="137"/>
      <c r="T639" s="137"/>
      <c r="U639" s="137"/>
      <c r="V639" s="137"/>
      <c r="W639" s="137"/>
      <c r="X639" s="137"/>
      <c r="Y639" s="137"/>
      <c r="Z639" s="137"/>
      <c r="AA639" s="137"/>
      <c r="AB639" s="137"/>
      <c r="AC639" s="137"/>
    </row>
    <row r="640" customFormat="false" ht="11.25" hidden="false" customHeight="false" outlineLevel="0" collapsed="false">
      <c r="A640" s="4"/>
      <c r="B640" s="138" t="s">
        <v>200</v>
      </c>
      <c r="E640" s="88"/>
      <c r="F640" s="88"/>
      <c r="G640" s="88"/>
      <c r="H640" s="88"/>
      <c r="I640" s="88" t="n">
        <f aca="false">($H638)*(I634)*(IF($H639=1,I$185,IF($H639=2,I$188,IF($H639=3,I$191,0))))/unit</f>
        <v>0</v>
      </c>
      <c r="J640" s="88" t="n">
        <f aca="false">($H638)*(J634)*(IF($H639=1,J$185,IF($H639=2,J$188,IF($H639=3,J$191,0))))/unit</f>
        <v>0</v>
      </c>
      <c r="K640" s="88" t="n">
        <f aca="false">($H638)*(K634)*(IF($H639=1,K$185,IF($H639=2,K$188,IF($H639=3,K$191,0))))/unit</f>
        <v>0</v>
      </c>
      <c r="L640" s="88" t="n">
        <f aca="false">($H638)*(L634)*(IF($H639=1,L$185,IF($H639=2,L$188,IF($H639=3,L$191,0))))/unit</f>
        <v>0</v>
      </c>
      <c r="M640" s="88" t="n">
        <f aca="false">($H638)*(M634)*(IF($H639=1,M$185,IF($H639=2,M$188,IF($H639=3,M$191,0))))/unit</f>
        <v>0</v>
      </c>
      <c r="N640" s="88" t="n">
        <f aca="false">($H638)*(N634)*(IF($H639=1,N$185,IF($H639=2,N$188,IF($H639=3,N$191,0))))/unit</f>
        <v>0</v>
      </c>
      <c r="O640" s="88" t="n">
        <f aca="false">($H638)*(O634)*(IF($H639=1,O$185,IF($H639=2,O$188,IF($H639=3,O$191,0))))/unit</f>
        <v>0</v>
      </c>
      <c r="P640" s="88" t="n">
        <f aca="false">($H638)*(P634)*(IF($H639=1,P$185,IF($H639=2,P$188,IF($H639=3,P$191,0))))/unit</f>
        <v>0</v>
      </c>
      <c r="Q640" s="88" t="n">
        <f aca="false">($H638)*(Q634)*(IF($H639=1,Q$185,IF($H639=2,Q$188,IF($H639=3,Q$191,0))))/unit</f>
        <v>0</v>
      </c>
      <c r="R640" s="88" t="n">
        <f aca="false">($H638)*(R634)*(IF($H639=1,R$185,IF($H639=2,R$188,IF($H639=3,R$191,0))))/unit</f>
        <v>0</v>
      </c>
      <c r="S640" s="88" t="n">
        <f aca="false">($H638)*(S634)*(IF($H639=1,S$185,IF($H639=2,S$188,IF($H639=3,S$191,0))))/unit</f>
        <v>0</v>
      </c>
      <c r="T640" s="88" t="n">
        <f aca="false">($H638)*(T634)*(IF($H639=1,T$185,IF($H639=2,T$188,IF($H639=3,T$191,0))))/unit</f>
        <v>0</v>
      </c>
      <c r="U640" s="88" t="n">
        <f aca="false">($H638)*(U634)*(IF($H639=1,U$185,IF($H639=2,U$188,IF($H639=3,U$191,0))))/unit</f>
        <v>0</v>
      </c>
      <c r="V640" s="88" t="n">
        <f aca="false">($H638)*(V634)*(IF($H639=1,V$185,IF($H639=2,V$188,IF($H639=3,V$191,0))))/unit</f>
        <v>0</v>
      </c>
      <c r="W640" s="88" t="n">
        <f aca="false">($H638)*(W634)*(IF($H639=1,W$185,IF($H639=2,W$188,IF($H639=3,W$191,0))))/unit</f>
        <v>0</v>
      </c>
      <c r="X640" s="88" t="n">
        <f aca="false">($H638)*(X634)*(IF($H639=1,X$185,IF($H639=2,X$188,IF($H639=3,X$191,0))))/unit</f>
        <v>0</v>
      </c>
      <c r="Y640" s="88" t="n">
        <f aca="false">($H638)*(Y634)*(IF($H639=1,Y$185,IF($H639=2,Y$188,IF($H639=3,Y$191,0))))/unit</f>
        <v>0</v>
      </c>
      <c r="Z640" s="88" t="n">
        <f aca="false">($H638)*(Z634)*(IF($H639=1,Z$185,IF($H639=2,Z$188,IF($H639=3,Z$191,0))))/unit</f>
        <v>0</v>
      </c>
      <c r="AA640" s="88" t="n">
        <f aca="false">($H638)*(AA634)*(IF($H639=1,AA$185,IF($H639=2,AA$188,IF($H639=3,AA$191,0))))/unit</f>
        <v>0</v>
      </c>
      <c r="AB640" s="88" t="n">
        <f aca="false">($H638)*(AB634)*(IF($H639=1,AB$185,IF($H639=2,AB$188,IF($H639=3,AB$191,0))))/unit</f>
        <v>0</v>
      </c>
      <c r="AC640" s="88" t="n">
        <f aca="false">($H638)*(AC634)*(IF($H639=1,AC$185,IF($H639=2,AC$188,IF($H639=3,AC$191,0))))/unit</f>
        <v>0</v>
      </c>
    </row>
    <row r="641" customFormat="false" ht="11.25" hidden="false" customHeight="false" outlineLevel="0" collapsed="false">
      <c r="A641" s="4"/>
      <c r="B641" s="138"/>
      <c r="E641" s="88"/>
      <c r="F641" s="88"/>
      <c r="G641" s="88"/>
      <c r="H641" s="88"/>
      <c r="I641" s="88"/>
      <c r="J641" s="88"/>
      <c r="K641" s="88"/>
      <c r="L641" s="88"/>
      <c r="M641" s="88"/>
      <c r="N641" s="88"/>
      <c r="O641" s="88"/>
      <c r="P641" s="88"/>
      <c r="Q641" s="88"/>
      <c r="R641" s="88"/>
      <c r="S641" s="88"/>
      <c r="T641" s="88"/>
      <c r="U641" s="88"/>
      <c r="V641" s="88"/>
      <c r="W641" s="88"/>
      <c r="X641" s="88"/>
      <c r="Y641" s="88"/>
      <c r="Z641" s="88"/>
      <c r="AA641" s="88"/>
      <c r="AB641" s="88"/>
      <c r="AC641" s="88"/>
    </row>
    <row r="642" customFormat="false" ht="11.25" hidden="false" customHeight="false" outlineLevel="0" collapsed="false">
      <c r="A642" s="4"/>
      <c r="B642" s="138" t="s">
        <v>201</v>
      </c>
      <c r="E642" s="88" t="s">
        <v>533</v>
      </c>
      <c r="F642" s="88"/>
      <c r="G642" s="88"/>
      <c r="H642" s="26" t="n">
        <v>0</v>
      </c>
      <c r="I642" s="88" t="n">
        <f aca="false">+$H642*I630</f>
        <v>0</v>
      </c>
      <c r="J642" s="88" t="n">
        <f aca="false">+$H642*J630</f>
        <v>0</v>
      </c>
      <c r="K642" s="88" t="n">
        <f aca="false">+$H642*K630</f>
        <v>0</v>
      </c>
      <c r="L642" s="88" t="n">
        <f aca="false">+$H642*L630</f>
        <v>0</v>
      </c>
      <c r="M642" s="88" t="n">
        <f aca="false">+$H642*M630</f>
        <v>0</v>
      </c>
      <c r="N642" s="88" t="n">
        <f aca="false">+$H642*N630</f>
        <v>0</v>
      </c>
      <c r="O642" s="88" t="n">
        <f aca="false">+$H642*O630</f>
        <v>0</v>
      </c>
      <c r="P642" s="88" t="n">
        <f aca="false">+$H642*P630</f>
        <v>0</v>
      </c>
      <c r="Q642" s="88" t="n">
        <f aca="false">+$H642*Q630</f>
        <v>0</v>
      </c>
      <c r="R642" s="88" t="n">
        <f aca="false">+$H642*R630</f>
        <v>0</v>
      </c>
      <c r="S642" s="88" t="n">
        <f aca="false">+$H642*S630</f>
        <v>0</v>
      </c>
      <c r="T642" s="88" t="n">
        <f aca="false">+$H642*T630</f>
        <v>0</v>
      </c>
      <c r="U642" s="88" t="n">
        <f aca="false">+$H642*U630</f>
        <v>0</v>
      </c>
      <c r="V642" s="88" t="n">
        <f aca="false">+$H642*V630</f>
        <v>0</v>
      </c>
      <c r="W642" s="88" t="n">
        <f aca="false">+$H642*W630</f>
        <v>0</v>
      </c>
      <c r="X642" s="88" t="n">
        <f aca="false">+$H642*X630</f>
        <v>0</v>
      </c>
      <c r="Y642" s="88" t="n">
        <f aca="false">+$H642*Y630</f>
        <v>0</v>
      </c>
      <c r="Z642" s="88" t="n">
        <f aca="false">+$H642*Z630</f>
        <v>0</v>
      </c>
      <c r="AA642" s="88" t="n">
        <f aca="false">+$H642*AA630</f>
        <v>0</v>
      </c>
      <c r="AB642" s="88" t="n">
        <f aca="false">+$H642*AB630</f>
        <v>0</v>
      </c>
      <c r="AC642" s="88" t="n">
        <f aca="false">+$H642*AC630</f>
        <v>0</v>
      </c>
    </row>
    <row r="643" customFormat="false" ht="11.25" hidden="false" customHeight="false" outlineLevel="0" collapsed="false">
      <c r="A643" s="4"/>
      <c r="B643" s="138"/>
      <c r="E643" s="88"/>
      <c r="F643" s="88"/>
      <c r="G643" s="88"/>
      <c r="H643" s="88"/>
      <c r="I643" s="88"/>
      <c r="J643" s="88"/>
      <c r="K643" s="88"/>
      <c r="L643" s="88"/>
      <c r="M643" s="88"/>
      <c r="N643" s="88"/>
      <c r="O643" s="88"/>
      <c r="P643" s="88"/>
      <c r="Q643" s="88"/>
      <c r="R643" s="88"/>
      <c r="S643" s="88"/>
      <c r="T643" s="88"/>
      <c r="U643" s="88"/>
      <c r="V643" s="88"/>
      <c r="W643" s="88"/>
      <c r="X643" s="88"/>
      <c r="Y643" s="88"/>
      <c r="Z643" s="88"/>
      <c r="AA643" s="88"/>
      <c r="AB643" s="88"/>
      <c r="AC643" s="88"/>
    </row>
    <row r="644" customFormat="false" ht="11.25" hidden="false" customHeight="false" outlineLevel="0" collapsed="false">
      <c r="A644" s="4"/>
      <c r="B644" s="138" t="s">
        <v>203</v>
      </c>
      <c r="E644" s="88"/>
      <c r="F644" s="88"/>
      <c r="G644" s="88"/>
      <c r="H644" s="88"/>
      <c r="I644" s="88"/>
      <c r="J644" s="88"/>
      <c r="K644" s="88"/>
      <c r="L644" s="88"/>
      <c r="M644" s="88"/>
      <c r="N644" s="88"/>
      <c r="O644" s="88"/>
      <c r="P644" s="88"/>
      <c r="Q644" s="88"/>
      <c r="R644" s="88"/>
      <c r="S644" s="88"/>
      <c r="T644" s="88"/>
      <c r="U644" s="88"/>
      <c r="V644" s="88"/>
      <c r="W644" s="88"/>
      <c r="X644" s="88"/>
      <c r="Y644" s="88"/>
      <c r="Z644" s="88"/>
      <c r="AA644" s="88"/>
      <c r="AB644" s="88"/>
      <c r="AC644" s="88"/>
    </row>
    <row r="645" customFormat="false" ht="11.25" hidden="false" customHeight="false" outlineLevel="0" collapsed="false">
      <c r="A645" s="4"/>
      <c r="B645" s="138" t="s">
        <v>157</v>
      </c>
      <c r="C645" s="132" t="s">
        <v>162</v>
      </c>
      <c r="E645" s="43" t="s">
        <v>204</v>
      </c>
      <c r="H645" s="141" t="n">
        <v>0</v>
      </c>
      <c r="I645" s="140"/>
      <c r="J645" s="140"/>
      <c r="K645" s="140"/>
      <c r="L645" s="140"/>
      <c r="M645" s="140"/>
      <c r="N645" s="140"/>
      <c r="O645" s="140"/>
      <c r="P645" s="140"/>
      <c r="Q645" s="140"/>
      <c r="R645" s="140"/>
      <c r="S645" s="140"/>
      <c r="T645" s="140"/>
      <c r="U645" s="140"/>
      <c r="V645" s="140"/>
      <c r="W645" s="140"/>
      <c r="X645" s="140"/>
      <c r="Y645" s="140"/>
      <c r="Z645" s="140"/>
      <c r="AA645" s="140"/>
      <c r="AB645" s="140"/>
      <c r="AC645" s="140"/>
    </row>
    <row r="646" customFormat="false" ht="11.25" hidden="false" customHeight="false" outlineLevel="0" collapsed="false">
      <c r="A646" s="4"/>
      <c r="B646" s="43" t="s">
        <v>158</v>
      </c>
      <c r="C646" s="132"/>
      <c r="E646" s="67" t="s">
        <v>197</v>
      </c>
      <c r="H646" s="26" t="n">
        <v>0</v>
      </c>
      <c r="I646" s="80"/>
      <c r="J646" s="80"/>
      <c r="K646" s="80"/>
      <c r="L646" s="80"/>
      <c r="M646" s="80"/>
      <c r="N646" s="80"/>
      <c r="O646" s="80"/>
      <c r="P646" s="80"/>
      <c r="Q646" s="80"/>
      <c r="R646" s="80"/>
      <c r="S646" s="80"/>
      <c r="T646" s="80"/>
      <c r="U646" s="80"/>
      <c r="V646" s="80"/>
      <c r="W646" s="80"/>
      <c r="X646" s="80"/>
      <c r="Y646" s="80"/>
      <c r="Z646" s="80"/>
      <c r="AA646" s="80"/>
      <c r="AB646" s="80"/>
      <c r="AC646" s="80"/>
    </row>
    <row r="647" customFormat="false" ht="11.25" hidden="false" customHeight="false" outlineLevel="0" collapsed="false">
      <c r="A647" s="4"/>
      <c r="B647" s="43" t="s">
        <v>159</v>
      </c>
      <c r="C647" s="132"/>
      <c r="E647" s="43" t="s">
        <v>198</v>
      </c>
      <c r="H647" s="88" t="n">
        <f aca="false">+H645*H646</f>
        <v>0</v>
      </c>
      <c r="I647" s="12"/>
      <c r="J647" s="12"/>
      <c r="K647" s="12"/>
      <c r="L647" s="12"/>
      <c r="M647" s="12"/>
      <c r="N647" s="12"/>
      <c r="O647" s="12"/>
      <c r="P647" s="12"/>
      <c r="Q647" s="12"/>
      <c r="R647" s="12"/>
      <c r="S647" s="12"/>
      <c r="T647" s="12"/>
      <c r="U647" s="12"/>
      <c r="V647" s="12"/>
      <c r="W647" s="12"/>
      <c r="X647" s="12"/>
      <c r="Y647" s="12"/>
      <c r="Z647" s="12"/>
      <c r="AA647" s="12"/>
      <c r="AB647" s="12"/>
      <c r="AC647" s="12"/>
    </row>
    <row r="648" customFormat="false" ht="11.25" hidden="false" customHeight="false" outlineLevel="0" collapsed="false">
      <c r="A648" s="4"/>
      <c r="B648" s="43" t="s">
        <v>160</v>
      </c>
      <c r="C648" s="132"/>
      <c r="E648" s="43" t="s">
        <v>199</v>
      </c>
      <c r="H648" s="141" t="n">
        <v>1</v>
      </c>
      <c r="I648" s="137"/>
      <c r="J648" s="137"/>
      <c r="K648" s="137"/>
      <c r="L648" s="137"/>
      <c r="M648" s="137"/>
      <c r="N648" s="137"/>
      <c r="O648" s="137"/>
      <c r="P648" s="137"/>
      <c r="Q648" s="137"/>
      <c r="R648" s="137"/>
      <c r="S648" s="137"/>
      <c r="T648" s="137"/>
      <c r="U648" s="137"/>
      <c r="V648" s="137"/>
      <c r="W648" s="137"/>
      <c r="X648" s="137"/>
      <c r="Y648" s="137"/>
      <c r="Z648" s="137"/>
      <c r="AA648" s="137"/>
      <c r="AB648" s="137"/>
      <c r="AC648" s="137"/>
    </row>
    <row r="649" customFormat="false" ht="11.25" hidden="false" customHeight="false" outlineLevel="0" collapsed="false">
      <c r="A649" s="4"/>
      <c r="B649" s="138" t="s">
        <v>205</v>
      </c>
      <c r="E649" s="88"/>
      <c r="F649" s="88"/>
      <c r="G649" s="88"/>
      <c r="H649" s="88"/>
      <c r="I649" s="88" t="n">
        <f aca="false">($H647)*(IF($H648=1,I$185,IF($H648=2,I$188,IF($H648=3,I$191,0))))*(stub)</f>
        <v>0</v>
      </c>
      <c r="J649" s="88" t="n">
        <f aca="false">($H647)*(IF($H648=1,J$185,IF($H648=2,J$188,IF($H648=3,J$191,0))))</f>
        <v>0</v>
      </c>
      <c r="K649" s="88" t="n">
        <f aca="false">($H647)*(IF($H648=1,K$185,IF($H648=2,K$188,IF($H648=3,K$191,0))))</f>
        <v>0</v>
      </c>
      <c r="L649" s="88" t="n">
        <f aca="false">($H647)*(IF($H648=1,L$185,IF($H648=2,L$188,IF($H648=3,L$191,0))))</f>
        <v>0</v>
      </c>
      <c r="M649" s="88" t="n">
        <f aca="false">($H647)*(IF($H648=1,M$185,IF($H648=2,M$188,IF($H648=3,M$191,0))))</f>
        <v>0</v>
      </c>
      <c r="N649" s="88" t="n">
        <f aca="false">($H647)*(IF($H648=1,N$185,IF($H648=2,N$188,IF($H648=3,N$191,0))))</f>
        <v>0</v>
      </c>
      <c r="O649" s="88" t="n">
        <f aca="false">($H647)*(IF($H648=1,O$185,IF($H648=2,O$188,IF($H648=3,O$191,0))))</f>
        <v>0</v>
      </c>
      <c r="P649" s="88" t="n">
        <f aca="false">($H647)*(IF($H648=1,P$185,IF($H648=2,P$188,IF($H648=3,P$191,0))))</f>
        <v>0</v>
      </c>
      <c r="Q649" s="88" t="n">
        <f aca="false">($H647)*(IF($H648=1,Q$185,IF($H648=2,Q$188,IF($H648=3,Q$191,0))))</f>
        <v>0</v>
      </c>
      <c r="R649" s="88" t="n">
        <f aca="false">($H647)*(IF($H648=1,R$185,IF($H648=2,R$188,IF($H648=3,R$191,0))))</f>
        <v>0</v>
      </c>
      <c r="S649" s="88" t="n">
        <f aca="false">($H647)*(IF($H648=1,S$185,IF($H648=2,S$188,IF($H648=3,S$191,0))))</f>
        <v>0</v>
      </c>
      <c r="T649" s="88" t="n">
        <f aca="false">($H647)*(IF($H648=1,T$185,IF($H648=2,T$188,IF($H648=3,T$191,0))))</f>
        <v>0</v>
      </c>
      <c r="U649" s="88" t="n">
        <f aca="false">($H647)*(IF($H648=1,U$185,IF($H648=2,U$188,IF($H648=3,U$191,0))))</f>
        <v>0</v>
      </c>
      <c r="V649" s="88" t="n">
        <f aca="false">($H647)*(IF($H648=1,V$185,IF($H648=2,V$188,IF($H648=3,V$191,0))))</f>
        <v>0</v>
      </c>
      <c r="W649" s="88" t="n">
        <f aca="false">($H647)*(IF($H648=1,W$185,IF($H648=2,W$188,IF($H648=3,W$191,0))))</f>
        <v>0</v>
      </c>
      <c r="X649" s="88" t="n">
        <f aca="false">($H647)*(IF($H648=1,X$185,IF($H648=2,X$188,IF($H648=3,X$191,0))))</f>
        <v>0</v>
      </c>
      <c r="Y649" s="88" t="n">
        <f aca="false">($H647)*(IF($H648=1,Y$185,IF($H648=2,Y$188,IF($H648=3,Y$191,0))))</f>
        <v>0</v>
      </c>
      <c r="Z649" s="88" t="n">
        <f aca="false">($H647)*(IF($H648=1,Z$185,IF($H648=2,Z$188,IF($H648=3,Z$191,0))))</f>
        <v>0</v>
      </c>
      <c r="AA649" s="88" t="n">
        <f aca="false">($H647)*(IF($H648=1,AA$185,IF($H648=2,AA$188,IF($H648=3,AA$191,0))))</f>
        <v>0</v>
      </c>
      <c r="AB649" s="88" t="n">
        <f aca="false">($H647)*(IF($H648=1,AB$185,IF($H648=2,AB$188,IF($H648=3,AB$191,0))))</f>
        <v>0</v>
      </c>
      <c r="AC649" s="88" t="n">
        <f aca="false">($H647)*(IF($H648=1,AC$185,IF($H648=2,AC$188,IF($H648=3,AC$191,0))))</f>
        <v>0</v>
      </c>
    </row>
    <row r="650" customFormat="false" ht="11.25" hidden="false" customHeight="false" outlineLevel="0" collapsed="false">
      <c r="A650" s="4"/>
      <c r="B650" s="138"/>
      <c r="E650" s="88"/>
      <c r="F650" s="88"/>
      <c r="G650" s="88"/>
      <c r="H650" s="88"/>
      <c r="I650" s="88"/>
      <c r="J650" s="88"/>
      <c r="K650" s="88"/>
      <c r="L650" s="88"/>
      <c r="M650" s="88"/>
      <c r="N650" s="88"/>
      <c r="O650" s="88"/>
      <c r="P650" s="88"/>
      <c r="Q650" s="88"/>
      <c r="R650" s="88"/>
      <c r="S650" s="88"/>
      <c r="T650" s="88"/>
      <c r="U650" s="88"/>
      <c r="V650" s="88"/>
      <c r="W650" s="88"/>
      <c r="X650" s="88"/>
      <c r="Y650" s="88"/>
      <c r="Z650" s="88"/>
      <c r="AA650" s="88"/>
      <c r="AB650" s="88"/>
      <c r="AC650" s="88"/>
    </row>
    <row r="651" customFormat="false" ht="11.25" hidden="false" customHeight="false" outlineLevel="0" collapsed="false">
      <c r="A651" s="4"/>
      <c r="B651" s="138" t="s">
        <v>206</v>
      </c>
      <c r="E651" s="88"/>
      <c r="F651" s="88"/>
      <c r="G651" s="88"/>
      <c r="H651" s="88"/>
      <c r="I651" s="141" t="n">
        <v>0</v>
      </c>
      <c r="J651" s="141" t="n">
        <v>0</v>
      </c>
      <c r="K651" s="141" t="n">
        <v>0</v>
      </c>
      <c r="L651" s="141" t="n">
        <v>0</v>
      </c>
      <c r="M651" s="141" t="n">
        <v>0</v>
      </c>
      <c r="N651" s="141" t="n">
        <v>0</v>
      </c>
      <c r="O651" s="141" t="n">
        <v>0</v>
      </c>
      <c r="P651" s="141" t="n">
        <v>0</v>
      </c>
      <c r="Q651" s="141" t="n">
        <v>0</v>
      </c>
      <c r="R651" s="141" t="n">
        <v>0</v>
      </c>
      <c r="S651" s="141" t="n">
        <v>0</v>
      </c>
      <c r="T651" s="141" t="n">
        <v>0</v>
      </c>
      <c r="U651" s="141" t="n">
        <v>0</v>
      </c>
      <c r="V651" s="141" t="n">
        <v>0</v>
      </c>
      <c r="W651" s="141" t="n">
        <v>0</v>
      </c>
      <c r="X651" s="141" t="n">
        <v>0</v>
      </c>
      <c r="Y651" s="141" t="n">
        <v>0</v>
      </c>
      <c r="Z651" s="141" t="n">
        <v>0</v>
      </c>
      <c r="AA651" s="141" t="n">
        <v>0</v>
      </c>
      <c r="AB651" s="141" t="n">
        <v>0</v>
      </c>
      <c r="AC651" s="141" t="n">
        <v>0</v>
      </c>
    </row>
    <row r="652" customFormat="false" ht="11.25" hidden="false" customHeight="false" outlineLevel="0" collapsed="false">
      <c r="A652" s="142" t="str">
        <f aca="false">"Total Production Costs - "&amp;C19</f>
        <v>Total Production Costs - Class F Reserves</v>
      </c>
      <c r="E652" s="254" t="n">
        <v>0</v>
      </c>
      <c r="F652" s="254" t="n">
        <v>0</v>
      </c>
      <c r="G652" s="254" t="n">
        <v>0</v>
      </c>
      <c r="H652" s="254" t="n">
        <v>0</v>
      </c>
      <c r="I652" s="143" t="n">
        <f aca="false">+I649+I640+I642+I651</f>
        <v>0</v>
      </c>
      <c r="J652" s="143" t="n">
        <f aca="false">+J649+J640+J642+J651</f>
        <v>0</v>
      </c>
      <c r="K652" s="143" t="n">
        <f aca="false">+K649+K640+K642+K651</f>
        <v>0</v>
      </c>
      <c r="L652" s="143" t="n">
        <f aca="false">+L649+L640+L642+L651</f>
        <v>0</v>
      </c>
      <c r="M652" s="143" t="n">
        <f aca="false">+M649+M640+M642+M651</f>
        <v>0</v>
      </c>
      <c r="N652" s="143" t="n">
        <f aca="false">+N649+N640+N642+N651</f>
        <v>0</v>
      </c>
      <c r="O652" s="143" t="n">
        <f aca="false">+O649+O640+O642+O651</f>
        <v>0</v>
      </c>
      <c r="P652" s="143" t="n">
        <f aca="false">+P649+P640+P642+P651</f>
        <v>0</v>
      </c>
      <c r="Q652" s="143" t="n">
        <f aca="false">+Q649+Q640+Q642+Q651</f>
        <v>0</v>
      </c>
      <c r="R652" s="143" t="n">
        <f aca="false">+R649+R640+R642+R651</f>
        <v>0</v>
      </c>
      <c r="S652" s="143" t="n">
        <f aca="false">+S649+S640+S642+S651</f>
        <v>0</v>
      </c>
      <c r="T652" s="143" t="n">
        <f aca="false">+T649+T640+T642+T651</f>
        <v>0</v>
      </c>
      <c r="U652" s="143" t="n">
        <f aca="false">+U649+U640+U642+U651</f>
        <v>0</v>
      </c>
      <c r="V652" s="143" t="n">
        <f aca="false">+V649+V640+V642+V651</f>
        <v>0</v>
      </c>
      <c r="W652" s="143" t="n">
        <f aca="false">+W649+W640+W642+W651</f>
        <v>0</v>
      </c>
      <c r="X652" s="143" t="n">
        <f aca="false">+X649+X640+X642+X651</f>
        <v>0</v>
      </c>
      <c r="Y652" s="143" t="n">
        <f aca="false">+Y649+Y640+Y642+Y651</f>
        <v>0</v>
      </c>
      <c r="Z652" s="143" t="n">
        <f aca="false">+Z649+Z640+Z642+Z651</f>
        <v>0</v>
      </c>
      <c r="AA652" s="143" t="n">
        <f aca="false">+AA649+AA640+AA642+AA651</f>
        <v>0</v>
      </c>
      <c r="AB652" s="143" t="n">
        <f aca="false">+AB649+AB640+AB642+AB651</f>
        <v>0</v>
      </c>
      <c r="AC652" s="143" t="n">
        <f aca="false">+AC649+AC640+AC642+AC651</f>
        <v>0</v>
      </c>
    </row>
    <row r="653" customFormat="false" ht="11.25" hidden="false" customHeight="false" outlineLevel="0" collapsed="false">
      <c r="A653" s="4" t="str">
        <f aca="false">"Net Oil &amp; Gas Income - "&amp;C19</f>
        <v>Net Oil &amp; Gas Income - Class F Reserves</v>
      </c>
      <c r="D653" s="43"/>
      <c r="E653" s="127" t="n">
        <f aca="false">+E630-E652</f>
        <v>0</v>
      </c>
      <c r="F653" s="127" t="n">
        <f aca="false">+F630-F652</f>
        <v>0</v>
      </c>
      <c r="G653" s="127" t="n">
        <f aca="false">+G630-G652</f>
        <v>0</v>
      </c>
      <c r="H653" s="127" t="n">
        <f aca="false">+H630-H652</f>
        <v>0</v>
      </c>
      <c r="I653" s="116" t="n">
        <f aca="false">+I630-I652</f>
        <v>0</v>
      </c>
      <c r="J653" s="116" t="n">
        <f aca="false">+J630-J652</f>
        <v>0</v>
      </c>
      <c r="K653" s="116" t="n">
        <f aca="false">+K630-K652</f>
        <v>0</v>
      </c>
      <c r="L653" s="116" t="n">
        <f aca="false">+L630-L652</f>
        <v>0</v>
      </c>
      <c r="M653" s="116" t="n">
        <f aca="false">+M630-M652</f>
        <v>0</v>
      </c>
      <c r="N653" s="116" t="n">
        <f aca="false">+N630-N652</f>
        <v>0</v>
      </c>
      <c r="O653" s="116" t="n">
        <f aca="false">+O630-O652</f>
        <v>0</v>
      </c>
      <c r="P653" s="116" t="n">
        <f aca="false">+P630-P652</f>
        <v>0</v>
      </c>
      <c r="Q653" s="116" t="n">
        <f aca="false">+Q630-Q652</f>
        <v>0</v>
      </c>
      <c r="R653" s="116" t="n">
        <f aca="false">+R630-R652</f>
        <v>0</v>
      </c>
      <c r="S653" s="116" t="n">
        <f aca="false">+S630-S652</f>
        <v>0</v>
      </c>
      <c r="T653" s="116" t="n">
        <f aca="false">+T630-T652</f>
        <v>0</v>
      </c>
      <c r="U653" s="116" t="n">
        <f aca="false">+U630-U652</f>
        <v>0</v>
      </c>
      <c r="V653" s="116" t="n">
        <f aca="false">+V630-V652</f>
        <v>0</v>
      </c>
      <c r="W653" s="116" t="n">
        <f aca="false">+W630-W652</f>
        <v>0</v>
      </c>
      <c r="X653" s="116" t="n">
        <f aca="false">+X630-X652</f>
        <v>0</v>
      </c>
      <c r="Y653" s="116" t="n">
        <f aca="false">+Y630-Y652</f>
        <v>0</v>
      </c>
      <c r="Z653" s="116" t="n">
        <f aca="false">+Z630-Z652</f>
        <v>0</v>
      </c>
      <c r="AA653" s="116" t="n">
        <f aca="false">+AA630-AA652</f>
        <v>0</v>
      </c>
      <c r="AB653" s="116" t="n">
        <f aca="false">+AB630-AB652</f>
        <v>0</v>
      </c>
      <c r="AC653" s="116" t="n">
        <f aca="false">+AC630-AC652</f>
        <v>0</v>
      </c>
    </row>
    <row r="654" customFormat="false" ht="11.25" hidden="false" customHeight="false" outlineLevel="0" collapsed="false">
      <c r="A654" s="4"/>
      <c r="B654" s="35"/>
      <c r="D654" s="35"/>
      <c r="E654" s="110"/>
      <c r="F654" s="110"/>
      <c r="G654" s="110"/>
      <c r="I654" s="258"/>
      <c r="J654" s="258"/>
      <c r="K654" s="258"/>
      <c r="L654" s="258"/>
      <c r="M654" s="258"/>
      <c r="N654" s="258"/>
      <c r="O654" s="258"/>
      <c r="P654" s="258"/>
      <c r="Q654" s="258"/>
      <c r="R654" s="258"/>
      <c r="S654" s="258"/>
      <c r="T654" s="258"/>
      <c r="U654" s="258"/>
      <c r="V654" s="258"/>
      <c r="W654" s="258"/>
      <c r="X654" s="258"/>
      <c r="Y654" s="268"/>
      <c r="Z654" s="268"/>
      <c r="AA654" s="268"/>
      <c r="AB654" s="268"/>
      <c r="AC654" s="268"/>
    </row>
    <row r="655" customFormat="false" ht="11.25" hidden="false" customHeight="false" outlineLevel="0" collapsed="false">
      <c r="A655" s="4"/>
      <c r="B655" s="35" t="s">
        <v>534</v>
      </c>
      <c r="D655" s="35"/>
      <c r="E655" s="110"/>
      <c r="F655" s="110"/>
      <c r="G655" s="110"/>
      <c r="I655" s="141" t="n">
        <v>0</v>
      </c>
      <c r="J655" s="141" t="n">
        <v>0</v>
      </c>
      <c r="K655" s="141" t="n">
        <v>0</v>
      </c>
      <c r="L655" s="141" t="n">
        <v>0</v>
      </c>
      <c r="M655" s="141" t="n">
        <v>0</v>
      </c>
      <c r="N655" s="141" t="n">
        <v>0</v>
      </c>
      <c r="O655" s="141" t="n">
        <v>0</v>
      </c>
      <c r="P655" s="141" t="n">
        <v>0</v>
      </c>
      <c r="Q655" s="141" t="n">
        <v>0</v>
      </c>
      <c r="R655" s="141" t="n">
        <v>0</v>
      </c>
      <c r="S655" s="141" t="n">
        <v>0</v>
      </c>
      <c r="T655" s="141" t="n">
        <v>0</v>
      </c>
      <c r="U655" s="141" t="n">
        <v>0</v>
      </c>
      <c r="V655" s="141" t="n">
        <v>0</v>
      </c>
      <c r="W655" s="141" t="n">
        <v>0</v>
      </c>
      <c r="X655" s="141" t="n">
        <v>0</v>
      </c>
      <c r="Y655" s="141" t="n">
        <v>0</v>
      </c>
      <c r="Z655" s="141" t="n">
        <v>0</v>
      </c>
      <c r="AA655" s="141" t="n">
        <v>0</v>
      </c>
      <c r="AB655" s="141" t="n">
        <v>0</v>
      </c>
      <c r="AC655" s="141" t="n">
        <v>0</v>
      </c>
    </row>
    <row r="656" customFormat="false" ht="11.25" hidden="false" customHeight="false" outlineLevel="0" collapsed="false">
      <c r="A656" s="4"/>
      <c r="B656" s="35"/>
      <c r="D656" s="35"/>
      <c r="E656" s="110"/>
      <c r="F656" s="110"/>
      <c r="G656" s="110"/>
      <c r="H656" s="111"/>
      <c r="I656" s="258"/>
      <c r="J656" s="258"/>
      <c r="K656" s="258"/>
      <c r="L656" s="258"/>
      <c r="M656" s="258"/>
      <c r="N656" s="258"/>
      <c r="O656" s="258"/>
      <c r="P656" s="258"/>
      <c r="Q656" s="258"/>
      <c r="R656" s="258"/>
      <c r="S656" s="258"/>
      <c r="T656" s="258"/>
      <c r="U656" s="258"/>
      <c r="V656" s="258"/>
      <c r="W656" s="258"/>
      <c r="X656" s="258"/>
      <c r="Y656" s="268"/>
      <c r="Z656" s="268"/>
      <c r="AA656" s="268"/>
      <c r="AB656" s="268"/>
      <c r="AC656" s="268"/>
    </row>
    <row r="657" customFormat="false" ht="12" hidden="false" customHeight="false" outlineLevel="0" collapsed="false">
      <c r="A657" s="4"/>
      <c r="B657" s="35"/>
      <c r="D657" s="35"/>
      <c r="E657" s="110"/>
      <c r="F657" s="110"/>
      <c r="G657" s="110"/>
      <c r="H657" s="111"/>
      <c r="I657" s="258"/>
      <c r="J657" s="258"/>
      <c r="K657" s="258"/>
      <c r="L657" s="258"/>
      <c r="M657" s="258"/>
      <c r="N657" s="258"/>
      <c r="O657" s="258"/>
      <c r="P657" s="258"/>
      <c r="Q657" s="258"/>
      <c r="R657" s="258"/>
      <c r="S657" s="258"/>
      <c r="T657" s="258"/>
      <c r="U657" s="258"/>
      <c r="V657" s="258"/>
      <c r="W657" s="258"/>
      <c r="X657" s="258"/>
      <c r="Y657" s="268"/>
      <c r="Z657" s="268"/>
      <c r="AA657" s="268"/>
      <c r="AB657" s="268"/>
      <c r="AC657" s="268"/>
    </row>
    <row r="658" customFormat="false" ht="12.75" hidden="false" customHeight="false" outlineLevel="0" collapsed="false">
      <c r="A658" s="291"/>
      <c r="B658" s="291"/>
      <c r="C658" s="79"/>
      <c r="D658" s="292"/>
      <c r="E658" s="293"/>
      <c r="F658" s="293"/>
      <c r="G658" s="293"/>
      <c r="H658" s="293"/>
      <c r="I658" s="294"/>
      <c r="J658" s="294"/>
      <c r="K658" s="294"/>
      <c r="L658" s="294"/>
      <c r="M658" s="294"/>
      <c r="N658" s="294"/>
      <c r="O658" s="294"/>
      <c r="P658" s="294"/>
      <c r="Q658" s="294"/>
      <c r="R658" s="294"/>
      <c r="S658" s="294"/>
      <c r="T658" s="294"/>
      <c r="U658" s="294"/>
      <c r="V658" s="294"/>
      <c r="W658" s="294"/>
      <c r="X658" s="294"/>
      <c r="Y658" s="294"/>
      <c r="Z658" s="294"/>
      <c r="AA658" s="294"/>
      <c r="AB658" s="294"/>
      <c r="AC658" s="294"/>
    </row>
    <row r="659" customFormat="false" ht="12.75" hidden="false" customHeight="false" outlineLevel="0" collapsed="false">
      <c r="B659" s="35"/>
      <c r="C659" s="35"/>
      <c r="E659" s="81" t="str">
        <f aca="false">+E3</f>
        <v>1996 </v>
      </c>
      <c r="F659" s="81" t="str">
        <f aca="false">+F3</f>
        <v>1997 </v>
      </c>
      <c r="G659" s="81" t="str">
        <f aca="false">+G3</f>
        <v>1998 </v>
      </c>
      <c r="H659" s="81" t="str">
        <f aca="false">+H3</f>
        <v>6 M/1999 </v>
      </c>
      <c r="I659" s="81" t="str">
        <f aca="false">+I3</f>
        <v>6 M/1999 </v>
      </c>
      <c r="J659" s="81" t="n">
        <f aca="false">+J3</f>
        <v>2000</v>
      </c>
      <c r="K659" s="81" t="n">
        <f aca="false">+K3</f>
        <v>2001</v>
      </c>
      <c r="L659" s="81" t="n">
        <f aca="false">+L3</f>
        <v>2002</v>
      </c>
      <c r="M659" s="81" t="n">
        <f aca="false">+M3</f>
        <v>2003</v>
      </c>
      <c r="N659" s="81" t="n">
        <f aca="false">+N3</f>
        <v>2004</v>
      </c>
      <c r="O659" s="81" t="n">
        <f aca="false">+O3</f>
        <v>2005</v>
      </c>
      <c r="P659" s="81" t="n">
        <f aca="false">+P3</f>
        <v>2006</v>
      </c>
      <c r="Q659" s="81" t="n">
        <f aca="false">+Q3</f>
        <v>2007</v>
      </c>
      <c r="R659" s="81" t="n">
        <f aca="false">+R3</f>
        <v>2008</v>
      </c>
      <c r="S659" s="81" t="n">
        <f aca="false">+S3</f>
        <v>2009</v>
      </c>
      <c r="T659" s="81" t="n">
        <f aca="false">+T3</f>
        <v>2010</v>
      </c>
      <c r="U659" s="81" t="n">
        <f aca="false">+U3</f>
        <v>2011</v>
      </c>
      <c r="V659" s="81" t="n">
        <f aca="false">+V3</f>
        <v>2012</v>
      </c>
      <c r="W659" s="81" t="n">
        <f aca="false">+W3</f>
        <v>2013</v>
      </c>
      <c r="X659" s="81" t="n">
        <f aca="false">+X3</f>
        <v>2014</v>
      </c>
      <c r="Y659" s="81" t="n">
        <f aca="false">+Y3</f>
        <v>2015</v>
      </c>
      <c r="Z659" s="81" t="n">
        <f aca="false">+Z3</f>
        <v>2016</v>
      </c>
      <c r="AA659" s="81" t="n">
        <f aca="false">+AA3</f>
        <v>2017</v>
      </c>
      <c r="AB659" s="81" t="n">
        <f aca="false">+AB3</f>
        <v>2018</v>
      </c>
      <c r="AC659" s="81" t="n">
        <f aca="false">+AC3</f>
        <v>2019</v>
      </c>
    </row>
    <row r="660" customFormat="false" ht="12" hidden="false" customHeight="false" outlineLevel="0" collapsed="false">
      <c r="A660" s="4" t="s">
        <v>542</v>
      </c>
      <c r="B660" s="35"/>
      <c r="C660" s="35"/>
      <c r="E660" s="250"/>
      <c r="F660" s="250"/>
      <c r="G660" s="250"/>
      <c r="H660" s="250"/>
      <c r="I660" s="250"/>
      <c r="J660" s="250"/>
      <c r="K660" s="250"/>
      <c r="L660" s="250"/>
      <c r="M660" s="250"/>
      <c r="N660" s="250"/>
      <c r="O660" s="250"/>
      <c r="P660" s="250"/>
      <c r="Q660" s="250"/>
      <c r="R660" s="250"/>
      <c r="S660" s="250"/>
      <c r="T660" s="250"/>
      <c r="U660" s="250"/>
      <c r="V660" s="250"/>
      <c r="W660" s="250"/>
      <c r="X660" s="250"/>
      <c r="Y660" s="250"/>
      <c r="Z660" s="250"/>
      <c r="AA660" s="250"/>
      <c r="AB660" s="250"/>
      <c r="AC660" s="250"/>
    </row>
    <row r="661" customFormat="false" ht="11.25" hidden="false" customHeight="false" outlineLevel="0" collapsed="false">
      <c r="A661" s="4" t="s">
        <v>543</v>
      </c>
      <c r="B661" s="35"/>
      <c r="C661" s="35"/>
      <c r="D661" s="35"/>
      <c r="E661" s="50" t="n">
        <v>0</v>
      </c>
      <c r="F661" s="50" t="n">
        <v>0</v>
      </c>
      <c r="G661" s="50" t="n">
        <v>0</v>
      </c>
      <c r="H661" s="50" t="n">
        <v>0</v>
      </c>
      <c r="I661" s="50" t="n">
        <v>0</v>
      </c>
      <c r="J661" s="50" t="n">
        <v>0</v>
      </c>
      <c r="K661" s="50" t="n">
        <v>0</v>
      </c>
      <c r="L661" s="50" t="n">
        <v>0</v>
      </c>
      <c r="M661" s="50" t="n">
        <v>0</v>
      </c>
      <c r="N661" s="50" t="n">
        <v>0</v>
      </c>
      <c r="O661" s="50" t="n">
        <v>0</v>
      </c>
      <c r="P661" s="50" t="n">
        <v>0</v>
      </c>
      <c r="Q661" s="50" t="n">
        <v>0</v>
      </c>
      <c r="R661" s="50" t="n">
        <v>0</v>
      </c>
      <c r="S661" s="50" t="n">
        <v>0</v>
      </c>
      <c r="T661" s="50" t="n">
        <v>0</v>
      </c>
      <c r="U661" s="50" t="n">
        <v>0</v>
      </c>
      <c r="V661" s="50" t="n">
        <v>0</v>
      </c>
      <c r="W661" s="50" t="n">
        <v>0</v>
      </c>
      <c r="X661" s="50" t="n">
        <v>0</v>
      </c>
      <c r="Y661" s="50" t="n">
        <v>0</v>
      </c>
      <c r="Z661" s="50" t="n">
        <v>0</v>
      </c>
      <c r="AA661" s="50" t="n">
        <v>0</v>
      </c>
      <c r="AB661" s="50" t="n">
        <v>0</v>
      </c>
      <c r="AC661" s="50" t="n">
        <v>0</v>
      </c>
    </row>
    <row r="662" customFormat="false" ht="12" hidden="false" customHeight="false" outlineLevel="0" collapsed="false">
      <c r="A662" s="4"/>
      <c r="B662" s="35"/>
      <c r="D662" s="35"/>
      <c r="E662" s="260"/>
      <c r="F662" s="260"/>
      <c r="G662" s="260"/>
      <c r="H662" s="260"/>
      <c r="I662" s="260"/>
      <c r="J662" s="260"/>
      <c r="K662" s="260"/>
      <c r="L662" s="260"/>
      <c r="M662" s="260"/>
      <c r="N662" s="260"/>
      <c r="O662" s="260"/>
      <c r="P662" s="260"/>
      <c r="Q662" s="260"/>
      <c r="R662" s="260"/>
      <c r="S662" s="260"/>
      <c r="T662" s="260"/>
      <c r="U662" s="260"/>
      <c r="V662" s="260"/>
      <c r="W662" s="260"/>
      <c r="X662" s="260"/>
      <c r="Y662" s="271"/>
      <c r="Z662" s="271"/>
      <c r="AA662" s="271"/>
      <c r="AB662" s="271"/>
      <c r="AC662" s="271"/>
    </row>
    <row r="663" customFormat="false" ht="12" hidden="false" customHeight="false" outlineLevel="0" collapsed="false">
      <c r="A663" s="130"/>
      <c r="B663" s="130"/>
      <c r="C663" s="130"/>
      <c r="D663" s="130"/>
      <c r="E663" s="130"/>
      <c r="F663" s="130"/>
      <c r="G663" s="130"/>
      <c r="H663" s="130"/>
      <c r="I663" s="130"/>
      <c r="J663" s="130"/>
      <c r="K663" s="130"/>
      <c r="L663" s="130"/>
      <c r="M663" s="130"/>
      <c r="N663" s="130"/>
      <c r="O663" s="130"/>
      <c r="P663" s="130"/>
      <c r="Q663" s="130"/>
      <c r="R663" s="130"/>
      <c r="S663" s="130"/>
      <c r="T663" s="130"/>
      <c r="U663" s="130"/>
      <c r="V663" s="130"/>
      <c r="W663" s="130"/>
      <c r="X663" s="130"/>
      <c r="Y663" s="130"/>
      <c r="Z663" s="130"/>
      <c r="AA663" s="130"/>
      <c r="AB663" s="130"/>
      <c r="AC663" s="130"/>
    </row>
    <row r="664" customFormat="false" ht="11.25" hidden="false" customHeight="false" outlineLevel="0" collapsed="false">
      <c r="A664" s="154" t="s">
        <v>544</v>
      </c>
      <c r="B664" s="35"/>
      <c r="D664" s="35"/>
      <c r="E664" s="12"/>
      <c r="F664" s="12"/>
      <c r="G664" s="12"/>
      <c r="H664" s="250"/>
      <c r="I664" s="250"/>
      <c r="J664" s="250"/>
      <c r="K664" s="250"/>
      <c r="L664" s="250"/>
      <c r="M664" s="250"/>
      <c r="N664" s="250"/>
      <c r="O664" s="250"/>
      <c r="P664" s="250"/>
      <c r="Q664" s="250"/>
      <c r="R664" s="250"/>
      <c r="S664" s="250"/>
      <c r="T664" s="250"/>
      <c r="U664" s="250"/>
      <c r="V664" s="250"/>
      <c r="W664" s="250"/>
      <c r="X664" s="250"/>
      <c r="Y664" s="250"/>
      <c r="Z664" s="250"/>
      <c r="AA664" s="250"/>
      <c r="AB664" s="250"/>
      <c r="AC664" s="250"/>
    </row>
    <row r="665" customFormat="false" ht="11.25" hidden="false" customHeight="false" outlineLevel="0" collapsed="false">
      <c r="A665" s="35" t="s">
        <v>545</v>
      </c>
      <c r="C665" s="35"/>
      <c r="D665" s="35"/>
      <c r="E665" s="295" t="n">
        <f aca="false">IF(E247+E317+E390+E460+E530+E598=0,0,(E247*E251+E317*E321+E390*E394+E460*E464+E530*E534+E598*E602)/(E247+E317+E390+E460+E530+E598))</f>
        <v>0</v>
      </c>
      <c r="F665" s="295" t="n">
        <f aca="false">IF(F247+F317+F390+F460+F530+F598=0,0,(F247*F251+F317*F321+F390*F394+F460*F464+F530*F534+F598*F602)/(F247+F317+F390+F460+F530+F598))</f>
        <v>0</v>
      </c>
      <c r="G665" s="295" t="n">
        <f aca="false">IF(G247+G317+G390+G460+G530+G598=0,0,(G247*G251+G317*G321+G390*G394+G460*G464+G530*G534+G598*G602)/(G247+G317+G390+G460+G530+G598))</f>
        <v>0</v>
      </c>
      <c r="H665" s="295" t="n">
        <f aca="false">IF(H247+H317+H390+H460+H530+H598=0,0,(H247*H251+H317*H321+H390*H394+H460*H464+H530*H534+H598*H602)/(H247+H317+H390+H460+H530+H598))</f>
        <v>0</v>
      </c>
      <c r="I665" s="295" t="n">
        <f aca="false">IF(I247+I317+I390+I460+I530+I598=0,0,(I247*I251+I317*I321+I390*I394+I460*I464+I530*I534+I598*I602)/(I247+I317+I390+I460+I530+I598))</f>
        <v>-2.375</v>
      </c>
      <c r="J665" s="295" t="n">
        <f aca="false">IF(J247+J317+J390+J460+J530+J598=0,0,(J247*J251+J317*J321+J390*J394+J460*J464+J530*J534+J598*J602)/(J247+J317+J390+J460+J530+J598))</f>
        <v>-2.375</v>
      </c>
      <c r="K665" s="295" t="n">
        <f aca="false">IF(K247+K317+K390+K460+K530+K598=0,0,(K247*K251+K317*K321+K390*K394+K460*K464+K530*K534+K598*K602)/(K247+K317+K390+K460+K530+K598))</f>
        <v>-2.375</v>
      </c>
      <c r="L665" s="295" t="n">
        <f aca="false">IF(L247+L317+L390+L460+L530+L598=0,0,(L247*L251+L317*L321+L390*L394+L460*L464+L530*L534+L598*L602)/(L247+L317+L390+L460+L530+L598))</f>
        <v>-2.375</v>
      </c>
      <c r="M665" s="295" t="n">
        <f aca="false">IF(M247+M317+M390+M460+M530+M598=0,0,(M247*M251+M317*M321+M390*M394+M460*M464+M530*M534+M598*M602)/(M247+M317+M390+M460+M530+M598))</f>
        <v>-2.375</v>
      </c>
      <c r="N665" s="295" t="n">
        <f aca="false">IF(N247+N317+N390+N460+N530+N598=0,0,(N247*N251+N317*N321+N390*N394+N460*N464+N530*N534+N598*N602)/(N247+N317+N390+N460+N530+N598))</f>
        <v>-2.375</v>
      </c>
      <c r="O665" s="295" t="n">
        <f aca="false">IF(O247+O317+O390+O460+O530+O598=0,0,(O247*O251+O317*O321+O390*O394+O460*O464+O530*O534+O598*O602)/(O247+O317+O390+O460+O530+O598))</f>
        <v>-2.375</v>
      </c>
      <c r="P665" s="295" t="n">
        <f aca="false">IF(P247+P317+P390+P460+P530+P598=0,0,(P247*P251+P317*P321+P390*P394+P460*P464+P530*P534+P598*P602)/(P247+P317+P390+P460+P530+P598))</f>
        <v>-2.375</v>
      </c>
      <c r="Q665" s="295" t="n">
        <f aca="false">IF(Q247+Q317+Q390+Q460+Q530+Q598=0,0,(Q247*Q251+Q317*Q321+Q390*Q394+Q460*Q464+Q530*Q534+Q598*Q602)/(Q247+Q317+Q390+Q460+Q530+Q598))</f>
        <v>-2.375</v>
      </c>
      <c r="R665" s="295" t="n">
        <f aca="false">IF(R247+R317+R390+R460+R530+R598=0,0,(R247*R251+R317*R321+R390*R394+R460*R464+R530*R534+R598*R602)/(R247+R317+R390+R460+R530+R598))</f>
        <v>-2.375</v>
      </c>
      <c r="S665" s="295" t="n">
        <f aca="false">IF(S247+S317+S390+S460+S530+S598=0,0,(S247*S251+S317*S321+S390*S394+S460*S464+S530*S534+S598*S602)/(S247+S317+S390+S460+S530+S598))</f>
        <v>-2.375</v>
      </c>
      <c r="T665" s="295" t="n">
        <f aca="false">IF(T247+T317+T390+T460+T530+T598=0,0,(T247*T251+T317*T321+T390*T394+T460*T464+T530*T534+T598*T602)/(T247+T317+T390+T460+T530+T598))</f>
        <v>-2.375</v>
      </c>
      <c r="U665" s="295" t="n">
        <f aca="false">IF(U247+U317+U390+U460+U530+U598=0,0,(U247*U251+U317*U321+U390*U394+U460*U464+U530*U534+U598*U602)/(U247+U317+U390+U460+U530+U598))</f>
        <v>-2.375</v>
      </c>
      <c r="V665" s="295" t="n">
        <f aca="false">IF(V247+V317+V390+V460+V530+V598=0,0,(V247*V251+V317*V321+V390*V394+V460*V464+V530*V534+V598*V602)/(V247+V317+V390+V460+V530+V598))</f>
        <v>-2.375</v>
      </c>
      <c r="W665" s="295" t="n">
        <f aca="false">IF(W247+W317+W390+W460+W530+W598=0,0,(W247*W251+W317*W321+W390*W394+W460*W464+W530*W534+W598*W602)/(W247+W317+W390+W460+W530+W598))</f>
        <v>-2.375</v>
      </c>
      <c r="X665" s="295" t="n">
        <f aca="false">IF(X247+X317+X390+X460+X530+X598=0,0,(X247*X251+X317*X321+X390*X394+X460*X464+X530*X534+X598*X602)/(X247+X317+X390+X460+X530+X598))</f>
        <v>-2.375</v>
      </c>
      <c r="Y665" s="295" t="n">
        <f aca="false">IF(Y247+Y317+Y390+Y460+Y530+Y598=0,0,(Y247*Y251+Y317*Y321+Y390*Y394+Y460*Y464+Y530*Y534+Y598*Y602)/(Y247+Y317+Y390+Y460+Y530+Y598))</f>
        <v>-2.375</v>
      </c>
      <c r="Z665" s="295" t="n">
        <f aca="false">IF(Z247+Z317+Z390+Z460+Z530+Z598=0,0,(Z247*Z251+Z317*Z321+Z390*Z394+Z460*Z464+Z530*Z534+Z598*Z602)/(Z247+Z317+Z390+Z460+Z530+Z598))</f>
        <v>-2.375</v>
      </c>
      <c r="AA665" s="295" t="n">
        <f aca="false">IF(AA247+AA317+AA390+AA460+AA530+AA598=0,0,(AA247*AA251+AA317*AA321+AA390*AA394+AA460*AA464+AA530*AA534+AA598*AA602)/(AA247+AA317+AA390+AA460+AA530+AA598))</f>
        <v>-2.375</v>
      </c>
      <c r="AB665" s="295" t="n">
        <f aca="false">IF(AB247+AB317+AB390+AB460+AB530+AB598=0,0,(AB247*AB251+AB317*AB321+AB390*AB394+AB460*AB464+AB530*AB534+AB598*AB602)/(AB247+AB317+AB390+AB460+AB530+AB598))</f>
        <v>-2.375</v>
      </c>
      <c r="AC665" s="295" t="n">
        <f aca="false">IF(AC247+AC317+AC390+AC460+AC530+AC598=0,0,(AC247*AC251+AC317*AC321+AC390*AC394+AC460*AC464+AC530*AC534+AC598*AC602)/(AC247+AC317+AC390+AC460+AC530+AC598))</f>
        <v>-2.375</v>
      </c>
    </row>
    <row r="666" customFormat="false" ht="11.25" hidden="false" customHeight="false" outlineLevel="0" collapsed="false">
      <c r="A666" s="43" t="s">
        <v>546</v>
      </c>
      <c r="C666" s="35"/>
      <c r="D666" s="35"/>
      <c r="E666" s="35" t="n">
        <f aca="false">E247+E317+E390+E460+E530+E598</f>
        <v>0</v>
      </c>
      <c r="F666" s="35" t="n">
        <f aca="false">F247+F317+F390+F460+F530+F598</f>
        <v>0</v>
      </c>
      <c r="G666" s="35" t="n">
        <f aca="false">G247+G317+G390+G460+G530+G598</f>
        <v>0</v>
      </c>
      <c r="H666" s="35" t="n">
        <f aca="false">H247+H317+H390+H460+H530+H598</f>
        <v>0</v>
      </c>
      <c r="I666" s="35" t="n">
        <f aca="false">I247+I317+I390+I460+I530+I598</f>
        <v>67.4896922589234</v>
      </c>
      <c r="J666" s="35" t="n">
        <f aca="false">J247+J317+J390+J460+J530+J598</f>
        <v>137.946384517847</v>
      </c>
      <c r="K666" s="35" t="n">
        <f aca="false">K247+K317+K390+K460+K530+K598</f>
        <v>107.090385466751</v>
      </c>
      <c r="L666" s="35" t="n">
        <f aca="false">L247+L317+L390+L460+L530+L598</f>
        <v>87.7089409730863</v>
      </c>
      <c r="M666" s="35" t="n">
        <f aca="false">M247+M317+M390+M460+M530+M598</f>
        <v>77.5051167407896</v>
      </c>
      <c r="N666" s="35" t="n">
        <f aca="false">N247+N317+N390+N460+N530+N598</f>
        <v>57.3880267216036</v>
      </c>
      <c r="O666" s="35" t="n">
        <f aca="false">O247+O317+O390+O460+O530+O598</f>
        <v>43.8994257149656</v>
      </c>
      <c r="P666" s="35" t="n">
        <f aca="false">P247+P317+P390+P460+P530+P598</f>
        <v>32.0465511076497</v>
      </c>
      <c r="Q666" s="35" t="n">
        <f aca="false">Q247+Q317+Q390+Q460+Q530+Q598</f>
        <v>25.2906001280114</v>
      </c>
      <c r="R666" s="35" t="n">
        <f aca="false">R247+R317+R390+R460+R530+R598</f>
        <v>19.963786664475</v>
      </c>
      <c r="S666" s="35" t="n">
        <f aca="false">S247+S317+S390+S460+S530+S598</f>
        <v>15.7633603804288</v>
      </c>
      <c r="T666" s="35" t="n">
        <f aca="false">T247+T317+T390+T460+T530+T598</f>
        <v>12.4503159375911</v>
      </c>
      <c r="U666" s="35" t="n">
        <f aca="false">U247+U317+U390+U460+U530+U598</f>
        <v>9.83679158937017</v>
      </c>
      <c r="V666" s="35" t="n">
        <f aca="false">V247+V317+V390+V460+V530+V598</f>
        <v>7.77436993545152</v>
      </c>
      <c r="W666" s="35" t="n">
        <f aca="false">W247+W317+W390+W460+W530+W598</f>
        <v>6.14566159726387</v>
      </c>
      <c r="X666" s="35" t="n">
        <f aca="false">X247+X317+X390+X460+X530+X598</f>
        <v>4.86068470261298</v>
      </c>
      <c r="Y666" s="35" t="n">
        <f aca="false">Y247+Y317+Y390+Y460+Y530+Y598</f>
        <v>3.84565700383994</v>
      </c>
      <c r="Z666" s="35" t="n">
        <f aca="false">Z247+Z317+Z390+Z460+Z530+Z598</f>
        <v>2.78989921286732</v>
      </c>
      <c r="AA666" s="35" t="n">
        <f aca="false">AA247+AA317+AA390+AA460+AA530+AA598</f>
        <v>2.19461245040908</v>
      </c>
      <c r="AB666" s="35" t="n">
        <f aca="false">AB247+AB317+AB390+AB460+AB530+AB598</f>
        <v>1.72634329773532</v>
      </c>
      <c r="AC666" s="35" t="n">
        <f aca="false">AC247+AC317+AC390+AC460+AC530+AC598</f>
        <v>1.35798973576412</v>
      </c>
    </row>
    <row r="667" customFormat="false" ht="11.25" hidden="false" customHeight="false" outlineLevel="0" collapsed="false">
      <c r="A667" s="35" t="s">
        <v>547</v>
      </c>
      <c r="C667" s="35"/>
      <c r="D667" s="35"/>
      <c r="E667" s="158" t="n">
        <f aca="false">E665*E666*1000/unit</f>
        <v>0</v>
      </c>
      <c r="F667" s="158" t="n">
        <f aca="false">F665*F666</f>
        <v>0</v>
      </c>
      <c r="G667" s="158" t="n">
        <f aca="false">G665*G666*1000/unit</f>
        <v>0</v>
      </c>
      <c r="H667" s="158" t="n">
        <f aca="false">H665*H666*1000/unit</f>
        <v>0</v>
      </c>
      <c r="I667" s="158" t="n">
        <f aca="false">I665*I666*1000/unit</f>
        <v>-160.288019114943</v>
      </c>
      <c r="J667" s="158" t="n">
        <f aca="false">J665*J666*1000/unit</f>
        <v>-327.622663229886</v>
      </c>
      <c r="K667" s="158" t="n">
        <f aca="false">K665*K666*1000/unit</f>
        <v>-254.339665483534</v>
      </c>
      <c r="L667" s="158" t="n">
        <f aca="false">L665*L666*1000/unit</f>
        <v>-208.30873481108</v>
      </c>
      <c r="M667" s="158" t="n">
        <f aca="false">M665*M666*1000/unit</f>
        <v>-184.074652259375</v>
      </c>
      <c r="N667" s="158" t="n">
        <f aca="false">N665*N666*1000/unit</f>
        <v>-136.296563463808</v>
      </c>
      <c r="O667" s="158" t="n">
        <f aca="false">O665*O666*1000/unit</f>
        <v>-104.261136073043</v>
      </c>
      <c r="P667" s="158" t="n">
        <f aca="false">P665*P666*1000/unit</f>
        <v>-76.110558880668</v>
      </c>
      <c r="Q667" s="158" t="n">
        <f aca="false">Q665*Q666*1000/unit</f>
        <v>-60.0651753040271</v>
      </c>
      <c r="R667" s="158" t="n">
        <f aca="false">R665*R666*1000/unit</f>
        <v>-47.4139933281281</v>
      </c>
      <c r="S667" s="158" t="n">
        <f aca="false">S665*S666*1000/unit</f>
        <v>-37.4379809035183</v>
      </c>
      <c r="T667" s="158" t="n">
        <f aca="false">T665*T666*1000/unit</f>
        <v>-29.5695003517788</v>
      </c>
      <c r="U667" s="158" t="n">
        <f aca="false">U665*U666*1000/unit</f>
        <v>-23.3623800247542</v>
      </c>
      <c r="V667" s="158" t="n">
        <f aca="false">V665*V666*1000/unit</f>
        <v>-18.4641285966974</v>
      </c>
      <c r="W667" s="158" t="n">
        <f aca="false">W665*W666*1000/unit</f>
        <v>-14.5959462935017</v>
      </c>
      <c r="X667" s="158" t="n">
        <f aca="false">X665*X666*1000/unit</f>
        <v>-11.5441261687058</v>
      </c>
      <c r="Y667" s="158" t="n">
        <f aca="false">Y665*Y666*1000/unit</f>
        <v>-9.13343538411986</v>
      </c>
      <c r="Z667" s="158" t="n">
        <f aca="false">Z665*Z666*1000/unit</f>
        <v>-6.62601063055989</v>
      </c>
      <c r="AA667" s="158" t="n">
        <f aca="false">AA665*AA666*1000/unit</f>
        <v>-5.21220456972157</v>
      </c>
      <c r="AB667" s="158" t="n">
        <f aca="false">AB665*AB666*1000/unit</f>
        <v>-4.1000653321214</v>
      </c>
      <c r="AC667" s="158" t="n">
        <f aca="false">AC665*AC666*1000/unit</f>
        <v>-3.22522562243978</v>
      </c>
    </row>
    <row r="668" customFormat="false" ht="11.25" hidden="false" customHeight="false" outlineLevel="0" collapsed="false">
      <c r="A668" s="35"/>
      <c r="C668" s="35"/>
      <c r="D668" s="35"/>
      <c r="E668" s="35"/>
      <c r="F668" s="35"/>
      <c r="G668" s="35"/>
      <c r="H668" s="35"/>
      <c r="I668" s="35"/>
      <c r="J668" s="35"/>
      <c r="K668" s="35"/>
      <c r="L668" s="35"/>
      <c r="M668" s="35"/>
      <c r="N668" s="35"/>
      <c r="O668" s="35"/>
      <c r="P668" s="35"/>
      <c r="Q668" s="35"/>
      <c r="R668" s="35"/>
      <c r="S668" s="35"/>
      <c r="T668" s="35"/>
      <c r="U668" s="35"/>
      <c r="V668" s="35"/>
      <c r="W668" s="35"/>
      <c r="X668" s="149"/>
      <c r="Y668" s="149"/>
      <c r="Z668" s="149"/>
      <c r="AA668" s="149"/>
      <c r="AB668" s="149"/>
      <c r="AC668" s="149"/>
    </row>
    <row r="669" customFormat="false" ht="11.25" hidden="false" customHeight="false" outlineLevel="0" collapsed="false">
      <c r="A669" s="44" t="s">
        <v>548</v>
      </c>
      <c r="C669" s="35"/>
      <c r="D669" s="35"/>
      <c r="E669" s="296"/>
      <c r="F669" s="296"/>
      <c r="G669" s="296"/>
      <c r="H669" s="296"/>
      <c r="I669" s="50" t="n">
        <v>0</v>
      </c>
      <c r="J669" s="50" t="n">
        <v>0</v>
      </c>
      <c r="K669" s="50" t="n">
        <v>0</v>
      </c>
      <c r="L669" s="50" t="n">
        <v>0</v>
      </c>
      <c r="M669" s="50" t="n">
        <v>0</v>
      </c>
      <c r="N669" s="50" t="n">
        <v>0</v>
      </c>
      <c r="O669" s="50" t="n">
        <v>0</v>
      </c>
      <c r="P669" s="50" t="n">
        <v>0</v>
      </c>
      <c r="Q669" s="50" t="n">
        <v>0</v>
      </c>
      <c r="R669" s="50" t="n">
        <f aca="false">+R860</f>
        <v>0</v>
      </c>
      <c r="S669" s="50" t="n">
        <f aca="false">+S860</f>
        <v>0</v>
      </c>
      <c r="T669" s="50" t="n">
        <f aca="false">+T860</f>
        <v>0</v>
      </c>
      <c r="U669" s="50" t="n">
        <f aca="false">+U860</f>
        <v>0</v>
      </c>
      <c r="V669" s="50" t="n">
        <f aca="false">+V860</f>
        <v>0</v>
      </c>
      <c r="W669" s="50" t="n">
        <f aca="false">+W860</f>
        <v>0</v>
      </c>
      <c r="X669" s="50" t="n">
        <f aca="false">+X860</f>
        <v>0</v>
      </c>
      <c r="Y669" s="50" t="n">
        <f aca="false">+Y860</f>
        <v>0</v>
      </c>
      <c r="Z669" s="50" t="n">
        <f aca="false">+Z860</f>
        <v>0</v>
      </c>
      <c r="AA669" s="50" t="n">
        <f aca="false">+AA860</f>
        <v>0</v>
      </c>
      <c r="AB669" s="50" t="n">
        <f aca="false">+AB860</f>
        <v>0</v>
      </c>
      <c r="AC669" s="50" t="n">
        <f aca="false">+AC860</f>
        <v>0</v>
      </c>
    </row>
    <row r="670" customFormat="false" ht="11.25" hidden="false" customHeight="false" outlineLevel="0" collapsed="false">
      <c r="A670" s="44" t="s">
        <v>549</v>
      </c>
      <c r="C670" s="35"/>
      <c r="D670" s="35"/>
      <c r="E670" s="296"/>
      <c r="F670" s="296"/>
      <c r="G670" s="296"/>
      <c r="H670" s="296"/>
      <c r="I670" s="5" t="n">
        <f aca="false">IF(I666&lt;0,0,MIN(I666,I669-+H672))</f>
        <v>0</v>
      </c>
      <c r="J670" s="5" t="n">
        <f aca="false">IF(J666&lt;0,0,MIN(J666,J669-+I672))</f>
        <v>0</v>
      </c>
      <c r="K670" s="5" t="n">
        <f aca="false">IF(K666&lt;0,0,MIN(K666,K669-+J672))</f>
        <v>0</v>
      </c>
      <c r="L670" s="5" t="n">
        <f aca="false">IF(L666&lt;0,0,MIN(L666,L669-+K672))</f>
        <v>0</v>
      </c>
      <c r="M670" s="5" t="n">
        <f aca="false">IF(M666&lt;0,0,MIN(M666,M669-+L672))</f>
        <v>0</v>
      </c>
      <c r="N670" s="5" t="n">
        <f aca="false">IF(N666&lt;0,0,MIN(N666,N669-+M672))</f>
        <v>0</v>
      </c>
      <c r="O670" s="5" t="n">
        <f aca="false">IF(O666&lt;0,0,MIN(O666,O669-+N672))</f>
        <v>0</v>
      </c>
      <c r="P670" s="5" t="n">
        <f aca="false">IF(P666&lt;0,0,MIN(P666,P669-+O672))</f>
        <v>0</v>
      </c>
      <c r="Q670" s="5" t="n">
        <f aca="false">IF(Q666&lt;0,0,MIN(Q666,Q669-+P672))</f>
        <v>0</v>
      </c>
      <c r="R670" s="5" t="n">
        <f aca="false">IF(R666&lt;0,0,MIN(R666,R669-+Q672))</f>
        <v>0</v>
      </c>
      <c r="S670" s="5" t="n">
        <f aca="false">IF(S666&lt;0,0,MIN(S666,S669-+R672))</f>
        <v>0</v>
      </c>
      <c r="T670" s="5" t="n">
        <f aca="false">IF(T666&lt;0,0,MIN(T666,T669-+S672))</f>
        <v>0</v>
      </c>
      <c r="U670" s="5" t="n">
        <f aca="false">IF(U666&lt;0,0,MIN(U666,U669-+T672))</f>
        <v>0</v>
      </c>
      <c r="V670" s="5" t="n">
        <f aca="false">IF(V666&lt;0,0,MIN(V666,V669-+U672))</f>
        <v>0</v>
      </c>
      <c r="W670" s="5" t="n">
        <f aca="false">IF(W666&lt;0,0,MIN(W666,W669-+V672))</f>
        <v>0</v>
      </c>
      <c r="X670" s="5" t="n">
        <f aca="false">IF(X666&lt;0,0,MIN(X666,X669-+W672))</f>
        <v>0</v>
      </c>
      <c r="Y670" s="5" t="n">
        <f aca="false">IF(Y666&lt;0,0,MIN(Y666,Y669-+X672))</f>
        <v>0</v>
      </c>
      <c r="Z670" s="5" t="n">
        <f aca="false">IF(Z666&lt;0,0,MIN(Z666,Z669-+Y672))</f>
        <v>0</v>
      </c>
      <c r="AA670" s="5" t="n">
        <f aca="false">IF(AA666&lt;0,0,MIN(AA666,AA669-+Z672))</f>
        <v>0</v>
      </c>
      <c r="AB670" s="5" t="n">
        <f aca="false">IF(AB666&lt;0,0,MIN(AB666,AB669-+AA672))</f>
        <v>0</v>
      </c>
      <c r="AC670" s="5" t="n">
        <f aca="false">IF(AC666&lt;0,0,MIN(AC666,AC669-+AB672))</f>
        <v>0</v>
      </c>
    </row>
    <row r="671" customFormat="false" ht="11.25" hidden="false" customHeight="false" outlineLevel="0" collapsed="false">
      <c r="A671" s="44" t="s">
        <v>550</v>
      </c>
      <c r="C671" s="35"/>
      <c r="D671" s="35"/>
      <c r="E671" s="296"/>
      <c r="F671" s="296"/>
      <c r="G671" s="296"/>
      <c r="H671" s="296"/>
      <c r="I671" s="5" t="n">
        <f aca="false">+I670-I669</f>
        <v>0</v>
      </c>
      <c r="J671" s="5" t="n">
        <f aca="false">+J670-J669</f>
        <v>0</v>
      </c>
      <c r="K671" s="5" t="n">
        <f aca="false">+K670-K669</f>
        <v>0</v>
      </c>
      <c r="L671" s="5" t="n">
        <f aca="false">+L670-L669</f>
        <v>0</v>
      </c>
      <c r="M671" s="5" t="n">
        <f aca="false">+M670-M669</f>
        <v>0</v>
      </c>
      <c r="N671" s="5" t="n">
        <f aca="false">+N670-N669</f>
        <v>0</v>
      </c>
      <c r="O671" s="5" t="n">
        <f aca="false">+O670-O669</f>
        <v>0</v>
      </c>
      <c r="P671" s="5" t="n">
        <f aca="false">+P670-P669</f>
        <v>0</v>
      </c>
      <c r="Q671" s="5" t="n">
        <f aca="false">+Q670-Q669</f>
        <v>0</v>
      </c>
      <c r="R671" s="5" t="n">
        <f aca="false">+R670-R669</f>
        <v>0</v>
      </c>
      <c r="S671" s="5" t="n">
        <f aca="false">+S670-S669</f>
        <v>0</v>
      </c>
      <c r="T671" s="5" t="n">
        <f aca="false">+T670-T669</f>
        <v>0</v>
      </c>
      <c r="U671" s="5" t="n">
        <f aca="false">+U670-U669</f>
        <v>0</v>
      </c>
      <c r="V671" s="5" t="n">
        <f aca="false">+V670-V669</f>
        <v>0</v>
      </c>
      <c r="W671" s="5" t="n">
        <f aca="false">+W670-W669</f>
        <v>0</v>
      </c>
      <c r="X671" s="5" t="n">
        <f aca="false">+X670-X669</f>
        <v>0</v>
      </c>
      <c r="Y671" s="5" t="n">
        <f aca="false">+Y670-Y669</f>
        <v>0</v>
      </c>
      <c r="Z671" s="5" t="n">
        <f aca="false">+Z670-Z669</f>
        <v>0</v>
      </c>
      <c r="AA671" s="5" t="n">
        <f aca="false">+AA670-AA669</f>
        <v>0</v>
      </c>
      <c r="AB671" s="5" t="n">
        <f aca="false">+AB670-AB669</f>
        <v>0</v>
      </c>
      <c r="AC671" s="5" t="n">
        <f aca="false">+AC670-AC669</f>
        <v>0</v>
      </c>
    </row>
    <row r="672" customFormat="false" ht="11.25" hidden="false" customHeight="false" outlineLevel="0" collapsed="false">
      <c r="A672" s="44" t="s">
        <v>551</v>
      </c>
      <c r="C672" s="35"/>
      <c r="D672" s="35"/>
      <c r="E672" s="296"/>
      <c r="F672" s="296"/>
      <c r="G672" s="296"/>
      <c r="H672" s="296"/>
      <c r="I672" s="296" t="n">
        <f aca="false">+I671+H672</f>
        <v>0</v>
      </c>
      <c r="J672" s="296" t="n">
        <f aca="false">+J671+I672</f>
        <v>0</v>
      </c>
      <c r="K672" s="296" t="n">
        <f aca="false">+K671+J672</f>
        <v>0</v>
      </c>
      <c r="L672" s="296" t="n">
        <f aca="false">+L671+K672</f>
        <v>0</v>
      </c>
      <c r="M672" s="296" t="n">
        <f aca="false">+M671+L672</f>
        <v>0</v>
      </c>
      <c r="N672" s="296" t="n">
        <f aca="false">+N671+M672</f>
        <v>0</v>
      </c>
      <c r="O672" s="296" t="n">
        <f aca="false">+O671+N672</f>
        <v>0</v>
      </c>
      <c r="P672" s="296" t="n">
        <f aca="false">+P671+O672</f>
        <v>0</v>
      </c>
      <c r="Q672" s="296" t="n">
        <f aca="false">+Q671+P672</f>
        <v>0</v>
      </c>
      <c r="R672" s="296" t="n">
        <f aca="false">+R671+Q672</f>
        <v>0</v>
      </c>
      <c r="S672" s="296" t="n">
        <f aca="false">+S671+R672</f>
        <v>0</v>
      </c>
      <c r="T672" s="296" t="n">
        <f aca="false">+T671+S672</f>
        <v>0</v>
      </c>
      <c r="U672" s="296" t="n">
        <f aca="false">+U671+T672</f>
        <v>0</v>
      </c>
      <c r="V672" s="296" t="n">
        <f aca="false">+V671+U672</f>
        <v>0</v>
      </c>
      <c r="W672" s="296" t="n">
        <f aca="false">+W671+V672</f>
        <v>0</v>
      </c>
      <c r="X672" s="296" t="n">
        <f aca="false">+X671+W672</f>
        <v>0</v>
      </c>
      <c r="Y672" s="296" t="n">
        <f aca="false">+Y671+X672</f>
        <v>0</v>
      </c>
      <c r="Z672" s="296" t="n">
        <f aca="false">+Z671+Y672</f>
        <v>0</v>
      </c>
      <c r="AA672" s="296" t="n">
        <f aca="false">+AA671+Z672</f>
        <v>0</v>
      </c>
      <c r="AB672" s="296" t="n">
        <f aca="false">+AB671+AA672</f>
        <v>0</v>
      </c>
      <c r="AC672" s="296" t="n">
        <f aca="false">+AC671+AB672</f>
        <v>0</v>
      </c>
    </row>
    <row r="673" customFormat="false" ht="11.25" hidden="false" customHeight="false" outlineLevel="0" collapsed="false">
      <c r="A673" s="297"/>
      <c r="C673" s="35"/>
      <c r="D673" s="35"/>
      <c r="E673" s="296"/>
      <c r="F673" s="296"/>
      <c r="G673" s="296"/>
      <c r="H673" s="296"/>
      <c r="I673" s="296"/>
      <c r="J673" s="296"/>
      <c r="K673" s="296"/>
      <c r="L673" s="296"/>
      <c r="M673" s="296"/>
      <c r="N673" s="296"/>
      <c r="O673" s="296"/>
      <c r="P673" s="296"/>
      <c r="Q673" s="296"/>
      <c r="R673" s="296"/>
      <c r="S673" s="296"/>
      <c r="T673" s="296"/>
      <c r="U673" s="296"/>
      <c r="V673" s="296"/>
      <c r="W673" s="296"/>
      <c r="X673" s="296"/>
      <c r="Y673" s="296"/>
      <c r="Z673" s="296"/>
      <c r="AA673" s="296"/>
      <c r="AB673" s="296"/>
      <c r="AC673" s="296"/>
    </row>
    <row r="674" customFormat="false" ht="11.25" hidden="false" customHeight="false" outlineLevel="0" collapsed="false">
      <c r="A674" s="168" t="s">
        <v>552</v>
      </c>
      <c r="C674" s="35"/>
      <c r="D674" s="35"/>
      <c r="E674" s="296"/>
      <c r="F674" s="296"/>
      <c r="G674" s="296"/>
      <c r="H674" s="296"/>
      <c r="I674" s="298" t="n">
        <f aca="false">+I251</f>
        <v>-2.375</v>
      </c>
      <c r="J674" s="298" t="n">
        <f aca="false">+J251</f>
        <v>-2.375</v>
      </c>
      <c r="K674" s="298" t="n">
        <f aca="false">+K251</f>
        <v>-2.375</v>
      </c>
      <c r="L674" s="298" t="n">
        <f aca="false">+L251</f>
        <v>-2.375</v>
      </c>
      <c r="M674" s="298" t="n">
        <f aca="false">+M251</f>
        <v>-2.375</v>
      </c>
      <c r="N674" s="298" t="n">
        <f aca="false">+N251</f>
        <v>-2.375</v>
      </c>
      <c r="O674" s="298" t="n">
        <f aca="false">+O251</f>
        <v>-2.375</v>
      </c>
      <c r="P674" s="298" t="n">
        <f aca="false">+P251</f>
        <v>-2.375</v>
      </c>
      <c r="Q674" s="298" t="n">
        <f aca="false">+Q251</f>
        <v>-2.375</v>
      </c>
      <c r="R674" s="298" t="n">
        <f aca="false">+R251</f>
        <v>-2.375</v>
      </c>
      <c r="S674" s="298" t="n">
        <f aca="false">+S251</f>
        <v>-2.375</v>
      </c>
      <c r="T674" s="298" t="n">
        <f aca="false">+T251</f>
        <v>-2.375</v>
      </c>
      <c r="U674" s="298" t="n">
        <f aca="false">+U251</f>
        <v>-2.375</v>
      </c>
      <c r="V674" s="298" t="n">
        <f aca="false">+V251</f>
        <v>-2.375</v>
      </c>
      <c r="W674" s="298" t="n">
        <f aca="false">+W251</f>
        <v>-2.375</v>
      </c>
      <c r="X674" s="298" t="n">
        <f aca="false">+X251</f>
        <v>-2.375</v>
      </c>
      <c r="Y674" s="298" t="n">
        <f aca="false">+Y251</f>
        <v>-2.375</v>
      </c>
      <c r="Z674" s="298" t="n">
        <f aca="false">+Z251</f>
        <v>-2.375</v>
      </c>
      <c r="AA674" s="298" t="n">
        <f aca="false">+AA251</f>
        <v>-2.375</v>
      </c>
      <c r="AB674" s="298" t="n">
        <f aca="false">+AB251</f>
        <v>-2.375</v>
      </c>
      <c r="AC674" s="298" t="n">
        <f aca="false">+AC251</f>
        <v>-2.375</v>
      </c>
    </row>
    <row r="675" customFormat="false" ht="11.25" hidden="false" customHeight="false" outlineLevel="0" collapsed="false">
      <c r="A675" s="168" t="s">
        <v>553</v>
      </c>
      <c r="C675" s="35"/>
      <c r="D675" s="35"/>
      <c r="E675" s="296"/>
      <c r="F675" s="296"/>
      <c r="G675" s="296"/>
      <c r="H675" s="296"/>
      <c r="I675" s="299" t="n">
        <f aca="false">I670*I674</f>
        <v>-0</v>
      </c>
      <c r="J675" s="299" t="n">
        <f aca="false">J670*J674</f>
        <v>-0</v>
      </c>
      <c r="K675" s="299" t="n">
        <f aca="false">K670*K674</f>
        <v>-0</v>
      </c>
      <c r="L675" s="299" t="n">
        <f aca="false">L670*L674</f>
        <v>-0</v>
      </c>
      <c r="M675" s="299" t="n">
        <f aca="false">M670*M674</f>
        <v>-0</v>
      </c>
      <c r="N675" s="299" t="n">
        <f aca="false">N670*N674</f>
        <v>-0</v>
      </c>
      <c r="O675" s="299" t="n">
        <f aca="false">O670*O674</f>
        <v>-0</v>
      </c>
      <c r="P675" s="299" t="n">
        <f aca="false">P670*P674</f>
        <v>-0</v>
      </c>
      <c r="Q675" s="299" t="n">
        <f aca="false">Q670*Q674</f>
        <v>-0</v>
      </c>
      <c r="R675" s="299" t="n">
        <f aca="false">R670*R674</f>
        <v>-0</v>
      </c>
      <c r="S675" s="299" t="n">
        <f aca="false">S670*S674</f>
        <v>-0</v>
      </c>
      <c r="T675" s="299" t="n">
        <f aca="false">T670*T674</f>
        <v>-0</v>
      </c>
      <c r="U675" s="299" t="n">
        <f aca="false">U670*U674</f>
        <v>-0</v>
      </c>
      <c r="V675" s="299" t="n">
        <f aca="false">V670*V674</f>
        <v>-0</v>
      </c>
      <c r="W675" s="299" t="n">
        <f aca="false">W670*W674</f>
        <v>-0</v>
      </c>
      <c r="X675" s="299" t="n">
        <f aca="false">X670*X674</f>
        <v>-0</v>
      </c>
      <c r="Y675" s="299" t="n">
        <f aca="false">Y670*Y674</f>
        <v>-0</v>
      </c>
      <c r="Z675" s="299" t="n">
        <f aca="false">Z670*Z674</f>
        <v>-0</v>
      </c>
      <c r="AA675" s="299" t="n">
        <f aca="false">AA670*AA674</f>
        <v>-0</v>
      </c>
      <c r="AB675" s="299" t="n">
        <f aca="false">AB670*AB674</f>
        <v>-0</v>
      </c>
      <c r="AC675" s="299" t="n">
        <f aca="false">AC670*AC674</f>
        <v>-0</v>
      </c>
    </row>
    <row r="676" customFormat="false" ht="11.25" hidden="false" customHeight="false" outlineLevel="0" collapsed="false">
      <c r="A676" s="168"/>
      <c r="C676" s="35"/>
      <c r="D676" s="35"/>
      <c r="E676" s="296"/>
      <c r="F676" s="296"/>
      <c r="G676" s="296"/>
      <c r="H676" s="296"/>
      <c r="I676" s="296"/>
      <c r="J676" s="296"/>
      <c r="K676" s="296"/>
      <c r="L676" s="296"/>
      <c r="M676" s="296"/>
      <c r="N676" s="296"/>
      <c r="O676" s="296"/>
      <c r="P676" s="296"/>
      <c r="Q676" s="296"/>
      <c r="R676" s="296"/>
      <c r="S676" s="296"/>
      <c r="T676" s="296"/>
      <c r="U676" s="296"/>
      <c r="V676" s="296"/>
      <c r="W676" s="296"/>
      <c r="X676" s="296"/>
      <c r="Y676" s="296"/>
      <c r="Z676" s="296"/>
      <c r="AA676" s="296"/>
      <c r="AB676" s="296"/>
      <c r="AC676" s="296"/>
    </row>
    <row r="677" customFormat="false" ht="11.25" hidden="false" customHeight="false" outlineLevel="0" collapsed="false">
      <c r="A677" s="35" t="s">
        <v>554</v>
      </c>
      <c r="C677" s="35"/>
      <c r="D677" s="35"/>
      <c r="E677" s="158" t="n">
        <f aca="false">E667-E675</f>
        <v>0</v>
      </c>
      <c r="F677" s="158" t="n">
        <f aca="false">F667-F675</f>
        <v>0</v>
      </c>
      <c r="G677" s="158" t="n">
        <f aca="false">G667-G675</f>
        <v>0</v>
      </c>
      <c r="H677" s="158" t="n">
        <f aca="false">H667-H675</f>
        <v>0</v>
      </c>
      <c r="I677" s="158" t="n">
        <f aca="false">I667-I675</f>
        <v>-160.288019114943</v>
      </c>
      <c r="J677" s="158" t="n">
        <f aca="false">J667-J675</f>
        <v>-327.622663229886</v>
      </c>
      <c r="K677" s="158" t="n">
        <f aca="false">K667-K675</f>
        <v>-254.339665483534</v>
      </c>
      <c r="L677" s="158" t="n">
        <f aca="false">L667-L675</f>
        <v>-208.30873481108</v>
      </c>
      <c r="M677" s="158" t="n">
        <f aca="false">M667-M675</f>
        <v>-184.074652259375</v>
      </c>
      <c r="N677" s="158" t="n">
        <f aca="false">N667-N675</f>
        <v>-136.296563463808</v>
      </c>
      <c r="O677" s="158" t="n">
        <f aca="false">O667-O675</f>
        <v>-104.261136073043</v>
      </c>
      <c r="P677" s="158" t="n">
        <f aca="false">P667-P675</f>
        <v>-76.110558880668</v>
      </c>
      <c r="Q677" s="158" t="n">
        <f aca="false">Q667-Q675</f>
        <v>-60.0651753040271</v>
      </c>
      <c r="R677" s="158" t="n">
        <f aca="false">R667-R675</f>
        <v>-47.4139933281281</v>
      </c>
      <c r="S677" s="158" t="n">
        <f aca="false">S667-S675</f>
        <v>-37.4379809035183</v>
      </c>
      <c r="T677" s="158" t="n">
        <f aca="false">T667-T675</f>
        <v>-29.5695003517788</v>
      </c>
      <c r="U677" s="158" t="n">
        <f aca="false">U667-U675</f>
        <v>-23.3623800247542</v>
      </c>
      <c r="V677" s="158" t="n">
        <f aca="false">V667-V675</f>
        <v>-18.4641285966974</v>
      </c>
      <c r="W677" s="158" t="n">
        <f aca="false">W667-W675</f>
        <v>-14.5959462935017</v>
      </c>
      <c r="X677" s="158" t="n">
        <f aca="false">X667-X675</f>
        <v>-11.5441261687058</v>
      </c>
      <c r="Y677" s="158" t="n">
        <f aca="false">Y667-Y675</f>
        <v>-9.13343538411986</v>
      </c>
      <c r="Z677" s="158" t="n">
        <f aca="false">Z667-Z675</f>
        <v>-6.62601063055989</v>
      </c>
      <c r="AA677" s="158" t="n">
        <f aca="false">AA667-AA675</f>
        <v>-5.21220456972157</v>
      </c>
      <c r="AB677" s="158" t="n">
        <f aca="false">AB667-AB675</f>
        <v>-4.1000653321214</v>
      </c>
      <c r="AC677" s="158" t="n">
        <f aca="false">AC667-AC675</f>
        <v>-3.22522562243978</v>
      </c>
    </row>
    <row r="678" customFormat="false" ht="12" hidden="false" customHeight="false" outlineLevel="0" collapsed="false">
      <c r="A678" s="35"/>
      <c r="C678" s="35"/>
      <c r="D678" s="35"/>
      <c r="E678" s="149"/>
      <c r="F678" s="149"/>
      <c r="G678" s="149"/>
      <c r="H678" s="149"/>
      <c r="I678" s="149"/>
      <c r="J678" s="149"/>
      <c r="K678" s="149"/>
      <c r="L678" s="149"/>
      <c r="M678" s="149"/>
      <c r="N678" s="149"/>
      <c r="O678" s="149"/>
      <c r="P678" s="149"/>
      <c r="Q678" s="149"/>
      <c r="R678" s="149"/>
      <c r="S678" s="149"/>
      <c r="T678" s="149"/>
      <c r="U678" s="149"/>
      <c r="V678" s="149"/>
      <c r="W678" s="149"/>
      <c r="X678" s="149"/>
      <c r="Y678" s="149"/>
      <c r="Z678" s="149"/>
      <c r="AA678" s="149"/>
      <c r="AB678" s="149"/>
      <c r="AC678" s="149"/>
    </row>
    <row r="679" customFormat="false" ht="12" hidden="false" customHeight="false" outlineLevel="0" collapsed="false">
      <c r="A679" s="130"/>
      <c r="B679" s="130"/>
      <c r="C679" s="130"/>
      <c r="D679" s="130"/>
      <c r="E679" s="130"/>
      <c r="F679" s="130"/>
      <c r="G679" s="130"/>
      <c r="H679" s="130"/>
      <c r="I679" s="130"/>
      <c r="J679" s="130"/>
      <c r="K679" s="130"/>
      <c r="L679" s="130"/>
      <c r="M679" s="130"/>
      <c r="N679" s="130"/>
      <c r="O679" s="130"/>
      <c r="P679" s="130"/>
      <c r="Q679" s="130"/>
      <c r="R679" s="130"/>
      <c r="S679" s="130"/>
      <c r="T679" s="130"/>
      <c r="U679" s="130"/>
      <c r="V679" s="130"/>
      <c r="W679" s="130"/>
      <c r="X679" s="130"/>
      <c r="Y679" s="130"/>
      <c r="Z679" s="130"/>
      <c r="AA679" s="130"/>
      <c r="AB679" s="130"/>
      <c r="AC679" s="130"/>
    </row>
    <row r="680" customFormat="false" ht="11.25" hidden="false" customHeight="false" outlineLevel="0" collapsed="false">
      <c r="A680" s="35" t="s">
        <v>555</v>
      </c>
      <c r="C680" s="35"/>
      <c r="D680" s="35"/>
      <c r="E680" s="295" t="n">
        <f aca="false">IF(E263+E333+E406+E476+E546+E612=0,0,(E263*E267+E333*E337+E406*E410+E476*E480+E546*E550+E612*E616)/(E263+E333+E406+E476+E546+E612))</f>
        <v>0</v>
      </c>
      <c r="F680" s="295" t="n">
        <f aca="false">IF(F263+F333+F406+F476+F546+F612=0,0,(F263*F267+F333*F337+F406*F410+F476*F480+F546*F550+F612*F616)/(F263+F333+F406+F476+F546+F612))</f>
        <v>0</v>
      </c>
      <c r="G680" s="295" t="n">
        <f aca="false">IF(G263+G333+G406+G476+G546+G612=0,0,(G263*G267+G333*G337+G406*G410+G476*G480+G546*G550+G612*G616)/(G263+G333+G406+G476+G546+G612))</f>
        <v>0</v>
      </c>
      <c r="H680" s="295" t="n">
        <f aca="false">IF(H263+H333+H406+H476+H546+H612=0,0,(H263*H267+H333*H337+H406*H410+H476*H480+H546*H550+H612*H616)/(H263+H333+H406+H476+H546+H612))</f>
        <v>0</v>
      </c>
      <c r="I680" s="295" t="n">
        <f aca="false">IF(I263+I333+I406+I476+I546+I612=0,0,(I263*I267+I333*I337+I406*I410+I476*I480+I546*I550+I612*I616)/(I263+I333+I406+I476+I546+I612))</f>
        <v>-0.375</v>
      </c>
      <c r="J680" s="295" t="n">
        <f aca="false">IF(J263+J333+J406+J476+J546+J612=0,0,(J263*J267+J333*J337+J406*J410+J476*J480+J546*J550+J612*J616)/(J263+J333+J406+J476+J546+J612))</f>
        <v>-0.375</v>
      </c>
      <c r="K680" s="295" t="n">
        <f aca="false">IF(K263+K333+K406+K476+K546+K612=0,0,(K263*K267+K333*K337+K406*K410+K476*K480+K546*K550+K612*K616)/(K263+K333+K406+K476+K546+K612))</f>
        <v>-0.375</v>
      </c>
      <c r="L680" s="295" t="n">
        <f aca="false">IF(L263+L333+L406+L476+L546+L612=0,0,(L263*L267+L333*L337+L406*L410+L476*L480+L546*L550+L612*L616)/(L263+L333+L406+L476+L546+L612))</f>
        <v>-0.375</v>
      </c>
      <c r="M680" s="295" t="n">
        <f aca="false">IF(M263+M333+M406+M476+M546+M612=0,0,(M263*M267+M333*M337+M406*M410+M476*M480+M546*M550+M612*M616)/(M263+M333+M406+M476+M546+M612))</f>
        <v>-0.375</v>
      </c>
      <c r="N680" s="295" t="n">
        <f aca="false">IF(N263+N333+N406+N476+N546+N612=0,0,(N263*N267+N333*N337+N406*N410+N476*N480+N546*N550+N612*N616)/(N263+N333+N406+N476+N546+N612))</f>
        <v>-0.375</v>
      </c>
      <c r="O680" s="295" t="n">
        <f aca="false">IF(O263+O333+O406+O476+O546+O612=0,0,(O263*O267+O333*O337+O406*O410+O476*O480+O546*O550+O612*O616)/(O263+O333+O406+O476+O546+O612))</f>
        <v>-0.375</v>
      </c>
      <c r="P680" s="295" t="n">
        <f aca="false">IF(P263+P333+P406+P476+P546+P612=0,0,(P263*P267+P333*P337+P406*P410+P476*P480+P546*P550+P612*P616)/(P263+P333+P406+P476+P546+P612))</f>
        <v>-0.375</v>
      </c>
      <c r="Q680" s="295" t="n">
        <f aca="false">IF(Q263+Q333+Q406+Q476+Q546+Q612=0,0,(Q263*Q267+Q333*Q337+Q406*Q410+Q476*Q480+Q546*Q550+Q612*Q616)/(Q263+Q333+Q406+Q476+Q546+Q612))</f>
        <v>-0.375</v>
      </c>
      <c r="R680" s="295" t="n">
        <f aca="false">IF(R263+R333+R406+R476+R546+R612=0,0,(R263*R267+R333*R337+R406*R410+R476*R480+R546*R550+R612*R616)/(R263+R333+R406+R476+R546+R612))</f>
        <v>-0.375</v>
      </c>
      <c r="S680" s="295" t="n">
        <f aca="false">IF(S263+S333+S406+S476+S546+S612=0,0,(S263*S267+S333*S337+S406*S410+S476*S480+S546*S550+S612*S616)/(S263+S333+S406+S476+S546+S612))</f>
        <v>-0.375</v>
      </c>
      <c r="T680" s="295" t="n">
        <f aca="false">IF(T263+T333+T406+T476+T546+T612=0,0,(T263*T267+T333*T337+T406*T410+T476*T480+T546*T550+T612*T616)/(T263+T333+T406+T476+T546+T612))</f>
        <v>-0.375</v>
      </c>
      <c r="U680" s="295" t="n">
        <f aca="false">IF(U263+U333+U406+U476+U546+U612=0,0,(U263*U267+U333*U337+U406*U410+U476*U480+U546*U550+U612*U616)/(U263+U333+U406+U476+U546+U612))</f>
        <v>-0.375</v>
      </c>
      <c r="V680" s="295" t="n">
        <f aca="false">IF(V263+V333+V406+V476+V546+V612=0,0,(V263*V267+V333*V337+V406*V410+V476*V480+V546*V550+V612*V616)/(V263+V333+V406+V476+V546+V612))</f>
        <v>-0.375</v>
      </c>
      <c r="W680" s="295" t="n">
        <f aca="false">IF(W263+W333+W406+W476+W546+W612=0,0,(W263*W267+W333*W337+W406*W410+W476*W480+W546*W550+W612*W616)/(W263+W333+W406+W476+W546+W612))</f>
        <v>-0.375</v>
      </c>
      <c r="X680" s="295" t="n">
        <f aca="false">IF(X263+X333+X406+X476+X546+X612=0,0,(X263*X267+X333*X337+X406*X410+X476*X480+X546*X550+X612*X616)/(X263+X333+X406+X476+X546+X612))</f>
        <v>-0.375</v>
      </c>
      <c r="Y680" s="295" t="n">
        <f aca="false">IF(Y263+Y333+Y406+Y476+Y546+Y612=0,0,(Y263*Y267+Y333*Y337+Y406*Y410+Y476*Y480+Y546*Y550+Y612*Y616)/(Y263+Y333+Y406+Y476+Y546+Y612))</f>
        <v>-0.375</v>
      </c>
      <c r="Z680" s="295" t="n">
        <f aca="false">IF(Z263+Z333+Z406+Z476+Z546+Z612=0,0,(Z263*Z267+Z333*Z337+Z406*Z410+Z476*Z480+Z546*Z550+Z612*Z616)/(Z263+Z333+Z406+Z476+Z546+Z612))</f>
        <v>-0.375</v>
      </c>
      <c r="AA680" s="295" t="n">
        <f aca="false">IF(AA263+AA333+AA406+AA476+AA546+AA612=0,0,(AA263*AA267+AA333*AA337+AA406*AA410+AA476*AA480+AA546*AA550+AA612*AA616)/(AA263+AA333+AA406+AA476+AA546+AA612))</f>
        <v>-0.375</v>
      </c>
      <c r="AB680" s="295" t="n">
        <f aca="false">IF(AB263+AB333+AB406+AB476+AB546+AB612=0,0,(AB263*AB267+AB333*AB337+AB406*AB410+AB476*AB480+AB546*AB550+AB612*AB616)/(AB263+AB333+AB406+AB476+AB546+AB612))</f>
        <v>-0.375</v>
      </c>
      <c r="AC680" s="295" t="n">
        <f aca="false">IF(AC263+AC333+AC406+AC476+AC546+AC612=0,0,(AC263*AC267+AC333*AC337+AC406*AC410+AC476*AC480+AC546*AC550+AC612*AC616)/(AC263+AC333+AC406+AC476+AC546+AC612))</f>
        <v>-0.375</v>
      </c>
    </row>
    <row r="681" customFormat="false" ht="11.25" hidden="false" customHeight="false" outlineLevel="0" collapsed="false">
      <c r="A681" s="43" t="s">
        <v>188</v>
      </c>
      <c r="C681" s="35"/>
      <c r="D681" s="35"/>
      <c r="E681" s="35" t="n">
        <f aca="false">E263+E333+E406+E476+E546+E612</f>
        <v>0</v>
      </c>
      <c r="F681" s="35" t="n">
        <f aca="false">F263+F333+F406+F476+F546+F612</f>
        <v>0</v>
      </c>
      <c r="G681" s="35" t="n">
        <f aca="false">G263+G333+G406+G476+G546+G612</f>
        <v>0</v>
      </c>
      <c r="H681" s="35" t="n">
        <f aca="false">H263+H333+H406+H476+H546+H612</f>
        <v>0</v>
      </c>
      <c r="I681" s="35" t="n">
        <f aca="false">I263+I333+I406+I476+I546+I612</f>
        <v>948.238791088988</v>
      </c>
      <c r="J681" s="35" t="n">
        <f aca="false">J263+J333+J406+J476+J546+J612</f>
        <v>2226.45558217798</v>
      </c>
      <c r="K681" s="35" t="n">
        <f aca="false">K263+K333+K406+K476+K546+K612</f>
        <v>2216.31956436503</v>
      </c>
      <c r="L681" s="35" t="n">
        <f aca="false">L263+L333+L406+L476+L546+L612</f>
        <v>2184.28609091893</v>
      </c>
      <c r="M681" s="35" t="n">
        <f aca="false">M263+M333+M406+M476+M546+M612</f>
        <v>2077.28503281301</v>
      </c>
      <c r="N681" s="35" t="n">
        <f aca="false">N263+N333+N406+N476+N546+N612</f>
        <v>1992.30403220781</v>
      </c>
      <c r="O681" s="35" t="n">
        <f aca="false">O263+O333+O406+O476+O546+O612</f>
        <v>1783.11775132223</v>
      </c>
      <c r="P681" s="35" t="n">
        <f aca="false">P263+P333+P406+P476+P546+P612</f>
        <v>1567.66673725739</v>
      </c>
      <c r="Q681" s="35" t="n">
        <f aca="false">Q263+Q333+Q406+Q476+Q546+Q612</f>
        <v>1374.63900617932</v>
      </c>
      <c r="R681" s="35" t="n">
        <f aca="false">R263+R333+R406+R476+R546+R612</f>
        <v>1182.74371444746</v>
      </c>
      <c r="S681" s="35" t="n">
        <f aca="false">S263+S333+S406+S476+S546+S612</f>
        <v>1008.9935116577</v>
      </c>
      <c r="T681" s="35" t="n">
        <f aca="false">T263+T333+T406+T476+T546+T612</f>
        <v>852.431366278727</v>
      </c>
      <c r="U681" s="35" t="n">
        <f aca="false">U263+U333+U406+U476+U546+U612</f>
        <v>718.16882300886</v>
      </c>
      <c r="V681" s="35" t="n">
        <f aca="false">V263+V333+V406+V476+V546+V612</f>
        <v>591.48079596606</v>
      </c>
      <c r="W681" s="35" t="n">
        <f aca="false">W263+W333+W406+W476+W546+W612</f>
        <v>486.442126613766</v>
      </c>
      <c r="X681" s="35" t="n">
        <f aca="false">X263+X333+X406+X476+X546+X612</f>
        <v>395.36224273279</v>
      </c>
      <c r="Y681" s="35" t="n">
        <f aca="false">Y263+Y333+Y406+Y476+Y546+Y612</f>
        <v>311.491347196314</v>
      </c>
      <c r="Z681" s="35" t="n">
        <f aca="false">Z263+Z333+Z406+Z476+Z546+Z612</f>
        <v>229.033644874538</v>
      </c>
      <c r="AA681" s="35" t="n">
        <f aca="false">AA263+AA333+AA406+AA476+AA546+AA612</f>
        <v>174.771184481782</v>
      </c>
      <c r="AB681" s="35" t="n">
        <f aca="false">AB263+AB333+AB406+AB476+AB546+AB612</f>
        <v>134.217951125396</v>
      </c>
      <c r="AC681" s="35" t="n">
        <f aca="false">AC263+AC333+AC406+AC476+AC546+AC612</f>
        <v>111.348896051676</v>
      </c>
    </row>
    <row r="682" customFormat="false" ht="11.25" hidden="false" customHeight="false" outlineLevel="0" collapsed="false">
      <c r="A682" s="35" t="s">
        <v>556</v>
      </c>
      <c r="C682" s="35"/>
      <c r="D682" s="35"/>
      <c r="E682" s="158" t="n">
        <f aca="false">E681*1000*E680/unit</f>
        <v>0</v>
      </c>
      <c r="F682" s="158" t="n">
        <f aca="false">F681*1000*F680/unit</f>
        <v>0</v>
      </c>
      <c r="G682" s="158" t="n">
        <f aca="false">G681*1000*G680/unit</f>
        <v>0</v>
      </c>
      <c r="H682" s="158" t="n">
        <f aca="false">H681*1000*H680/unit</f>
        <v>0</v>
      </c>
      <c r="I682" s="158" t="n">
        <f aca="false">I681*1000*I680/unit</f>
        <v>-355.589546658371</v>
      </c>
      <c r="J682" s="158" t="n">
        <f aca="false">J681*1000*J680/unit</f>
        <v>-834.920843316741</v>
      </c>
      <c r="K682" s="158" t="n">
        <f aca="false">K681*1000*K680/unit</f>
        <v>-831.119836636887</v>
      </c>
      <c r="L682" s="158" t="n">
        <f aca="false">L681*1000*L680/unit</f>
        <v>-819.107284094597</v>
      </c>
      <c r="M682" s="158" t="n">
        <f aca="false">M681*1000*M680/unit</f>
        <v>-778.98188730488</v>
      </c>
      <c r="N682" s="158" t="n">
        <f aca="false">N681*1000*N680/unit</f>
        <v>-747.114012077928</v>
      </c>
      <c r="O682" s="158" t="n">
        <f aca="false">O681*1000*O680/unit</f>
        <v>-668.669156745836</v>
      </c>
      <c r="P682" s="158" t="n">
        <f aca="false">P681*1000*P680/unit</f>
        <v>-587.875026471521</v>
      </c>
      <c r="Q682" s="158" t="n">
        <f aca="false">Q681*1000*Q680/unit</f>
        <v>-515.489627317247</v>
      </c>
      <c r="R682" s="158" t="n">
        <f aca="false">R681*1000*R680/unit</f>
        <v>-443.528892917796</v>
      </c>
      <c r="S682" s="158" t="n">
        <f aca="false">S681*1000*S680/unit</f>
        <v>-378.372566871636</v>
      </c>
      <c r="T682" s="158" t="n">
        <f aca="false">T681*1000*T680/unit</f>
        <v>-319.661762354523</v>
      </c>
      <c r="U682" s="158" t="n">
        <f aca="false">U681*1000*U680/unit</f>
        <v>-269.313308628322</v>
      </c>
      <c r="V682" s="158" t="n">
        <f aca="false">V681*1000*V680/unit</f>
        <v>-221.805298487273</v>
      </c>
      <c r="W682" s="158" t="n">
        <f aca="false">W681*1000*W680/unit</f>
        <v>-182.415797480162</v>
      </c>
      <c r="X682" s="158" t="n">
        <f aca="false">X681*1000*X680/unit</f>
        <v>-148.260841024796</v>
      </c>
      <c r="Y682" s="158" t="n">
        <f aca="false">Y681*1000*Y680/unit</f>
        <v>-116.809255198618</v>
      </c>
      <c r="Z682" s="158" t="n">
        <f aca="false">Z681*1000*Z680/unit</f>
        <v>-85.8876168279517</v>
      </c>
      <c r="AA682" s="158" t="n">
        <f aca="false">AA681*1000*AA680/unit</f>
        <v>-65.5391941806683</v>
      </c>
      <c r="AB682" s="158" t="n">
        <f aca="false">AB681*1000*AB680/unit</f>
        <v>-50.3317316720236</v>
      </c>
      <c r="AC682" s="158" t="n">
        <f aca="false">AC681*1000*AC680/unit</f>
        <v>-41.7558360193784</v>
      </c>
    </row>
    <row r="683" customFormat="false" ht="11.25" hidden="false" customHeight="false" outlineLevel="0" collapsed="false">
      <c r="A683" s="35"/>
      <c r="C683" s="35"/>
      <c r="D683" s="35"/>
      <c r="E683" s="35"/>
      <c r="F683" s="35"/>
      <c r="G683" s="35"/>
      <c r="H683" s="35"/>
      <c r="I683" s="35"/>
      <c r="J683" s="35"/>
      <c r="K683" s="35"/>
      <c r="L683" s="35"/>
      <c r="M683" s="35"/>
      <c r="N683" s="35"/>
      <c r="O683" s="35"/>
      <c r="P683" s="35"/>
      <c r="Q683" s="35"/>
      <c r="R683" s="35"/>
      <c r="S683" s="35"/>
      <c r="T683" s="35"/>
      <c r="U683" s="35"/>
      <c r="V683" s="35"/>
      <c r="W683" s="35"/>
      <c r="X683" s="35"/>
      <c r="Y683" s="35"/>
      <c r="Z683" s="35"/>
      <c r="AA683" s="35"/>
      <c r="AB683" s="35"/>
      <c r="AC683" s="35"/>
    </row>
    <row r="684" customFormat="false" ht="11.25" hidden="false" customHeight="false" outlineLevel="0" collapsed="false">
      <c r="A684" s="44" t="s">
        <v>548</v>
      </c>
      <c r="C684" s="35"/>
      <c r="D684" s="35"/>
      <c r="E684" s="296"/>
      <c r="F684" s="296"/>
      <c r="G684" s="296"/>
      <c r="H684" s="296"/>
      <c r="I684" s="50" t="n">
        <v>0</v>
      </c>
      <c r="J684" s="50" t="n">
        <v>0</v>
      </c>
      <c r="K684" s="50" t="n">
        <v>0</v>
      </c>
      <c r="L684" s="50" t="n">
        <v>0</v>
      </c>
      <c r="M684" s="50" t="n">
        <v>0</v>
      </c>
      <c r="N684" s="50" t="n">
        <v>0</v>
      </c>
      <c r="O684" s="50" t="n">
        <v>0</v>
      </c>
      <c r="P684" s="50" t="n">
        <v>0</v>
      </c>
      <c r="Q684" s="50" t="n">
        <v>0</v>
      </c>
      <c r="R684" s="50" t="n">
        <v>0</v>
      </c>
      <c r="S684" s="50" t="n">
        <v>0</v>
      </c>
      <c r="T684" s="50" t="n">
        <v>0</v>
      </c>
      <c r="U684" s="50" t="n">
        <v>0</v>
      </c>
      <c r="V684" s="50" t="n">
        <v>0</v>
      </c>
      <c r="W684" s="50" t="n">
        <v>0</v>
      </c>
      <c r="X684" s="50" t="n">
        <v>0</v>
      </c>
      <c r="Y684" s="50" t="n">
        <v>0</v>
      </c>
      <c r="Z684" s="50" t="n">
        <v>0</v>
      </c>
      <c r="AA684" s="50" t="n">
        <v>0</v>
      </c>
      <c r="AB684" s="50" t="n">
        <v>0</v>
      </c>
      <c r="AC684" s="50" t="n">
        <v>0</v>
      </c>
    </row>
    <row r="685" customFormat="false" ht="11.25" hidden="false" customHeight="false" outlineLevel="0" collapsed="false">
      <c r="A685" s="44" t="s">
        <v>549</v>
      </c>
      <c r="C685" s="35"/>
      <c r="D685" s="35"/>
      <c r="E685" s="296"/>
      <c r="F685" s="296"/>
      <c r="G685" s="296"/>
      <c r="H685" s="296"/>
      <c r="I685" s="5" t="n">
        <f aca="false">IF(I681&lt;0,0,MIN(I681,I684-+H687))</f>
        <v>0</v>
      </c>
      <c r="J685" s="5" t="n">
        <f aca="false">IF(J681&lt;0,0,MIN(J681,J684-+I687))</f>
        <v>0</v>
      </c>
      <c r="K685" s="5" t="n">
        <f aca="false">IF(K681&lt;0,0,MIN(K681,K684-+J687))</f>
        <v>0</v>
      </c>
      <c r="L685" s="5" t="n">
        <f aca="false">IF(L681&lt;0,0,MIN(L681,L684-+K687))</f>
        <v>0</v>
      </c>
      <c r="M685" s="5" t="n">
        <f aca="false">IF(M681&lt;0,0,MIN(M681,M684-+L687))</f>
        <v>0</v>
      </c>
      <c r="N685" s="5" t="n">
        <f aca="false">IF(N681&lt;0,0,MIN(N681,N684-+M687))</f>
        <v>0</v>
      </c>
      <c r="O685" s="5" t="n">
        <f aca="false">IF(O681&lt;0,0,MIN(O681,O684-+N687))</f>
        <v>0</v>
      </c>
      <c r="P685" s="5" t="n">
        <f aca="false">IF(P681&lt;0,0,MIN(P681,P684-+O687))</f>
        <v>0</v>
      </c>
      <c r="Q685" s="5" t="n">
        <f aca="false">IF(Q681&lt;0,0,MIN(Q681,Q684-+P687))</f>
        <v>0</v>
      </c>
      <c r="R685" s="5" t="n">
        <f aca="false">IF(R681&lt;0,0,MIN(R681,R684-+Q687))</f>
        <v>0</v>
      </c>
      <c r="S685" s="5" t="n">
        <f aca="false">IF(S681&lt;0,0,MIN(S681,S684-+R687))</f>
        <v>0</v>
      </c>
      <c r="T685" s="5" t="n">
        <f aca="false">IF(T681&lt;0,0,MIN(T681,T684-+S687))</f>
        <v>0</v>
      </c>
      <c r="U685" s="5" t="n">
        <f aca="false">IF(U681&lt;0,0,MIN(U681,U684-+T687))</f>
        <v>0</v>
      </c>
      <c r="V685" s="5" t="n">
        <f aca="false">IF(V681&lt;0,0,MIN(V681,V684-+U687))</f>
        <v>0</v>
      </c>
      <c r="W685" s="5" t="n">
        <f aca="false">IF(W681&lt;0,0,MIN(W681,W684-+V687))</f>
        <v>0</v>
      </c>
      <c r="X685" s="5" t="n">
        <f aca="false">IF(X681&lt;0,0,MIN(X681,X684-+W687))</f>
        <v>0</v>
      </c>
      <c r="Y685" s="5" t="n">
        <f aca="false">IF(Y681&lt;0,0,MIN(Y681,Y684-+X687))</f>
        <v>0</v>
      </c>
      <c r="Z685" s="5" t="n">
        <f aca="false">IF(Z681&lt;0,0,MIN(Z681,Z684-+Y687))</f>
        <v>0</v>
      </c>
      <c r="AA685" s="5" t="n">
        <f aca="false">IF(AA681&lt;0,0,MIN(AA681,AA684-+Z687))</f>
        <v>0</v>
      </c>
      <c r="AB685" s="5" t="n">
        <f aca="false">IF(AB681&lt;0,0,MIN(AB681,AB684-+AA687))</f>
        <v>0</v>
      </c>
      <c r="AC685" s="5" t="n">
        <f aca="false">IF(AC681&lt;0,0,MIN(AC681,AC684-+AB687))</f>
        <v>0</v>
      </c>
    </row>
    <row r="686" customFormat="false" ht="11.25" hidden="false" customHeight="false" outlineLevel="0" collapsed="false">
      <c r="A686" s="44" t="s">
        <v>550</v>
      </c>
      <c r="C686" s="35"/>
      <c r="D686" s="35"/>
      <c r="E686" s="296"/>
      <c r="F686" s="296"/>
      <c r="G686" s="296"/>
      <c r="H686" s="296"/>
      <c r="I686" s="5" t="n">
        <f aca="false">+I685-I684</f>
        <v>0</v>
      </c>
      <c r="J686" s="5" t="n">
        <f aca="false">+J685-J684</f>
        <v>0</v>
      </c>
      <c r="K686" s="5" t="n">
        <f aca="false">+K685-K684</f>
        <v>0</v>
      </c>
      <c r="L686" s="5" t="n">
        <f aca="false">+L685-L684</f>
        <v>0</v>
      </c>
      <c r="M686" s="5" t="n">
        <f aca="false">+M685-M684</f>
        <v>0</v>
      </c>
      <c r="N686" s="5" t="n">
        <f aca="false">+N685-N684</f>
        <v>0</v>
      </c>
      <c r="O686" s="5" t="n">
        <f aca="false">+O685-O684</f>
        <v>0</v>
      </c>
      <c r="P686" s="5" t="n">
        <f aca="false">+P685-P684</f>
        <v>0</v>
      </c>
      <c r="Q686" s="5" t="n">
        <f aca="false">+Q685-Q684</f>
        <v>0</v>
      </c>
      <c r="R686" s="5" t="n">
        <f aca="false">+R685-R684</f>
        <v>0</v>
      </c>
      <c r="S686" s="5" t="n">
        <f aca="false">+S685-S684</f>
        <v>0</v>
      </c>
      <c r="T686" s="5" t="n">
        <f aca="false">+T685-T684</f>
        <v>0</v>
      </c>
      <c r="U686" s="5" t="n">
        <f aca="false">+U685-U684</f>
        <v>0</v>
      </c>
      <c r="V686" s="5" t="n">
        <f aca="false">+V685-V684</f>
        <v>0</v>
      </c>
      <c r="W686" s="5" t="n">
        <f aca="false">+W685-W684</f>
        <v>0</v>
      </c>
      <c r="X686" s="5" t="n">
        <f aca="false">+X685-X684</f>
        <v>0</v>
      </c>
      <c r="Y686" s="5" t="n">
        <f aca="false">+Y685-Y684</f>
        <v>0</v>
      </c>
      <c r="Z686" s="5" t="n">
        <f aca="false">+Z685-Z684</f>
        <v>0</v>
      </c>
      <c r="AA686" s="5" t="n">
        <f aca="false">+AA685-AA684</f>
        <v>0</v>
      </c>
      <c r="AB686" s="5" t="n">
        <f aca="false">+AB685-AB684</f>
        <v>0</v>
      </c>
      <c r="AC686" s="5" t="n">
        <f aca="false">+AC685-AC684</f>
        <v>0</v>
      </c>
    </row>
    <row r="687" customFormat="false" ht="11.25" hidden="false" customHeight="false" outlineLevel="0" collapsed="false">
      <c r="A687" s="44" t="s">
        <v>551</v>
      </c>
      <c r="C687" s="35"/>
      <c r="D687" s="35"/>
      <c r="E687" s="296"/>
      <c r="F687" s="296"/>
      <c r="G687" s="296"/>
      <c r="H687" s="296"/>
      <c r="I687" s="296" t="n">
        <f aca="false">+I686+H687</f>
        <v>0</v>
      </c>
      <c r="J687" s="296" t="n">
        <f aca="false">+J686+I687</f>
        <v>0</v>
      </c>
      <c r="K687" s="296" t="n">
        <f aca="false">+K686+J687</f>
        <v>0</v>
      </c>
      <c r="L687" s="296" t="n">
        <f aca="false">+L686+K687</f>
        <v>0</v>
      </c>
      <c r="M687" s="296" t="n">
        <f aca="false">+M686+L687</f>
        <v>0</v>
      </c>
      <c r="N687" s="296" t="n">
        <f aca="false">+N686+M687</f>
        <v>0</v>
      </c>
      <c r="O687" s="296" t="n">
        <f aca="false">+O686+N687</f>
        <v>0</v>
      </c>
      <c r="P687" s="296" t="n">
        <f aca="false">+P686+O687</f>
        <v>0</v>
      </c>
      <c r="Q687" s="296" t="n">
        <f aca="false">+Q686+P687</f>
        <v>0</v>
      </c>
      <c r="R687" s="296" t="n">
        <f aca="false">+R686+Q687</f>
        <v>0</v>
      </c>
      <c r="S687" s="296" t="n">
        <f aca="false">+S686+R687</f>
        <v>0</v>
      </c>
      <c r="T687" s="296" t="n">
        <f aca="false">+T686+S687</f>
        <v>0</v>
      </c>
      <c r="U687" s="296" t="n">
        <f aca="false">+U686+T687</f>
        <v>0</v>
      </c>
      <c r="V687" s="296" t="n">
        <f aca="false">+V686+U687</f>
        <v>0</v>
      </c>
      <c r="W687" s="296" t="n">
        <f aca="false">+W686+V687</f>
        <v>0</v>
      </c>
      <c r="X687" s="296" t="n">
        <f aca="false">+X686+W687</f>
        <v>0</v>
      </c>
      <c r="Y687" s="296" t="n">
        <f aca="false">+Y686+X687</f>
        <v>0</v>
      </c>
      <c r="Z687" s="296" t="n">
        <f aca="false">+Z686+Y687</f>
        <v>0</v>
      </c>
      <c r="AA687" s="296" t="n">
        <f aca="false">+AA686+Z687</f>
        <v>0</v>
      </c>
      <c r="AB687" s="296" t="n">
        <f aca="false">+AB686+AA687</f>
        <v>0</v>
      </c>
      <c r="AC687" s="296" t="n">
        <f aca="false">+AC686+AB687</f>
        <v>0</v>
      </c>
    </row>
    <row r="688" customFormat="false" ht="11.25" hidden="false" customHeight="false" outlineLevel="0" collapsed="false">
      <c r="A688" s="297"/>
      <c r="C688" s="35"/>
      <c r="D688" s="35"/>
      <c r="E688" s="296"/>
      <c r="F688" s="296"/>
      <c r="G688" s="296"/>
      <c r="H688" s="296"/>
      <c r="I688" s="296"/>
      <c r="J688" s="296"/>
      <c r="K688" s="296"/>
      <c r="L688" s="296"/>
      <c r="M688" s="296"/>
      <c r="N688" s="296"/>
      <c r="O688" s="296"/>
      <c r="P688" s="296"/>
      <c r="Q688" s="296"/>
      <c r="R688" s="296"/>
      <c r="S688" s="296"/>
      <c r="T688" s="296"/>
      <c r="U688" s="296"/>
      <c r="V688" s="296"/>
      <c r="W688" s="296"/>
      <c r="X688" s="296"/>
      <c r="Y688" s="296"/>
      <c r="Z688" s="296"/>
      <c r="AA688" s="296"/>
      <c r="AB688" s="296"/>
      <c r="AC688" s="296"/>
    </row>
    <row r="689" customFormat="false" ht="11.25" hidden="false" customHeight="false" outlineLevel="0" collapsed="false">
      <c r="A689" s="168" t="s">
        <v>552</v>
      </c>
      <c r="C689" s="35"/>
      <c r="D689" s="35"/>
      <c r="E689" s="296"/>
      <c r="F689" s="296"/>
      <c r="G689" s="296"/>
      <c r="H689" s="296"/>
      <c r="I689" s="298" t="n">
        <f aca="false">+I267</f>
        <v>-0.375</v>
      </c>
      <c r="J689" s="298" t="n">
        <f aca="false">+J267</f>
        <v>-0.375</v>
      </c>
      <c r="K689" s="298" t="n">
        <f aca="false">+K267</f>
        <v>-0.375</v>
      </c>
      <c r="L689" s="298" t="n">
        <f aca="false">+L267</f>
        <v>-0.375</v>
      </c>
      <c r="M689" s="298" t="n">
        <f aca="false">+M267</f>
        <v>-0.375</v>
      </c>
      <c r="N689" s="298" t="n">
        <f aca="false">+N267</f>
        <v>-0.375</v>
      </c>
      <c r="O689" s="298" t="n">
        <f aca="false">+O267</f>
        <v>-0.375</v>
      </c>
      <c r="P689" s="298" t="n">
        <f aca="false">+P267</f>
        <v>-0.375</v>
      </c>
      <c r="Q689" s="298" t="n">
        <f aca="false">+Q267</f>
        <v>-0.375</v>
      </c>
      <c r="R689" s="298" t="n">
        <f aca="false">+R267</f>
        <v>-0.375</v>
      </c>
      <c r="S689" s="298" t="n">
        <f aca="false">+S267</f>
        <v>-0.375</v>
      </c>
      <c r="T689" s="298" t="n">
        <f aca="false">+T267</f>
        <v>-0.375</v>
      </c>
      <c r="U689" s="298" t="n">
        <f aca="false">+U267</f>
        <v>-0.375</v>
      </c>
      <c r="V689" s="298" t="n">
        <f aca="false">+V267</f>
        <v>-0.375</v>
      </c>
      <c r="W689" s="298" t="n">
        <f aca="false">+W267</f>
        <v>-0.375</v>
      </c>
      <c r="X689" s="298" t="n">
        <f aca="false">+X267</f>
        <v>-0.375</v>
      </c>
      <c r="Y689" s="298" t="n">
        <f aca="false">+Y267</f>
        <v>-0.375</v>
      </c>
      <c r="Z689" s="298" t="n">
        <f aca="false">+Z267</f>
        <v>-0.375</v>
      </c>
      <c r="AA689" s="298" t="n">
        <f aca="false">+AA267</f>
        <v>-0.375</v>
      </c>
      <c r="AB689" s="298" t="n">
        <f aca="false">+AB267</f>
        <v>-0.375</v>
      </c>
      <c r="AC689" s="298" t="n">
        <f aca="false">+AC267</f>
        <v>-0.375</v>
      </c>
    </row>
    <row r="690" customFormat="false" ht="11.25" hidden="false" customHeight="false" outlineLevel="0" collapsed="false">
      <c r="A690" s="168" t="s">
        <v>553</v>
      </c>
      <c r="C690" s="35"/>
      <c r="D690" s="35"/>
      <c r="E690" s="296"/>
      <c r="F690" s="296"/>
      <c r="G690" s="296"/>
      <c r="H690" s="296"/>
      <c r="I690" s="299" t="n">
        <f aca="false">I685*I689</f>
        <v>-0</v>
      </c>
      <c r="J690" s="299" t="n">
        <f aca="false">J685*J689</f>
        <v>-0</v>
      </c>
      <c r="K690" s="299" t="n">
        <f aca="false">K685*K689</f>
        <v>-0</v>
      </c>
      <c r="L690" s="299" t="n">
        <f aca="false">L685*L689</f>
        <v>-0</v>
      </c>
      <c r="M690" s="299" t="n">
        <f aca="false">M685*M689</f>
        <v>-0</v>
      </c>
      <c r="N690" s="299" t="n">
        <f aca="false">N685*N689</f>
        <v>-0</v>
      </c>
      <c r="O690" s="299" t="n">
        <f aca="false">O685*O689</f>
        <v>-0</v>
      </c>
      <c r="P690" s="299" t="n">
        <f aca="false">P685*P689</f>
        <v>-0</v>
      </c>
      <c r="Q690" s="299" t="n">
        <f aca="false">Q685*Q689</f>
        <v>-0</v>
      </c>
      <c r="R690" s="299" t="n">
        <f aca="false">R685*R689</f>
        <v>-0</v>
      </c>
      <c r="S690" s="299" t="n">
        <f aca="false">S685*S689</f>
        <v>-0</v>
      </c>
      <c r="T690" s="299" t="n">
        <f aca="false">T685*T689</f>
        <v>-0</v>
      </c>
      <c r="U690" s="299" t="n">
        <f aca="false">U685*U689</f>
        <v>-0</v>
      </c>
      <c r="V690" s="299" t="n">
        <f aca="false">V685*V689</f>
        <v>-0</v>
      </c>
      <c r="W690" s="299" t="n">
        <f aca="false">W685*W689</f>
        <v>-0</v>
      </c>
      <c r="X690" s="299" t="n">
        <f aca="false">X685*X689</f>
        <v>-0</v>
      </c>
      <c r="Y690" s="299" t="n">
        <f aca="false">Y685*Y689</f>
        <v>-0</v>
      </c>
      <c r="Z690" s="299" t="n">
        <f aca="false">Z685*Z689</f>
        <v>-0</v>
      </c>
      <c r="AA690" s="299" t="n">
        <f aca="false">AA685*AA689</f>
        <v>-0</v>
      </c>
      <c r="AB690" s="299" t="n">
        <f aca="false">AB685*AB689</f>
        <v>-0</v>
      </c>
      <c r="AC690" s="299" t="n">
        <f aca="false">AC685*AC689</f>
        <v>-0</v>
      </c>
    </row>
    <row r="691" customFormat="false" ht="11.25" hidden="false" customHeight="false" outlineLevel="0" collapsed="false">
      <c r="A691" s="35"/>
      <c r="C691" s="35"/>
      <c r="D691" s="35"/>
      <c r="E691" s="296"/>
      <c r="F691" s="296"/>
      <c r="G691" s="296"/>
      <c r="H691" s="296"/>
      <c r="I691" s="296"/>
      <c r="J691" s="296"/>
      <c r="K691" s="296"/>
      <c r="L691" s="296"/>
      <c r="M691" s="296"/>
      <c r="N691" s="296"/>
      <c r="O691" s="296"/>
      <c r="P691" s="296"/>
      <c r="Q691" s="296"/>
      <c r="R691" s="296"/>
      <c r="S691" s="296"/>
      <c r="T691" s="296"/>
      <c r="U691" s="296"/>
      <c r="V691" s="296"/>
      <c r="W691" s="296"/>
      <c r="X691" s="296"/>
      <c r="Y691" s="296"/>
      <c r="Z691" s="296"/>
      <c r="AA691" s="296"/>
      <c r="AB691" s="296"/>
      <c r="AC691" s="296"/>
    </row>
    <row r="692" customFormat="false" ht="11.25" hidden="false" customHeight="false" outlineLevel="0" collapsed="false">
      <c r="A692" s="35" t="s">
        <v>557</v>
      </c>
      <c r="C692" s="35"/>
      <c r="D692" s="35"/>
      <c r="E692" s="158" t="n">
        <f aca="false">E682-E690</f>
        <v>0</v>
      </c>
      <c r="F692" s="158" t="n">
        <f aca="false">F682-F690</f>
        <v>0</v>
      </c>
      <c r="G692" s="158" t="n">
        <f aca="false">G682-G690</f>
        <v>0</v>
      </c>
      <c r="H692" s="158" t="n">
        <f aca="false">H682-H690</f>
        <v>0</v>
      </c>
      <c r="I692" s="158" t="n">
        <f aca="false">I682-I690</f>
        <v>-355.589546658371</v>
      </c>
      <c r="J692" s="158" t="n">
        <f aca="false">J682-J690</f>
        <v>-834.920843316741</v>
      </c>
      <c r="K692" s="158" t="n">
        <f aca="false">K682-K690</f>
        <v>-831.119836636887</v>
      </c>
      <c r="L692" s="158" t="n">
        <f aca="false">L682-L690</f>
        <v>-819.107284094597</v>
      </c>
      <c r="M692" s="158" t="n">
        <f aca="false">M682-M690</f>
        <v>-778.98188730488</v>
      </c>
      <c r="N692" s="158" t="n">
        <f aca="false">N682-N690</f>
        <v>-747.114012077928</v>
      </c>
      <c r="O692" s="158" t="n">
        <f aca="false">O682-O690</f>
        <v>-668.669156745836</v>
      </c>
      <c r="P692" s="158" t="n">
        <f aca="false">P682-P690</f>
        <v>-587.875026471521</v>
      </c>
      <c r="Q692" s="158" t="n">
        <f aca="false">Q682-Q690</f>
        <v>-515.489627317247</v>
      </c>
      <c r="R692" s="158" t="n">
        <f aca="false">R682-R690</f>
        <v>-443.528892917796</v>
      </c>
      <c r="S692" s="158" t="n">
        <f aca="false">S682-S690</f>
        <v>-378.372566871636</v>
      </c>
      <c r="T692" s="158" t="n">
        <f aca="false">T682-T690</f>
        <v>-319.661762354523</v>
      </c>
      <c r="U692" s="158" t="n">
        <f aca="false">U682-U690</f>
        <v>-269.313308628322</v>
      </c>
      <c r="V692" s="158" t="n">
        <f aca="false">V682-V690</f>
        <v>-221.805298487273</v>
      </c>
      <c r="W692" s="158" t="n">
        <f aca="false">W682-W690</f>
        <v>-182.415797480162</v>
      </c>
      <c r="X692" s="158" t="n">
        <f aca="false">X682-X690</f>
        <v>-148.260841024796</v>
      </c>
      <c r="Y692" s="158" t="n">
        <f aca="false">Y682-Y690</f>
        <v>-116.809255198618</v>
      </c>
      <c r="Z692" s="158" t="n">
        <f aca="false">Z682-Z690</f>
        <v>-85.8876168279517</v>
      </c>
      <c r="AA692" s="158" t="n">
        <f aca="false">AA682-AA690</f>
        <v>-65.5391941806683</v>
      </c>
      <c r="AB692" s="158" t="n">
        <f aca="false">AB682-AB690</f>
        <v>-50.3317316720236</v>
      </c>
      <c r="AC692" s="158" t="n">
        <f aca="false">AC682-AC690</f>
        <v>-41.7558360193784</v>
      </c>
    </row>
    <row r="693" customFormat="false" ht="12" hidden="false" customHeight="false" outlineLevel="0" collapsed="false">
      <c r="A693" s="35"/>
      <c r="C693" s="35"/>
      <c r="D693" s="35"/>
      <c r="E693" s="149"/>
      <c r="F693" s="149"/>
      <c r="G693" s="149"/>
      <c r="H693" s="149"/>
      <c r="I693" s="149"/>
      <c r="J693" s="149"/>
      <c r="K693" s="149"/>
      <c r="L693" s="149"/>
      <c r="M693" s="149"/>
      <c r="N693" s="149"/>
      <c r="O693" s="149"/>
      <c r="P693" s="149"/>
      <c r="Q693" s="149"/>
      <c r="R693" s="149"/>
      <c r="S693" s="149"/>
      <c r="T693" s="149"/>
      <c r="U693" s="149"/>
      <c r="V693" s="149"/>
      <c r="W693" s="149"/>
      <c r="X693" s="149"/>
      <c r="Y693" s="149"/>
      <c r="Z693" s="149"/>
      <c r="AA693" s="149"/>
      <c r="AB693" s="149"/>
      <c r="AC693" s="149"/>
    </row>
    <row r="694" customFormat="false" ht="12" hidden="false" customHeight="false" outlineLevel="0" collapsed="false">
      <c r="A694" s="130"/>
      <c r="B694" s="130"/>
      <c r="C694" s="130"/>
      <c r="D694" s="130"/>
      <c r="E694" s="130"/>
      <c r="F694" s="130"/>
      <c r="G694" s="130"/>
      <c r="H694" s="130"/>
      <c r="I694" s="130"/>
      <c r="J694" s="130"/>
      <c r="K694" s="130"/>
      <c r="L694" s="130"/>
      <c r="M694" s="130"/>
      <c r="N694" s="130"/>
      <c r="O694" s="130"/>
      <c r="P694" s="130"/>
      <c r="Q694" s="130"/>
      <c r="R694" s="130"/>
      <c r="S694" s="130"/>
      <c r="T694" s="130"/>
      <c r="U694" s="130"/>
      <c r="V694" s="130"/>
      <c r="W694" s="130"/>
      <c r="X694" s="130"/>
      <c r="Y694" s="130"/>
      <c r="Z694" s="130"/>
      <c r="AA694" s="130"/>
      <c r="AB694" s="130"/>
      <c r="AC694" s="130"/>
    </row>
    <row r="695" customFormat="false" ht="11.25" hidden="false" customHeight="false" outlineLevel="0" collapsed="false">
      <c r="A695" s="43" t="s">
        <v>558</v>
      </c>
      <c r="C695" s="35"/>
      <c r="D695" s="35"/>
      <c r="E695" s="295" t="n">
        <f aca="false">IF(E274+E344+E417+E487+E557+E623=0,0,(E274*E278+E344*E348+E417*E421+E487*E491+E557*E561+E623*E627)/(E274+E344+E417+E487+E557+E623))</f>
        <v>0</v>
      </c>
      <c r="F695" s="295" t="n">
        <f aca="false">IF(F274+F344+F417+F487+F557+F623=0,0,(F274*F278+F344*F348+F417*F421+F487*F491+F557*F561+F623*F627)/(F274+F344+F417+F487+F557+F623))</f>
        <v>0</v>
      </c>
      <c r="G695" s="295" t="n">
        <f aca="false">IF(G274+G344+G417+G487+G557+G623=0,0,(G274*G278+G344*G348+G417*G421+G487*G491+G557*G561+G623*G627)/(G274+G344+G417+G487+G557+G623))</f>
        <v>0</v>
      </c>
      <c r="H695" s="295" t="n">
        <f aca="false">IF(H274+H344+H417+H487+H557+H623=0,0,(H274*H278+H344*H348+H417*H421+H487*H491+H557*H561+H623*H627)/(H274+H344+H417+H487+H557+H623))</f>
        <v>0</v>
      </c>
      <c r="I695" s="295" t="n">
        <f aca="false">IF(I274+I344+I417+I487+I557+I623=0,0,(I274*I278+I344*I348+I417*I421+I487*I491+I557*I561+I623*I627)/(I274+I344+I417+I487+I557+I623))</f>
        <v>0</v>
      </c>
      <c r="J695" s="295" t="n">
        <f aca="false">IF(J274+J344+J417+J487+J557+J623=0,0,(J274*J278+J344*J348+J417*J421+J487*J491+J557*J561+J623*J627)/(J274+J344+J417+J487+J557+J623))</f>
        <v>0</v>
      </c>
      <c r="K695" s="295" t="n">
        <f aca="false">IF(K274+K344+K417+K487+K557+K623=0,0,(K274*K278+K344*K348+K417*K421+K487*K491+K557*K561+K623*K627)/(K274+K344+K417+K487+K557+K623))</f>
        <v>0</v>
      </c>
      <c r="L695" s="295" t="n">
        <f aca="false">IF(L274+L344+L417+L487+L557+L623=0,0,(L274*L278+L344*L348+L417*L421+L487*L491+L557*L561+L623*L627)/(L274+L344+L417+L487+L557+L623))</f>
        <v>0</v>
      </c>
      <c r="M695" s="295" t="n">
        <f aca="false">IF(M274+M344+M417+M487+M557+M623=0,0,(M274*M278+M344*M348+M417*M421+M487*M491+M557*M561+M623*M627)/(M274+M344+M417+M487+M557+M623))</f>
        <v>0</v>
      </c>
      <c r="N695" s="295" t="n">
        <f aca="false">IF(N274+N344+N417+N487+N557+N623=0,0,(N274*N278+N344*N348+N417*N421+N487*N491+N557*N561+N623*N627)/(N274+N344+N417+N487+N557+N623))</f>
        <v>0</v>
      </c>
      <c r="O695" s="295" t="n">
        <f aca="false">IF(O274+O344+O417+O487+O557+O623=0,0,(O274*O278+O344*O348+O417*O421+O487*O491+O557*O561+O623*O627)/(O274+O344+O417+O487+O557+O623))</f>
        <v>0</v>
      </c>
      <c r="P695" s="295" t="n">
        <f aca="false">IF(P274+P344+P417+P487+P557+P623=0,0,(P274*P278+P344*P348+P417*P421+P487*P491+P557*P561+P623*P627)/(P274+P344+P417+P487+P557+P623))</f>
        <v>0</v>
      </c>
      <c r="Q695" s="295" t="n">
        <f aca="false">IF(Q274+Q344+Q417+Q487+Q557+Q623=0,0,(Q274*Q278+Q344*Q348+Q417*Q421+Q487*Q491+Q557*Q561+Q623*Q627)/(Q274+Q344+Q417+Q487+Q557+Q623))</f>
        <v>0</v>
      </c>
      <c r="R695" s="295" t="n">
        <f aca="false">IF(R274+R344+R417+R487+R557+R623=0,0,(R274*R278+R344*R348+R417*R421+R487*R491+R557*R561+R623*R627)/(R274+R344+R417+R487+R557+R623))</f>
        <v>0</v>
      </c>
      <c r="S695" s="295" t="n">
        <f aca="false">IF(S274+S344+S417+S487+S557+S623=0,0,(S274*S278+S344*S348+S417*S421+S487*S491+S557*S561+S623*S627)/(S274+S344+S417+S487+S557+S623))</f>
        <v>0</v>
      </c>
      <c r="T695" s="295" t="n">
        <f aca="false">IF(T274+T344+T417+T487+T557+T623=0,0,(T274*T278+T344*T348+T417*T421+T487*T491+T557*T561+T623*T627)/(T274+T344+T417+T487+T557+T623))</f>
        <v>0</v>
      </c>
      <c r="U695" s="295" t="n">
        <f aca="false">IF(U274+U344+U417+U487+U557+U623=0,0,(U274*U278+U344*U348+U417*U421+U487*U491+U557*U561+U623*U627)/(U274+U344+U417+U487+U557+U623))</f>
        <v>0</v>
      </c>
      <c r="V695" s="295" t="n">
        <f aca="false">IF(V274+V344+V417+V487+V557+V623=0,0,(V274*V278+V344*V348+V417*V421+V487*V491+V557*V561+V623*V627)/(V274+V344+V417+V487+V557+V623))</f>
        <v>0</v>
      </c>
      <c r="W695" s="295" t="n">
        <f aca="false">IF(W274+W344+W417+W487+W557+W623=0,0,(W274*W278+W344*W348+W417*W421+W487*W491+W557*W561+W623*W627)/(W274+W344+W417+W487+W557+W623))</f>
        <v>0</v>
      </c>
      <c r="X695" s="295" t="n">
        <f aca="false">IF(X274+X344+X417+X487+X557+X623=0,0,(X274*X278+X344*X348+X417*X421+X487*X491+X557*X561+X623*X627)/(X274+X344+X417+X487+X557+X623))</f>
        <v>0</v>
      </c>
      <c r="Y695" s="295" t="n">
        <f aca="false">IF(Y274+Y344+Y417+Y487+Y557+Y623=0,0,(Y274*Y278+Y344*Y348+Y417*Y421+Y487*Y491+Y557*Y561+Y623*Y627)/(Y274+Y344+Y417+Y487+Y557+Y623))</f>
        <v>0</v>
      </c>
      <c r="Z695" s="295" t="n">
        <f aca="false">IF(Z274+Z344+Z417+Z487+Z557+Z623=0,0,(Z274*Z278+Z344*Z348+Z417*Z421+Z487*Z491+Z557*Z561+Z623*Z627)/(Z274+Z344+Z417+Z487+Z557+Z623))</f>
        <v>0</v>
      </c>
      <c r="AA695" s="295" t="n">
        <f aca="false">IF(AA274+AA344+AA417+AA487+AA557+AA623=0,0,(AA274*AA278+AA344*AA348+AA417*AA421+AA487*AA491+AA557*AA561+AA623*AA627)/(AA274+AA344+AA417+AA487+AA557+AA623))</f>
        <v>0</v>
      </c>
      <c r="AB695" s="295" t="n">
        <f aca="false">IF(AB274+AB344+AB417+AB487+AB557+AB623=0,0,(AB274*AB278+AB344*AB348+AB417*AB421+AB487*AB491+AB557*AB561+AB623*AB627)/(AB274+AB344+AB417+AB487+AB557+AB623))</f>
        <v>0</v>
      </c>
      <c r="AC695" s="295" t="n">
        <f aca="false">IF(AC274+AC344+AC417+AC487+AC557+AC623=0,0,(AC274*AC278+AC344*AC348+AC417*AC421+AC487*AC491+AC557*AC561+AC623*AC627)/(AC274+AC344+AC417+AC487+AC557+AC623))</f>
        <v>0</v>
      </c>
    </row>
    <row r="696" customFormat="false" ht="11.25" hidden="false" customHeight="false" outlineLevel="0" collapsed="false">
      <c r="A696" s="43" t="s">
        <v>559</v>
      </c>
      <c r="C696" s="35"/>
      <c r="D696" s="35"/>
      <c r="E696" s="35" t="n">
        <f aca="false">E274+E344+E417+E487+E557+E623</f>
        <v>0</v>
      </c>
      <c r="F696" s="35" t="n">
        <f aca="false">F274+F344+F417+F487+F557+F623</f>
        <v>0</v>
      </c>
      <c r="G696" s="35" t="n">
        <f aca="false">G274+G344+G417+G487+G557+G623</f>
        <v>0</v>
      </c>
      <c r="H696" s="35" t="n">
        <f aca="false">H274+H344+H417+H487+H557+H623</f>
        <v>0</v>
      </c>
      <c r="I696" s="35" t="n">
        <f aca="false">I274+I344+I417+I487+I557+I623</f>
        <v>0</v>
      </c>
      <c r="J696" s="35" t="n">
        <f aca="false">J274+J344+J417+J487+J557+J623</f>
        <v>0</v>
      </c>
      <c r="K696" s="35" t="n">
        <f aca="false">K274+K344+K417+K487+K557+K623</f>
        <v>0</v>
      </c>
      <c r="L696" s="35" t="n">
        <f aca="false">L274+L344+L417+L487+L557+L623</f>
        <v>0</v>
      </c>
      <c r="M696" s="35" t="n">
        <f aca="false">M274+M344+M417+M487+M557+M623</f>
        <v>0</v>
      </c>
      <c r="N696" s="35" t="n">
        <f aca="false">N274+N344+N417+N487+N557+N623</f>
        <v>0</v>
      </c>
      <c r="O696" s="35" t="n">
        <f aca="false">O274+O344+O417+O487+O557+O623</f>
        <v>0</v>
      </c>
      <c r="P696" s="35" t="n">
        <f aca="false">P274+P344+P417+P487+P557+P623</f>
        <v>0</v>
      </c>
      <c r="Q696" s="35" t="n">
        <f aca="false">Q274+Q344+Q417+Q487+Q557+Q623</f>
        <v>0</v>
      </c>
      <c r="R696" s="35" t="n">
        <f aca="false">R274+R344+R417+R487+R557+R623</f>
        <v>0</v>
      </c>
      <c r="S696" s="35" t="n">
        <f aca="false">S274+S344+S417+S487+S557+S623</f>
        <v>0</v>
      </c>
      <c r="T696" s="35" t="n">
        <f aca="false">T274+T344+T417+T487+T557+T623</f>
        <v>0</v>
      </c>
      <c r="U696" s="35" t="n">
        <f aca="false">U274+U344+U417+U487+U557+U623</f>
        <v>0</v>
      </c>
      <c r="V696" s="35" t="n">
        <f aca="false">V274+V344+V417+V487+V557+V623</f>
        <v>0</v>
      </c>
      <c r="W696" s="35" t="n">
        <f aca="false">W274+W344+W417+W487+W557+W623</f>
        <v>0</v>
      </c>
      <c r="X696" s="35" t="n">
        <f aca="false">X274+X344+X417+X487+X557+X623</f>
        <v>0</v>
      </c>
      <c r="Y696" s="35" t="n">
        <f aca="false">Y274+Y344+Y417+Y487+Y557+Y623</f>
        <v>0</v>
      </c>
      <c r="Z696" s="35" t="n">
        <f aca="false">Z274+Z344+Z417+Z487+Z557+Z623</f>
        <v>0</v>
      </c>
      <c r="AA696" s="35" t="n">
        <f aca="false">AA274+AA344+AA417+AA487+AA557+AA623</f>
        <v>0</v>
      </c>
      <c r="AB696" s="35" t="n">
        <f aca="false">AB274+AB344+AB417+AB487+AB557+AB623</f>
        <v>0</v>
      </c>
      <c r="AC696" s="35" t="n">
        <f aca="false">AC274+AC344+AC417+AC487+AC557+AC623</f>
        <v>0</v>
      </c>
    </row>
    <row r="697" customFormat="false" ht="11.25" hidden="false" customHeight="false" outlineLevel="0" collapsed="false">
      <c r="A697" s="43" t="s">
        <v>560</v>
      </c>
      <c r="C697" s="35"/>
      <c r="D697" s="35"/>
      <c r="E697" s="158" t="n">
        <f aca="false">E695*E696*1000/unit</f>
        <v>0</v>
      </c>
      <c r="F697" s="158" t="n">
        <f aca="false">F695*F696</f>
        <v>0</v>
      </c>
      <c r="G697" s="158" t="n">
        <f aca="false">G695*G696*1000/unit</f>
        <v>0</v>
      </c>
      <c r="H697" s="158" t="n">
        <f aca="false">H695*H696*1000/unit</f>
        <v>0</v>
      </c>
      <c r="I697" s="158" t="n">
        <f aca="false">I695*I696*1000/unit</f>
        <v>0</v>
      </c>
      <c r="J697" s="158" t="n">
        <f aca="false">J695*J696*1000/unit</f>
        <v>0</v>
      </c>
      <c r="K697" s="158" t="n">
        <f aca="false">K695*K696*1000/unit</f>
        <v>0</v>
      </c>
      <c r="L697" s="158" t="n">
        <f aca="false">L695*L696*1000/unit</f>
        <v>0</v>
      </c>
      <c r="M697" s="158" t="n">
        <f aca="false">M695*M696*1000/unit</f>
        <v>0</v>
      </c>
      <c r="N697" s="158" t="n">
        <f aca="false">N695*N696*1000/unit</f>
        <v>0</v>
      </c>
      <c r="O697" s="158" t="n">
        <f aca="false">O695*O696*1000/unit</f>
        <v>0</v>
      </c>
      <c r="P697" s="158" t="n">
        <f aca="false">P695*P696*1000/unit</f>
        <v>0</v>
      </c>
      <c r="Q697" s="158" t="n">
        <f aca="false">Q695*Q696*1000/unit</f>
        <v>0</v>
      </c>
      <c r="R697" s="158" t="n">
        <f aca="false">R695*R696*1000/unit</f>
        <v>0</v>
      </c>
      <c r="S697" s="158" t="n">
        <f aca="false">S695*S696*1000/unit</f>
        <v>0</v>
      </c>
      <c r="T697" s="158" t="n">
        <f aca="false">T695*T696*1000/unit</f>
        <v>0</v>
      </c>
      <c r="U697" s="158" t="n">
        <f aca="false">U695*U696*1000/unit</f>
        <v>0</v>
      </c>
      <c r="V697" s="158" t="n">
        <f aca="false">V695*V696*1000/unit</f>
        <v>0</v>
      </c>
      <c r="W697" s="158" t="n">
        <f aca="false">W695*W696*1000/unit</f>
        <v>0</v>
      </c>
      <c r="X697" s="158" t="n">
        <f aca="false">X695*X696*1000/unit</f>
        <v>0</v>
      </c>
      <c r="Y697" s="158" t="n">
        <f aca="false">Y695*Y696*1000/unit</f>
        <v>0</v>
      </c>
      <c r="Z697" s="158" t="n">
        <f aca="false">Z695*Z696*1000/unit</f>
        <v>0</v>
      </c>
      <c r="AA697" s="158" t="n">
        <f aca="false">AA695*AA696*1000/unit</f>
        <v>0</v>
      </c>
      <c r="AB697" s="158" t="n">
        <f aca="false">AB695*AB696*1000/unit</f>
        <v>0</v>
      </c>
      <c r="AC697" s="158" t="n">
        <f aca="false">AC695*AC696*1000/unit</f>
        <v>0</v>
      </c>
    </row>
    <row r="698" customFormat="false" ht="11.25" hidden="false" customHeight="false" outlineLevel="0" collapsed="false">
      <c r="A698" s="35"/>
      <c r="C698" s="35"/>
      <c r="D698" s="35"/>
      <c r="E698" s="35"/>
      <c r="F698" s="35"/>
      <c r="G698" s="35"/>
      <c r="H698" s="35"/>
      <c r="I698" s="35"/>
      <c r="J698" s="35"/>
      <c r="K698" s="35"/>
      <c r="L698" s="35"/>
      <c r="M698" s="35"/>
      <c r="N698" s="35"/>
      <c r="O698" s="35"/>
      <c r="P698" s="35"/>
      <c r="Q698" s="35"/>
      <c r="R698" s="35"/>
      <c r="S698" s="35"/>
      <c r="T698" s="35"/>
      <c r="U698" s="35"/>
      <c r="V698" s="35"/>
      <c r="W698" s="35"/>
      <c r="X698" s="35"/>
      <c r="Y698" s="35"/>
      <c r="Z698" s="35"/>
      <c r="AA698" s="35"/>
      <c r="AB698" s="35"/>
      <c r="AC698" s="35"/>
    </row>
    <row r="699" customFormat="false" ht="11.25" hidden="false" customHeight="false" outlineLevel="0" collapsed="false">
      <c r="A699" s="44" t="s">
        <v>548</v>
      </c>
      <c r="C699" s="35"/>
      <c r="D699" s="35"/>
      <c r="E699" s="296"/>
      <c r="F699" s="296"/>
      <c r="G699" s="296"/>
      <c r="H699" s="296"/>
      <c r="I699" s="50" t="n">
        <v>0</v>
      </c>
      <c r="J699" s="50" t="n">
        <v>0</v>
      </c>
      <c r="K699" s="50" t="n">
        <v>0</v>
      </c>
      <c r="L699" s="50" t="n">
        <v>0</v>
      </c>
      <c r="M699" s="50" t="n">
        <v>0</v>
      </c>
      <c r="N699" s="50" t="n">
        <v>0</v>
      </c>
      <c r="O699" s="50" t="n">
        <v>0</v>
      </c>
      <c r="P699" s="50" t="n">
        <v>0</v>
      </c>
      <c r="Q699" s="50" t="n">
        <v>0</v>
      </c>
      <c r="R699" s="50" t="n">
        <v>0</v>
      </c>
      <c r="S699" s="50" t="n">
        <v>0</v>
      </c>
      <c r="T699" s="50" t="n">
        <v>0</v>
      </c>
      <c r="U699" s="50" t="n">
        <v>0</v>
      </c>
      <c r="V699" s="50" t="n">
        <v>0</v>
      </c>
      <c r="W699" s="50" t="n">
        <v>0</v>
      </c>
      <c r="X699" s="50" t="n">
        <v>0</v>
      </c>
      <c r="Y699" s="50" t="n">
        <v>0</v>
      </c>
      <c r="Z699" s="50" t="n">
        <v>0</v>
      </c>
      <c r="AA699" s="50" t="n">
        <v>0</v>
      </c>
      <c r="AB699" s="50" t="n">
        <v>0</v>
      </c>
      <c r="AC699" s="50" t="n">
        <v>0</v>
      </c>
    </row>
    <row r="700" customFormat="false" ht="11.25" hidden="false" customHeight="false" outlineLevel="0" collapsed="false">
      <c r="A700" s="44" t="s">
        <v>549</v>
      </c>
      <c r="C700" s="35"/>
      <c r="D700" s="35"/>
      <c r="E700" s="296"/>
      <c r="F700" s="296"/>
      <c r="G700" s="296"/>
      <c r="H700" s="296"/>
      <c r="I700" s="5" t="n">
        <f aca="false">IF(I696&lt;0,0,MIN(I696,I699-+H702))</f>
        <v>0</v>
      </c>
      <c r="J700" s="5" t="n">
        <f aca="false">IF(J696&lt;0,0,MIN(J696,J699-+I702))</f>
        <v>0</v>
      </c>
      <c r="K700" s="5" t="n">
        <f aca="false">IF(K696&lt;0,0,MIN(K696,K699-+J702))</f>
        <v>0</v>
      </c>
      <c r="L700" s="5" t="n">
        <f aca="false">IF(L696&lt;0,0,MIN(L696,L699-+K702))</f>
        <v>0</v>
      </c>
      <c r="M700" s="5" t="n">
        <f aca="false">IF(M696&lt;0,0,MIN(M696,M699-+L702))</f>
        <v>0</v>
      </c>
      <c r="N700" s="5" t="n">
        <f aca="false">IF(N696&lt;0,0,MIN(N696,N699-+M702))</f>
        <v>0</v>
      </c>
      <c r="O700" s="5" t="n">
        <f aca="false">IF(O696&lt;0,0,MIN(O696,O699-+N702))</f>
        <v>0</v>
      </c>
      <c r="P700" s="5" t="n">
        <f aca="false">IF(P696&lt;0,0,MIN(P696,P699-+O702))</f>
        <v>0</v>
      </c>
      <c r="Q700" s="5" t="n">
        <f aca="false">IF(Q696&lt;0,0,MIN(Q696,Q699-+P702))</f>
        <v>0</v>
      </c>
      <c r="R700" s="5" t="n">
        <f aca="false">IF(R696&lt;0,0,MIN(R696,R699-+Q702))</f>
        <v>0</v>
      </c>
      <c r="S700" s="5" t="n">
        <f aca="false">IF(S696&lt;0,0,MIN(S696,S699-+R702))</f>
        <v>0</v>
      </c>
      <c r="T700" s="5" t="n">
        <f aca="false">IF(T696&lt;0,0,MIN(T696,T699-+S702))</f>
        <v>0</v>
      </c>
      <c r="U700" s="5" t="n">
        <f aca="false">IF(U696&lt;0,0,MIN(U696,U699-+T702))</f>
        <v>0</v>
      </c>
      <c r="V700" s="5" t="n">
        <f aca="false">IF(V696&lt;0,0,MIN(V696,V699-+U702))</f>
        <v>0</v>
      </c>
      <c r="W700" s="5" t="n">
        <f aca="false">IF(W696&lt;0,0,MIN(W696,W699-+V702))</f>
        <v>0</v>
      </c>
      <c r="X700" s="5" t="n">
        <f aca="false">IF(X696&lt;0,0,MIN(X696,X699-+W702))</f>
        <v>0</v>
      </c>
      <c r="Y700" s="5" t="n">
        <f aca="false">IF(Y696&lt;0,0,MIN(Y696,Y699-+X702))</f>
        <v>0</v>
      </c>
      <c r="Z700" s="5" t="n">
        <f aca="false">IF(Z696&lt;0,0,MIN(Z696,Z699-+Y702))</f>
        <v>0</v>
      </c>
      <c r="AA700" s="5" t="n">
        <f aca="false">IF(AA696&lt;0,0,MIN(AA696,AA699-+Z702))</f>
        <v>0</v>
      </c>
      <c r="AB700" s="5" t="n">
        <f aca="false">IF(AB696&lt;0,0,MIN(AB696,AB699-+AA702))</f>
        <v>0</v>
      </c>
      <c r="AC700" s="5" t="n">
        <f aca="false">IF(AC696&lt;0,0,MIN(AC696,AC699-+AB702))</f>
        <v>0</v>
      </c>
    </row>
    <row r="701" customFormat="false" ht="11.25" hidden="false" customHeight="false" outlineLevel="0" collapsed="false">
      <c r="A701" s="44" t="s">
        <v>550</v>
      </c>
      <c r="C701" s="35"/>
      <c r="D701" s="35"/>
      <c r="E701" s="296"/>
      <c r="F701" s="296"/>
      <c r="G701" s="296"/>
      <c r="H701" s="296"/>
      <c r="I701" s="5" t="n">
        <f aca="false">+I700-I699</f>
        <v>0</v>
      </c>
      <c r="J701" s="5" t="n">
        <f aca="false">+J700-J699</f>
        <v>0</v>
      </c>
      <c r="K701" s="5" t="n">
        <f aca="false">+K700-K699</f>
        <v>0</v>
      </c>
      <c r="L701" s="5" t="n">
        <f aca="false">+L700-L699</f>
        <v>0</v>
      </c>
      <c r="M701" s="5" t="n">
        <f aca="false">+M700-M699</f>
        <v>0</v>
      </c>
      <c r="N701" s="5" t="n">
        <f aca="false">+N700-N699</f>
        <v>0</v>
      </c>
      <c r="O701" s="5" t="n">
        <f aca="false">+O700-O699</f>
        <v>0</v>
      </c>
      <c r="P701" s="5" t="n">
        <f aca="false">+P700-P699</f>
        <v>0</v>
      </c>
      <c r="Q701" s="5" t="n">
        <f aca="false">+Q700-Q699</f>
        <v>0</v>
      </c>
      <c r="R701" s="5" t="n">
        <f aca="false">+R700-R699</f>
        <v>0</v>
      </c>
      <c r="S701" s="5" t="n">
        <f aca="false">+S700-S699</f>
        <v>0</v>
      </c>
      <c r="T701" s="5" t="n">
        <f aca="false">+T700-T699</f>
        <v>0</v>
      </c>
      <c r="U701" s="5" t="n">
        <f aca="false">+U700-U699</f>
        <v>0</v>
      </c>
      <c r="V701" s="5" t="n">
        <f aca="false">+V700-V699</f>
        <v>0</v>
      </c>
      <c r="W701" s="5" t="n">
        <f aca="false">+W700-W699</f>
        <v>0</v>
      </c>
      <c r="X701" s="5" t="n">
        <f aca="false">+X700-X699</f>
        <v>0</v>
      </c>
      <c r="Y701" s="5" t="n">
        <f aca="false">+Y700-Y699</f>
        <v>0</v>
      </c>
      <c r="Z701" s="5" t="n">
        <f aca="false">+Z700-Z699</f>
        <v>0</v>
      </c>
      <c r="AA701" s="5" t="n">
        <f aca="false">+AA700-AA699</f>
        <v>0</v>
      </c>
      <c r="AB701" s="5" t="n">
        <f aca="false">+AB700-AB699</f>
        <v>0</v>
      </c>
      <c r="AC701" s="5" t="n">
        <f aca="false">+AC700-AC699</f>
        <v>0</v>
      </c>
    </row>
    <row r="702" customFormat="false" ht="11.25" hidden="false" customHeight="false" outlineLevel="0" collapsed="false">
      <c r="A702" s="44" t="s">
        <v>551</v>
      </c>
      <c r="C702" s="35"/>
      <c r="D702" s="35"/>
      <c r="E702" s="296"/>
      <c r="F702" s="296"/>
      <c r="G702" s="296"/>
      <c r="H702" s="296"/>
      <c r="I702" s="296" t="n">
        <f aca="false">+I701+H702</f>
        <v>0</v>
      </c>
      <c r="J702" s="296" t="n">
        <f aca="false">+J701+I702</f>
        <v>0</v>
      </c>
      <c r="K702" s="296" t="n">
        <f aca="false">+K701+J702</f>
        <v>0</v>
      </c>
      <c r="L702" s="296" t="n">
        <f aca="false">+L701+K702</f>
        <v>0</v>
      </c>
      <c r="M702" s="296" t="n">
        <f aca="false">+M701+L702</f>
        <v>0</v>
      </c>
      <c r="N702" s="296" t="n">
        <f aca="false">+N701+M702</f>
        <v>0</v>
      </c>
      <c r="O702" s="296" t="n">
        <f aca="false">+O701+N702</f>
        <v>0</v>
      </c>
      <c r="P702" s="296" t="n">
        <f aca="false">+P701+O702</f>
        <v>0</v>
      </c>
      <c r="Q702" s="296" t="n">
        <f aca="false">+Q701+P702</f>
        <v>0</v>
      </c>
      <c r="R702" s="296" t="n">
        <f aca="false">+R701+Q702</f>
        <v>0</v>
      </c>
      <c r="S702" s="296" t="n">
        <f aca="false">+S701+R702</f>
        <v>0</v>
      </c>
      <c r="T702" s="296" t="n">
        <f aca="false">+T701+S702</f>
        <v>0</v>
      </c>
      <c r="U702" s="296" t="n">
        <f aca="false">+U701+T702</f>
        <v>0</v>
      </c>
      <c r="V702" s="296" t="n">
        <f aca="false">+V701+U702</f>
        <v>0</v>
      </c>
      <c r="W702" s="296" t="n">
        <f aca="false">+W701+V702</f>
        <v>0</v>
      </c>
      <c r="X702" s="296" t="n">
        <f aca="false">+X701+W702</f>
        <v>0</v>
      </c>
      <c r="Y702" s="296" t="n">
        <f aca="false">+Y701+X702</f>
        <v>0</v>
      </c>
      <c r="Z702" s="296" t="n">
        <f aca="false">+Z701+Y702</f>
        <v>0</v>
      </c>
      <c r="AA702" s="296" t="n">
        <f aca="false">+AA701+Z702</f>
        <v>0</v>
      </c>
      <c r="AB702" s="296" t="n">
        <f aca="false">+AB701+AA702</f>
        <v>0</v>
      </c>
      <c r="AC702" s="296" t="n">
        <f aca="false">+AC701+AB702</f>
        <v>0</v>
      </c>
    </row>
    <row r="703" customFormat="false" ht="11.25" hidden="false" customHeight="false" outlineLevel="0" collapsed="false">
      <c r="A703" s="297"/>
      <c r="C703" s="35"/>
      <c r="D703" s="35"/>
      <c r="E703" s="296"/>
      <c r="F703" s="296"/>
      <c r="G703" s="296"/>
      <c r="H703" s="296"/>
      <c r="I703" s="296"/>
      <c r="J703" s="296"/>
      <c r="K703" s="296"/>
      <c r="L703" s="296"/>
      <c r="M703" s="296"/>
      <c r="N703" s="296"/>
      <c r="O703" s="296"/>
      <c r="P703" s="296"/>
      <c r="Q703" s="296"/>
      <c r="R703" s="296"/>
      <c r="S703" s="296"/>
      <c r="T703" s="296"/>
      <c r="U703" s="296"/>
      <c r="V703" s="296"/>
      <c r="W703" s="296"/>
      <c r="X703" s="296"/>
      <c r="Y703" s="296"/>
      <c r="Z703" s="296"/>
      <c r="AA703" s="296"/>
      <c r="AB703" s="296"/>
      <c r="AC703" s="296"/>
    </row>
    <row r="704" customFormat="false" ht="11.25" hidden="false" customHeight="false" outlineLevel="0" collapsed="false">
      <c r="A704" s="168" t="s">
        <v>552</v>
      </c>
      <c r="C704" s="35"/>
      <c r="D704" s="35"/>
      <c r="E704" s="296"/>
      <c r="F704" s="296"/>
      <c r="G704" s="296"/>
      <c r="H704" s="296"/>
      <c r="I704" s="298" t="n">
        <f aca="false">+I278</f>
        <v>0</v>
      </c>
      <c r="J704" s="298" t="n">
        <f aca="false">+J278</f>
        <v>0</v>
      </c>
      <c r="K704" s="298" t="n">
        <f aca="false">+K278</f>
        <v>0</v>
      </c>
      <c r="L704" s="298" t="n">
        <f aca="false">+L278</f>
        <v>0</v>
      </c>
      <c r="M704" s="298" t="n">
        <f aca="false">+M278</f>
        <v>0</v>
      </c>
      <c r="N704" s="298" t="n">
        <f aca="false">+N278</f>
        <v>0</v>
      </c>
      <c r="O704" s="298" t="n">
        <f aca="false">+O278</f>
        <v>0</v>
      </c>
      <c r="P704" s="298" t="n">
        <f aca="false">+P278</f>
        <v>0</v>
      </c>
      <c r="Q704" s="298" t="n">
        <f aca="false">+Q278</f>
        <v>0</v>
      </c>
      <c r="R704" s="298" t="n">
        <f aca="false">+R278</f>
        <v>0</v>
      </c>
      <c r="S704" s="298" t="n">
        <f aca="false">+S278</f>
        <v>0</v>
      </c>
      <c r="T704" s="298" t="n">
        <f aca="false">+T278</f>
        <v>0</v>
      </c>
      <c r="U704" s="298" t="n">
        <f aca="false">+U278</f>
        <v>0</v>
      </c>
      <c r="V704" s="298" t="n">
        <f aca="false">+V278</f>
        <v>0</v>
      </c>
      <c r="W704" s="298" t="n">
        <f aca="false">+W278</f>
        <v>0</v>
      </c>
      <c r="X704" s="298" t="n">
        <f aca="false">+X278</f>
        <v>0</v>
      </c>
      <c r="Y704" s="298" t="n">
        <f aca="false">+Y278</f>
        <v>0</v>
      </c>
      <c r="Z704" s="298" t="n">
        <f aca="false">+Z278</f>
        <v>0</v>
      </c>
      <c r="AA704" s="298" t="n">
        <f aca="false">+AA278</f>
        <v>0</v>
      </c>
      <c r="AB704" s="298" t="n">
        <f aca="false">+AB278</f>
        <v>0</v>
      </c>
      <c r="AC704" s="298" t="n">
        <f aca="false">+AC278</f>
        <v>0</v>
      </c>
    </row>
    <row r="705" customFormat="false" ht="11.25" hidden="false" customHeight="false" outlineLevel="0" collapsed="false">
      <c r="A705" s="168" t="s">
        <v>553</v>
      </c>
      <c r="C705" s="35"/>
      <c r="D705" s="35"/>
      <c r="E705" s="296"/>
      <c r="F705" s="296"/>
      <c r="G705" s="296"/>
      <c r="H705" s="296"/>
      <c r="I705" s="299" t="n">
        <f aca="false">I700*I704</f>
        <v>0</v>
      </c>
      <c r="J705" s="299" t="n">
        <f aca="false">J700*J704</f>
        <v>0</v>
      </c>
      <c r="K705" s="299" t="n">
        <f aca="false">K700*K704</f>
        <v>0</v>
      </c>
      <c r="L705" s="299" t="n">
        <f aca="false">L700*L704</f>
        <v>0</v>
      </c>
      <c r="M705" s="299" t="n">
        <f aca="false">M700*M704</f>
        <v>0</v>
      </c>
      <c r="N705" s="299" t="n">
        <f aca="false">N700*N704</f>
        <v>0</v>
      </c>
      <c r="O705" s="299" t="n">
        <f aca="false">O700*O704</f>
        <v>0</v>
      </c>
      <c r="P705" s="299" t="n">
        <f aca="false">P700*P704</f>
        <v>0</v>
      </c>
      <c r="Q705" s="299" t="n">
        <f aca="false">Q700*Q704</f>
        <v>0</v>
      </c>
      <c r="R705" s="299" t="n">
        <f aca="false">R700*R704</f>
        <v>0</v>
      </c>
      <c r="S705" s="299" t="n">
        <f aca="false">S700*S704</f>
        <v>0</v>
      </c>
      <c r="T705" s="299" t="n">
        <f aca="false">T700*T704</f>
        <v>0</v>
      </c>
      <c r="U705" s="299" t="n">
        <f aca="false">U700*U704</f>
        <v>0</v>
      </c>
      <c r="V705" s="299" t="n">
        <f aca="false">V700*V704</f>
        <v>0</v>
      </c>
      <c r="W705" s="299" t="n">
        <f aca="false">W700*W704</f>
        <v>0</v>
      </c>
      <c r="X705" s="299" t="n">
        <f aca="false">X700*X704</f>
        <v>0</v>
      </c>
      <c r="Y705" s="299" t="n">
        <f aca="false">Y700*Y704</f>
        <v>0</v>
      </c>
      <c r="Z705" s="299" t="n">
        <f aca="false">Z700*Z704</f>
        <v>0</v>
      </c>
      <c r="AA705" s="299" t="n">
        <f aca="false">AA700*AA704</f>
        <v>0</v>
      </c>
      <c r="AB705" s="299" t="n">
        <f aca="false">AB700*AB704</f>
        <v>0</v>
      </c>
      <c r="AC705" s="299" t="n">
        <f aca="false">AC700*AC704</f>
        <v>0</v>
      </c>
    </row>
    <row r="706" customFormat="false" ht="11.25" hidden="false" customHeight="false" outlineLevel="0" collapsed="false">
      <c r="A706" s="35"/>
      <c r="C706" s="35"/>
      <c r="D706" s="35"/>
      <c r="E706" s="296"/>
      <c r="F706" s="296"/>
      <c r="G706" s="296"/>
      <c r="H706" s="296"/>
      <c r="I706" s="296"/>
      <c r="J706" s="296"/>
      <c r="K706" s="296"/>
      <c r="L706" s="296"/>
      <c r="M706" s="296"/>
      <c r="N706" s="296"/>
      <c r="O706" s="296"/>
      <c r="P706" s="296"/>
      <c r="Q706" s="296"/>
      <c r="R706" s="296"/>
      <c r="S706" s="296"/>
      <c r="T706" s="296"/>
      <c r="U706" s="296"/>
      <c r="V706" s="296"/>
      <c r="W706" s="296"/>
      <c r="X706" s="296"/>
      <c r="Y706" s="296"/>
      <c r="Z706" s="296"/>
      <c r="AA706" s="296"/>
      <c r="AB706" s="296"/>
      <c r="AC706" s="296"/>
    </row>
    <row r="707" customFormat="false" ht="11.25" hidden="false" customHeight="false" outlineLevel="0" collapsed="false">
      <c r="A707" s="43" t="s">
        <v>561</v>
      </c>
      <c r="C707" s="35"/>
      <c r="D707" s="35"/>
      <c r="E707" s="158" t="n">
        <f aca="false">E697-E705</f>
        <v>0</v>
      </c>
      <c r="F707" s="158" t="n">
        <f aca="false">F697-F705</f>
        <v>0</v>
      </c>
      <c r="G707" s="158" t="n">
        <f aca="false">G697-G705</f>
        <v>0</v>
      </c>
      <c r="H707" s="158" t="n">
        <f aca="false">H697-H705</f>
        <v>0</v>
      </c>
      <c r="I707" s="158" t="n">
        <f aca="false">I697-I705</f>
        <v>0</v>
      </c>
      <c r="J707" s="158" t="n">
        <f aca="false">J697-J705</f>
        <v>0</v>
      </c>
      <c r="K707" s="158" t="n">
        <f aca="false">K697-K705</f>
        <v>0</v>
      </c>
      <c r="L707" s="158" t="n">
        <f aca="false">L697-L705</f>
        <v>0</v>
      </c>
      <c r="M707" s="158" t="n">
        <f aca="false">M697-M705</f>
        <v>0</v>
      </c>
      <c r="N707" s="158" t="n">
        <f aca="false">N697-N705</f>
        <v>0</v>
      </c>
      <c r="O707" s="158" t="n">
        <f aca="false">O697-O705</f>
        <v>0</v>
      </c>
      <c r="P707" s="158" t="n">
        <f aca="false">P697-P705</f>
        <v>0</v>
      </c>
      <c r="Q707" s="158" t="n">
        <f aca="false">Q697-Q705</f>
        <v>0</v>
      </c>
      <c r="R707" s="158" t="n">
        <f aca="false">R697-R705</f>
        <v>0</v>
      </c>
      <c r="S707" s="158" t="n">
        <f aca="false">S697-S705</f>
        <v>0</v>
      </c>
      <c r="T707" s="158" t="n">
        <f aca="false">T697-T705</f>
        <v>0</v>
      </c>
      <c r="U707" s="158" t="n">
        <f aca="false">U697-U705</f>
        <v>0</v>
      </c>
      <c r="V707" s="158" t="n">
        <f aca="false">V697-V705</f>
        <v>0</v>
      </c>
      <c r="W707" s="158" t="n">
        <f aca="false">W697-W705</f>
        <v>0</v>
      </c>
      <c r="X707" s="158" t="n">
        <f aca="false">X697-X705</f>
        <v>0</v>
      </c>
      <c r="Y707" s="158" t="n">
        <f aca="false">Y697-Y705</f>
        <v>0</v>
      </c>
      <c r="Z707" s="158" t="n">
        <f aca="false">Z697-Z705</f>
        <v>0</v>
      </c>
      <c r="AA707" s="158" t="n">
        <f aca="false">AA697-AA705</f>
        <v>0</v>
      </c>
      <c r="AB707" s="158" t="n">
        <f aca="false">AB697-AB705</f>
        <v>0</v>
      </c>
      <c r="AC707" s="158" t="n">
        <f aca="false">AC697-AC705</f>
        <v>0</v>
      </c>
    </row>
    <row r="708" customFormat="false" ht="12" hidden="false" customHeight="false" outlineLevel="0" collapsed="false">
      <c r="A708" s="35"/>
      <c r="C708" s="35"/>
      <c r="D708" s="35"/>
      <c r="E708" s="149"/>
      <c r="F708" s="149"/>
      <c r="G708" s="149"/>
      <c r="H708" s="149"/>
      <c r="I708" s="149"/>
      <c r="J708" s="149"/>
      <c r="K708" s="149"/>
      <c r="L708" s="149"/>
      <c r="M708" s="149"/>
      <c r="N708" s="149"/>
      <c r="O708" s="149"/>
      <c r="P708" s="149"/>
      <c r="Q708" s="149"/>
      <c r="R708" s="149"/>
      <c r="S708" s="149"/>
      <c r="T708" s="149"/>
      <c r="U708" s="149"/>
      <c r="V708" s="149"/>
      <c r="W708" s="149"/>
      <c r="X708" s="149"/>
      <c r="Y708" s="149"/>
      <c r="Z708" s="149"/>
      <c r="AA708" s="149"/>
      <c r="AB708" s="149"/>
      <c r="AC708" s="149"/>
    </row>
    <row r="709" customFormat="false" ht="12" hidden="false" customHeight="false" outlineLevel="0" collapsed="false">
      <c r="A709" s="130"/>
      <c r="B709" s="130"/>
      <c r="C709" s="130"/>
      <c r="D709" s="130"/>
      <c r="E709" s="130"/>
      <c r="F709" s="130"/>
      <c r="G709" s="130"/>
      <c r="H709" s="130"/>
      <c r="I709" s="130"/>
      <c r="J709" s="130"/>
      <c r="K709" s="130"/>
      <c r="L709" s="130"/>
      <c r="M709" s="130"/>
      <c r="N709" s="130"/>
      <c r="O709" s="130"/>
      <c r="P709" s="130"/>
      <c r="Q709" s="130"/>
      <c r="R709" s="130"/>
      <c r="S709" s="130"/>
      <c r="T709" s="130"/>
      <c r="U709" s="130"/>
      <c r="V709" s="130"/>
      <c r="W709" s="130"/>
      <c r="X709" s="130"/>
      <c r="Y709" s="130"/>
      <c r="Z709" s="130"/>
      <c r="AA709" s="130"/>
      <c r="AB709" s="130"/>
      <c r="AC709" s="130"/>
    </row>
    <row r="710" customFormat="false" ht="11.25" hidden="false" customHeight="false" outlineLevel="0" collapsed="false">
      <c r="A710" s="35" t="s">
        <v>562</v>
      </c>
      <c r="C710" s="35"/>
      <c r="D710" s="35"/>
      <c r="E710" s="296" t="n">
        <f aca="false">E667+E682+E697</f>
        <v>0</v>
      </c>
      <c r="F710" s="296" t="n">
        <f aca="false">F667+F682+F697</f>
        <v>0</v>
      </c>
      <c r="G710" s="296" t="n">
        <f aca="false">G667+G682+G697</f>
        <v>0</v>
      </c>
      <c r="H710" s="296" t="n">
        <f aca="false">H667+H682+H697</f>
        <v>0</v>
      </c>
      <c r="I710" s="296" t="n">
        <f aca="false">I667+I682+I697</f>
        <v>-515.877565773314</v>
      </c>
      <c r="J710" s="296" t="n">
        <f aca="false">J667+J682+J697</f>
        <v>-1162.54350654663</v>
      </c>
      <c r="K710" s="296" t="n">
        <f aca="false">K667+K682+K697</f>
        <v>-1085.45950212042</v>
      </c>
      <c r="L710" s="296" t="n">
        <f aca="false">L667+L682+L697</f>
        <v>-1027.41601890568</v>
      </c>
      <c r="M710" s="296" t="n">
        <f aca="false">M667+M682+M697</f>
        <v>-963.056539564255</v>
      </c>
      <c r="N710" s="296" t="n">
        <f aca="false">N667+N682+N697</f>
        <v>-883.410575541736</v>
      </c>
      <c r="O710" s="296" t="n">
        <f aca="false">O667+O682+O697</f>
        <v>-772.930292818879</v>
      </c>
      <c r="P710" s="296" t="n">
        <f aca="false">P667+P682+P697</f>
        <v>-663.985585352189</v>
      </c>
      <c r="Q710" s="296" t="n">
        <f aca="false">Q667+Q682+Q697</f>
        <v>-575.554802621274</v>
      </c>
      <c r="R710" s="296" t="n">
        <f aca="false">R667+R682+R697</f>
        <v>-490.942886245924</v>
      </c>
      <c r="S710" s="296" t="n">
        <f aca="false">S667+S682+S697</f>
        <v>-415.810547775154</v>
      </c>
      <c r="T710" s="296" t="n">
        <f aca="false">T667+T682+T697</f>
        <v>-349.231262706301</v>
      </c>
      <c r="U710" s="296" t="n">
        <f aca="false">U667+U682+U697</f>
        <v>-292.675688653077</v>
      </c>
      <c r="V710" s="296" t="n">
        <f aca="false">V667+V682+V697</f>
        <v>-240.26942708397</v>
      </c>
      <c r="W710" s="296" t="n">
        <f aca="false">W667+W682+W697</f>
        <v>-197.011743773664</v>
      </c>
      <c r="X710" s="296" t="n">
        <f aca="false">X667+X682+X697</f>
        <v>-159.804967193502</v>
      </c>
      <c r="Y710" s="296" t="n">
        <f aca="false">Y667+Y682+Y697</f>
        <v>-125.942690582738</v>
      </c>
      <c r="Z710" s="296" t="n">
        <f aca="false">Z667+Z682+Z697</f>
        <v>-92.5136274585116</v>
      </c>
      <c r="AA710" s="296" t="n">
        <f aca="false">AA667+AA682+AA697</f>
        <v>-70.7513987503899</v>
      </c>
      <c r="AB710" s="296" t="n">
        <f aca="false">AB667+AB682+AB697</f>
        <v>-54.431797004145</v>
      </c>
      <c r="AC710" s="296" t="n">
        <f aca="false">AC667+AC682+AC697</f>
        <v>-44.9810616418182</v>
      </c>
    </row>
    <row r="711" customFormat="false" ht="11.25" hidden="false" customHeight="false" outlineLevel="0" collapsed="false">
      <c r="A711" s="300" t="s">
        <v>563</v>
      </c>
      <c r="C711" s="35"/>
      <c r="D711" s="35"/>
      <c r="E711" s="296"/>
      <c r="F711" s="296"/>
      <c r="G711" s="296"/>
      <c r="H711" s="296"/>
      <c r="I711" s="296" t="n">
        <f aca="false">I690+I675+I705</f>
        <v>0</v>
      </c>
      <c r="J711" s="296" t="n">
        <f aca="false">J690+J675+J705</f>
        <v>0</v>
      </c>
      <c r="K711" s="296" t="n">
        <f aca="false">K690+K675+K705</f>
        <v>0</v>
      </c>
      <c r="L711" s="296" t="n">
        <f aca="false">L690+L675+L705</f>
        <v>0</v>
      </c>
      <c r="M711" s="296" t="n">
        <f aca="false">M690+M675+M705</f>
        <v>0</v>
      </c>
      <c r="N711" s="296" t="n">
        <f aca="false">N690+N675+N705</f>
        <v>0</v>
      </c>
      <c r="O711" s="296" t="n">
        <f aca="false">O690+O675+O705</f>
        <v>0</v>
      </c>
      <c r="P711" s="296" t="n">
        <f aca="false">P690+P675+P705</f>
        <v>0</v>
      </c>
      <c r="Q711" s="296" t="n">
        <f aca="false">Q690+Q675+Q705</f>
        <v>0</v>
      </c>
      <c r="R711" s="296" t="n">
        <f aca="false">R690+R675+R705</f>
        <v>0</v>
      </c>
      <c r="S711" s="296" t="n">
        <f aca="false">S690+S675+S705</f>
        <v>0</v>
      </c>
      <c r="T711" s="296" t="n">
        <f aca="false">T690+T675+T705</f>
        <v>0</v>
      </c>
      <c r="U711" s="296" t="n">
        <f aca="false">U690+U675+U705</f>
        <v>0</v>
      </c>
      <c r="V711" s="296" t="n">
        <f aca="false">V690+V675+V705</f>
        <v>0</v>
      </c>
      <c r="W711" s="296" t="n">
        <f aca="false">W690+W675+W705</f>
        <v>0</v>
      </c>
      <c r="X711" s="296" t="n">
        <f aca="false">X690+X675+X705</f>
        <v>0</v>
      </c>
      <c r="Y711" s="296" t="n">
        <f aca="false">Y690+Y675+Y705</f>
        <v>0</v>
      </c>
      <c r="Z711" s="296" t="n">
        <f aca="false">Z690+Z675+Z705</f>
        <v>0</v>
      </c>
      <c r="AA711" s="296" t="n">
        <f aca="false">AA690+AA675+AA705</f>
        <v>0</v>
      </c>
      <c r="AB711" s="296" t="n">
        <f aca="false">AB690+AB675+AB705</f>
        <v>0</v>
      </c>
      <c r="AC711" s="296" t="n">
        <f aca="false">AC690+AC675+AC705</f>
        <v>0</v>
      </c>
    </row>
    <row r="712" customFormat="false" ht="11.25" hidden="false" customHeight="false" outlineLevel="0" collapsed="false">
      <c r="A712" s="5" t="s">
        <v>564</v>
      </c>
      <c r="B712" s="5"/>
      <c r="C712" s="5"/>
      <c r="D712" s="5"/>
      <c r="E712" s="301" t="n">
        <f aca="false">E710-E711</f>
        <v>0</v>
      </c>
      <c r="F712" s="301" t="n">
        <f aca="false">F710-F711</f>
        <v>0</v>
      </c>
      <c r="G712" s="301" t="n">
        <f aca="false">G710-G711</f>
        <v>0</v>
      </c>
      <c r="H712" s="301" t="n">
        <f aca="false">H710-H711</f>
        <v>0</v>
      </c>
      <c r="I712" s="301" t="n">
        <f aca="false">I710-I711</f>
        <v>-515.877565773314</v>
      </c>
      <c r="J712" s="301" t="n">
        <f aca="false">J710-J711</f>
        <v>-1162.54350654663</v>
      </c>
      <c r="K712" s="301" t="n">
        <f aca="false">K710-K711</f>
        <v>-1085.45950212042</v>
      </c>
      <c r="L712" s="301" t="n">
        <f aca="false">L710-L711</f>
        <v>-1027.41601890568</v>
      </c>
      <c r="M712" s="301" t="n">
        <f aca="false">M710-M711</f>
        <v>-963.056539564255</v>
      </c>
      <c r="N712" s="301" t="n">
        <f aca="false">N710-N711</f>
        <v>-883.410575541736</v>
      </c>
      <c r="O712" s="301" t="n">
        <f aca="false">O710-O711</f>
        <v>-772.930292818879</v>
      </c>
      <c r="P712" s="301" t="n">
        <f aca="false">P710-P711</f>
        <v>-663.985585352189</v>
      </c>
      <c r="Q712" s="301" t="n">
        <f aca="false">Q710-Q711</f>
        <v>-575.554802621274</v>
      </c>
      <c r="R712" s="301" t="n">
        <f aca="false">R710-R711</f>
        <v>-490.942886245924</v>
      </c>
      <c r="S712" s="301" t="n">
        <f aca="false">S710-S711</f>
        <v>-415.810547775154</v>
      </c>
      <c r="T712" s="301" t="n">
        <f aca="false">T710-T711</f>
        <v>-349.231262706301</v>
      </c>
      <c r="U712" s="301" t="n">
        <f aca="false">U710-U711</f>
        <v>-292.675688653077</v>
      </c>
      <c r="V712" s="301" t="n">
        <f aca="false">V710-V711</f>
        <v>-240.26942708397</v>
      </c>
      <c r="W712" s="158" t="n">
        <f aca="false">W710-W711</f>
        <v>-197.011743773664</v>
      </c>
      <c r="X712" s="158" t="n">
        <f aca="false">X710-X711</f>
        <v>-159.804967193502</v>
      </c>
      <c r="Y712" s="158" t="n">
        <f aca="false">Y710-Y711</f>
        <v>-125.942690582738</v>
      </c>
      <c r="Z712" s="158" t="n">
        <f aca="false">Z710-Z711</f>
        <v>-92.5136274585116</v>
      </c>
      <c r="AA712" s="158" t="n">
        <f aca="false">AA710-AA711</f>
        <v>-70.7513987503899</v>
      </c>
      <c r="AB712" s="158" t="n">
        <f aca="false">AB710-AB711</f>
        <v>-54.431797004145</v>
      </c>
      <c r="AC712" s="158" t="n">
        <f aca="false">AC710-AC711</f>
        <v>-44.9810616418182</v>
      </c>
    </row>
    <row r="713" customFormat="false" ht="11.25" hidden="false" customHeight="false" outlineLevel="0" collapsed="false">
      <c r="E713" s="12"/>
      <c r="F713" s="12"/>
      <c r="G713" s="12"/>
      <c r="H713" s="12"/>
      <c r="I713" s="12"/>
      <c r="J713" s="12"/>
      <c r="K713" s="12"/>
      <c r="L713" s="12"/>
      <c r="M713" s="12"/>
      <c r="N713" s="12"/>
      <c r="O713" s="12"/>
      <c r="P713" s="12"/>
      <c r="Q713" s="12"/>
      <c r="R713" s="12"/>
      <c r="S713" s="12"/>
      <c r="T713" s="12"/>
      <c r="U713" s="12"/>
      <c r="V713" s="12"/>
      <c r="W713" s="12"/>
      <c r="X713" s="80"/>
      <c r="Y713" s="80"/>
      <c r="Z713" s="80"/>
      <c r="AA713" s="80"/>
      <c r="AB713" s="80"/>
      <c r="AC713" s="80"/>
    </row>
    <row r="714" customFormat="false" ht="11.25" hidden="false" customHeight="false" outlineLevel="0" collapsed="false">
      <c r="A714" s="35" t="s">
        <v>397</v>
      </c>
      <c r="C714" s="35"/>
      <c r="D714" s="35"/>
      <c r="E714" s="149" t="n">
        <f aca="false">+E661</f>
        <v>0</v>
      </c>
      <c r="F714" s="149" t="n">
        <f aca="false">+F661</f>
        <v>0</v>
      </c>
      <c r="G714" s="149" t="n">
        <f aca="false">+G661</f>
        <v>0</v>
      </c>
      <c r="H714" s="12" t="n">
        <f aca="false">+H661</f>
        <v>0</v>
      </c>
      <c r="I714" s="149" t="n">
        <f aca="false">+I661</f>
        <v>0</v>
      </c>
      <c r="J714" s="149" t="n">
        <f aca="false">+J661</f>
        <v>0</v>
      </c>
      <c r="K714" s="149" t="n">
        <f aca="false">+K661</f>
        <v>0</v>
      </c>
      <c r="L714" s="149" t="n">
        <f aca="false">+L661</f>
        <v>0</v>
      </c>
      <c r="M714" s="149" t="n">
        <f aca="false">+M661</f>
        <v>0</v>
      </c>
      <c r="N714" s="149" t="n">
        <f aca="false">+N661</f>
        <v>0</v>
      </c>
      <c r="O714" s="149" t="n">
        <f aca="false">+O661</f>
        <v>0</v>
      </c>
      <c r="P714" s="149" t="n">
        <f aca="false">+P661</f>
        <v>0</v>
      </c>
      <c r="Q714" s="149" t="n">
        <f aca="false">+Q661</f>
        <v>0</v>
      </c>
      <c r="R714" s="149" t="n">
        <f aca="false">+R661</f>
        <v>0</v>
      </c>
      <c r="S714" s="149" t="n">
        <f aca="false">+S661</f>
        <v>0</v>
      </c>
      <c r="T714" s="149" t="n">
        <f aca="false">+T661</f>
        <v>0</v>
      </c>
      <c r="U714" s="149" t="n">
        <f aca="false">+U661</f>
        <v>0</v>
      </c>
      <c r="V714" s="149" t="n">
        <f aca="false">+V661</f>
        <v>0</v>
      </c>
      <c r="W714" s="149" t="n">
        <f aca="false">+W661</f>
        <v>0</v>
      </c>
      <c r="X714" s="149" t="n">
        <f aca="false">+X661</f>
        <v>0</v>
      </c>
      <c r="Y714" s="149" t="n">
        <f aca="false">+Y661</f>
        <v>0</v>
      </c>
      <c r="Z714" s="149" t="n">
        <f aca="false">+Z661</f>
        <v>0</v>
      </c>
      <c r="AA714" s="149" t="n">
        <f aca="false">+AA661</f>
        <v>0</v>
      </c>
      <c r="AB714" s="149" t="n">
        <f aca="false">+AB661</f>
        <v>0</v>
      </c>
      <c r="AC714" s="149" t="n">
        <f aca="false">+AC661</f>
        <v>0</v>
      </c>
    </row>
    <row r="715" customFormat="false" ht="11.25" hidden="false" customHeight="false" outlineLevel="0" collapsed="false">
      <c r="E715" s="12"/>
      <c r="F715" s="12"/>
      <c r="G715" s="12"/>
      <c r="H715" s="12"/>
      <c r="I715" s="12"/>
      <c r="J715" s="12"/>
      <c r="K715" s="12"/>
      <c r="L715" s="12"/>
      <c r="M715" s="12"/>
      <c r="N715" s="12"/>
      <c r="O715" s="12"/>
      <c r="P715" s="12"/>
      <c r="Q715" s="12"/>
      <c r="R715" s="12"/>
      <c r="S715" s="12"/>
      <c r="T715" s="12"/>
      <c r="U715" s="12"/>
      <c r="V715" s="12"/>
      <c r="W715" s="12"/>
      <c r="X715" s="80"/>
      <c r="Y715" s="80"/>
      <c r="Z715" s="80"/>
      <c r="AA715" s="80"/>
      <c r="AB715" s="80"/>
      <c r="AC715" s="80"/>
    </row>
    <row r="716" customFormat="false" ht="11.25" hidden="false" customHeight="false" outlineLevel="0" collapsed="false">
      <c r="A716" s="35" t="s">
        <v>565</v>
      </c>
      <c r="C716" s="35"/>
      <c r="D716" s="35"/>
      <c r="E716" s="35" t="n">
        <f aca="false">E712+E714</f>
        <v>0</v>
      </c>
      <c r="F716" s="35" t="n">
        <f aca="false">F712+F714</f>
        <v>0</v>
      </c>
      <c r="G716" s="35" t="n">
        <f aca="false">G712+G714</f>
        <v>0</v>
      </c>
      <c r="H716" s="35" t="n">
        <f aca="false">H712+H714</f>
        <v>0</v>
      </c>
      <c r="I716" s="35" t="n">
        <f aca="false">I712+I714</f>
        <v>-515.877565773314</v>
      </c>
      <c r="J716" s="35" t="n">
        <f aca="false">J712+J714</f>
        <v>-1162.54350654663</v>
      </c>
      <c r="K716" s="35" t="n">
        <f aca="false">K712+K714</f>
        <v>-1085.45950212042</v>
      </c>
      <c r="L716" s="35" t="n">
        <f aca="false">L712+L714</f>
        <v>-1027.41601890568</v>
      </c>
      <c r="M716" s="35" t="n">
        <f aca="false">M712+M714</f>
        <v>-963.056539564255</v>
      </c>
      <c r="N716" s="35" t="n">
        <f aca="false">N712+N714</f>
        <v>-883.410575541736</v>
      </c>
      <c r="O716" s="35" t="n">
        <f aca="false">O712+O714</f>
        <v>-772.930292818879</v>
      </c>
      <c r="P716" s="35" t="n">
        <f aca="false">P712+P714</f>
        <v>-663.985585352189</v>
      </c>
      <c r="Q716" s="35" t="n">
        <f aca="false">Q712+Q714</f>
        <v>-575.554802621274</v>
      </c>
      <c r="R716" s="35" t="n">
        <f aca="false">R712+R714</f>
        <v>-490.942886245924</v>
      </c>
      <c r="S716" s="35" t="n">
        <f aca="false">S712+S714</f>
        <v>-415.810547775154</v>
      </c>
      <c r="T716" s="35" t="n">
        <f aca="false">T712+T714</f>
        <v>-349.231262706301</v>
      </c>
      <c r="U716" s="35" t="n">
        <f aca="false">U712+U714</f>
        <v>-292.675688653077</v>
      </c>
      <c r="V716" s="35" t="n">
        <f aca="false">V712+V714</f>
        <v>-240.26942708397</v>
      </c>
      <c r="W716" s="35" t="n">
        <f aca="false">W712+W714</f>
        <v>-197.011743773664</v>
      </c>
      <c r="X716" s="149" t="n">
        <f aca="false">X712+X714</f>
        <v>-159.804967193502</v>
      </c>
      <c r="Y716" s="149" t="n">
        <f aca="false">Y712+Y714</f>
        <v>-125.942690582738</v>
      </c>
      <c r="Z716" s="149" t="n">
        <f aca="false">Z712+Z714</f>
        <v>-92.5136274585116</v>
      </c>
      <c r="AA716" s="149" t="n">
        <f aca="false">AA712+AA714</f>
        <v>-70.7513987503899</v>
      </c>
      <c r="AB716" s="149" t="n">
        <f aca="false">AB712+AB714</f>
        <v>-54.431797004145</v>
      </c>
      <c r="AC716" s="149" t="n">
        <f aca="false">AC712+AC714</f>
        <v>-44.9810616418182</v>
      </c>
    </row>
    <row r="717" customFormat="false" ht="11.25" hidden="false" customHeight="false" outlineLevel="0" collapsed="false">
      <c r="A717" s="5" t="s">
        <v>566</v>
      </c>
      <c r="C717" s="35"/>
      <c r="D717" s="35"/>
      <c r="E717" s="67" t="n">
        <v>0</v>
      </c>
      <c r="F717" s="302" t="n">
        <v>0</v>
      </c>
      <c r="G717" s="302" t="n">
        <v>0</v>
      </c>
      <c r="H717" s="302" t="n">
        <v>0</v>
      </c>
      <c r="I717" s="302" t="n">
        <f aca="false">I376</f>
        <v>0</v>
      </c>
      <c r="J717" s="302" t="n">
        <f aca="false">J376</f>
        <v>0</v>
      </c>
      <c r="K717" s="302" t="n">
        <f aca="false">K376</f>
        <v>0</v>
      </c>
      <c r="L717" s="302" t="n">
        <f aca="false">L376</f>
        <v>0</v>
      </c>
      <c r="M717" s="302" t="n">
        <f aca="false">M376</f>
        <v>0</v>
      </c>
      <c r="N717" s="302" t="n">
        <f aca="false">N376</f>
        <v>0</v>
      </c>
      <c r="O717" s="302" t="n">
        <f aca="false">O376</f>
        <v>0</v>
      </c>
      <c r="P717" s="302" t="n">
        <f aca="false">P376</f>
        <v>0</v>
      </c>
      <c r="Q717" s="302" t="n">
        <f aca="false">Q376</f>
        <v>0</v>
      </c>
      <c r="R717" s="302" t="n">
        <f aca="false">R376</f>
        <v>0</v>
      </c>
      <c r="S717" s="302" t="n">
        <f aca="false">S376</f>
        <v>0</v>
      </c>
      <c r="T717" s="302" t="n">
        <f aca="false">T376</f>
        <v>0</v>
      </c>
      <c r="U717" s="302" t="n">
        <f aca="false">U376</f>
        <v>0</v>
      </c>
      <c r="V717" s="302" t="n">
        <f aca="false">V376</f>
        <v>0</v>
      </c>
      <c r="W717" s="302" t="n">
        <f aca="false">W376</f>
        <v>0</v>
      </c>
      <c r="X717" s="303" t="n">
        <f aca="false">X376</f>
        <v>0</v>
      </c>
      <c r="Y717" s="303" t="n">
        <f aca="false">Y376</f>
        <v>0</v>
      </c>
      <c r="Z717" s="303" t="n">
        <f aca="false">Z376</f>
        <v>0</v>
      </c>
      <c r="AA717" s="303" t="n">
        <f aca="false">AA376</f>
        <v>0</v>
      </c>
      <c r="AB717" s="303" t="n">
        <f aca="false">AB376</f>
        <v>0</v>
      </c>
      <c r="AC717" s="303" t="n">
        <f aca="false">AC376</f>
        <v>0</v>
      </c>
    </row>
    <row r="718" customFormat="false" ht="11.25" hidden="false" customHeight="false" outlineLevel="0" collapsed="false">
      <c r="A718" s="43" t="s">
        <v>567</v>
      </c>
      <c r="C718" s="35"/>
      <c r="D718" s="35"/>
      <c r="E718" s="158" t="n">
        <f aca="false">E716-E717</f>
        <v>0</v>
      </c>
      <c r="F718" s="158" t="n">
        <f aca="false">F716-F717</f>
        <v>0</v>
      </c>
      <c r="G718" s="158" t="n">
        <f aca="false">G716-G717</f>
        <v>0</v>
      </c>
      <c r="H718" s="158" t="n">
        <f aca="false">H716-H717</f>
        <v>0</v>
      </c>
      <c r="I718" s="158" t="n">
        <f aca="false">I716-I717</f>
        <v>-515.877565773314</v>
      </c>
      <c r="J718" s="158" t="n">
        <f aca="false">J716-J717</f>
        <v>-1162.54350654663</v>
      </c>
      <c r="K718" s="158" t="n">
        <f aca="false">K716-K717</f>
        <v>-1085.45950212042</v>
      </c>
      <c r="L718" s="158" t="n">
        <f aca="false">L716-L717</f>
        <v>-1027.41601890568</v>
      </c>
      <c r="M718" s="158" t="n">
        <f aca="false">M716-M717</f>
        <v>-963.056539564255</v>
      </c>
      <c r="N718" s="158" t="n">
        <f aca="false">N716-N717</f>
        <v>-883.410575541736</v>
      </c>
      <c r="O718" s="158" t="n">
        <f aca="false">O716-O717</f>
        <v>-772.930292818879</v>
      </c>
      <c r="P718" s="158" t="n">
        <f aca="false">P716-P717</f>
        <v>-663.985585352189</v>
      </c>
      <c r="Q718" s="158" t="n">
        <f aca="false">Q716-Q717</f>
        <v>-575.554802621274</v>
      </c>
      <c r="R718" s="158" t="n">
        <f aca="false">R716-R717</f>
        <v>-490.942886245924</v>
      </c>
      <c r="S718" s="158" t="n">
        <f aca="false">S716-S717</f>
        <v>-415.810547775154</v>
      </c>
      <c r="T718" s="158" t="n">
        <f aca="false">T716-T717</f>
        <v>-349.231262706301</v>
      </c>
      <c r="U718" s="158" t="n">
        <f aca="false">U716-U717</f>
        <v>-292.675688653077</v>
      </c>
      <c r="V718" s="158" t="n">
        <f aca="false">V716-V717</f>
        <v>-240.26942708397</v>
      </c>
      <c r="W718" s="158" t="n">
        <f aca="false">W716-W717</f>
        <v>-197.011743773664</v>
      </c>
      <c r="X718" s="158" t="n">
        <f aca="false">X716-X717</f>
        <v>-159.804967193502</v>
      </c>
      <c r="Y718" s="158" t="n">
        <f aca="false">Y716-Y717</f>
        <v>-125.942690582738</v>
      </c>
      <c r="Z718" s="158" t="n">
        <f aca="false">Z716-Z717</f>
        <v>-92.5136274585116</v>
      </c>
      <c r="AA718" s="158" t="n">
        <f aca="false">AA716-AA717</f>
        <v>-70.7513987503899</v>
      </c>
      <c r="AB718" s="158" t="n">
        <f aca="false">AB716-AB717</f>
        <v>-54.431797004145</v>
      </c>
      <c r="AC718" s="158" t="n">
        <f aca="false">AC716-AC717</f>
        <v>-44.9810616418182</v>
      </c>
    </row>
    <row r="719" customFormat="false" ht="11.25" hidden="false" customHeight="false" outlineLevel="0" collapsed="false">
      <c r="A719" s="35"/>
      <c r="C719" s="35"/>
      <c r="D719" s="35"/>
      <c r="E719" s="149"/>
      <c r="F719" s="149"/>
      <c r="G719" s="149"/>
      <c r="H719" s="149"/>
      <c r="I719" s="149"/>
      <c r="J719" s="149"/>
      <c r="K719" s="149"/>
      <c r="L719" s="149"/>
      <c r="M719" s="149"/>
      <c r="N719" s="149"/>
      <c r="O719" s="149"/>
      <c r="P719" s="149"/>
      <c r="Q719" s="149"/>
      <c r="R719" s="149"/>
      <c r="S719" s="149"/>
      <c r="T719" s="149"/>
      <c r="U719" s="149"/>
      <c r="V719" s="149"/>
      <c r="W719" s="149"/>
      <c r="X719" s="149"/>
      <c r="Y719" s="149"/>
      <c r="Z719" s="149"/>
      <c r="AA719" s="149"/>
      <c r="AB719" s="149"/>
      <c r="AC719" s="149"/>
    </row>
    <row r="720" customFormat="false" ht="11.25" hidden="false" customHeight="false" outlineLevel="0" collapsed="false">
      <c r="A720" s="43" t="s">
        <v>568</v>
      </c>
      <c r="C720" s="35"/>
      <c r="D720" s="35"/>
      <c r="E720" s="35" t="n">
        <f aca="false">+E303+E373+E446+E516+E586</f>
        <v>0</v>
      </c>
      <c r="F720" s="35" t="n">
        <f aca="false">+F303+F373+F446+F516+F586</f>
        <v>0</v>
      </c>
      <c r="G720" s="35" t="n">
        <f aca="false">+G303+G373+G446+G516+G586</f>
        <v>0</v>
      </c>
      <c r="H720" s="35" t="n">
        <f aca="false">+H303+H373+H446+H516+H586</f>
        <v>0</v>
      </c>
      <c r="I720" s="35" t="n">
        <f aca="false">+I303+I373+I446+I516+I586</f>
        <v>-37.4717360511448</v>
      </c>
      <c r="J720" s="35" t="n">
        <f aca="false">+J303+J373+J446+J516+J586</f>
        <v>-63.3560026022897</v>
      </c>
      <c r="K720" s="35" t="n">
        <f aca="false">+K303+K373+K446+K516+K586</f>
        <v>-56.2642741950787</v>
      </c>
      <c r="L720" s="35" t="n">
        <f aca="false">+L303+L373+L446+L516+L586</f>
        <v>-50.9242737393223</v>
      </c>
      <c r="M720" s="35" t="n">
        <f aca="false">+M303+M373+M446+M516+M586</f>
        <v>-45.0032016399115</v>
      </c>
      <c r="N720" s="35" t="n">
        <f aca="false">+N303+N373+N446+N516+N586</f>
        <v>-37.6757729498397</v>
      </c>
      <c r="O720" s="35" t="n">
        <f aca="false">+O303+O373+O446+O516+O586</f>
        <v>-27.5115869393369</v>
      </c>
      <c r="P720" s="35" t="n">
        <f aca="false">+P303+P373+P446+P516+P586</f>
        <v>-17.4886738524014</v>
      </c>
      <c r="Q720" s="35" t="n">
        <f aca="false">+Q303+Q373+Q446+Q516+Q586</f>
        <v>2.88895815884282</v>
      </c>
      <c r="R720" s="35" t="n">
        <f aca="false">+R303+R373+R446+R516+R586</f>
        <v>13.128254465375</v>
      </c>
      <c r="S720" s="35" t="n">
        <f aca="false">+S303+S373+S446+S516+S586</f>
        <v>1.62142960468582</v>
      </c>
      <c r="T720" s="35" t="n">
        <f aca="false">+T303+T373+T446+T516+T586</f>
        <v>7.74672383102027</v>
      </c>
      <c r="U720" s="35" t="n">
        <f aca="false">+U303+U373+U446+U516+U586</f>
        <v>12.949836643917</v>
      </c>
      <c r="V720" s="35" t="n">
        <f aca="false">+V303+V373+V446+V516+V586</f>
        <v>17.7712127082748</v>
      </c>
      <c r="W720" s="35" t="n">
        <f aca="false">+W303+W373+W446+W516+W586</f>
        <v>1.43191957282293</v>
      </c>
      <c r="X720" s="35" t="n">
        <f aca="false">+X303+X373+X446+X516+X586</f>
        <v>4.85494301819779</v>
      </c>
      <c r="Y720" s="35" t="n">
        <f aca="false">+Y303+Y373+Y446+Y516+Y586</f>
        <v>-6.72672753361186</v>
      </c>
      <c r="Z720" s="35" t="n">
        <f aca="false">+Z303+Z373+Z446+Z516+Z586</f>
        <v>-8.51125372618306</v>
      </c>
      <c r="AA720" s="35" t="n">
        <f aca="false">+AA303+AA373+AA446+AA516+AA586</f>
        <v>-6.50912868503587</v>
      </c>
      <c r="AB720" s="35" t="n">
        <f aca="false">+AB303+AB373+AB446+AB516+AB586</f>
        <v>-5.00772532438134</v>
      </c>
      <c r="AC720" s="35" t="n">
        <f aca="false">+AC303+AC373+AC446+AC516+AC586</f>
        <v>-4.13825767104727</v>
      </c>
    </row>
    <row r="721" customFormat="false" ht="11.25" hidden="false" customHeight="false" outlineLevel="0" collapsed="false">
      <c r="A721" s="35" t="s">
        <v>208</v>
      </c>
      <c r="C721" s="35"/>
      <c r="D721" s="35"/>
      <c r="E721" s="158" t="n">
        <f aca="false">E718-E720</f>
        <v>0</v>
      </c>
      <c r="F721" s="158" t="n">
        <f aca="false">F718-F720</f>
        <v>0</v>
      </c>
      <c r="G721" s="158" t="n">
        <f aca="false">G718-G720</f>
        <v>0</v>
      </c>
      <c r="H721" s="158" t="n">
        <f aca="false">H718-H720</f>
        <v>0</v>
      </c>
      <c r="I721" s="158" t="n">
        <f aca="false">I718-I720</f>
        <v>-478.405829722169</v>
      </c>
      <c r="J721" s="158" t="n">
        <f aca="false">J718-J720</f>
        <v>-1099.18750394434</v>
      </c>
      <c r="K721" s="158" t="n">
        <f aca="false">K718-K720</f>
        <v>-1029.19522792534</v>
      </c>
      <c r="L721" s="158" t="n">
        <f aca="false">L718-L720</f>
        <v>-976.491745166355</v>
      </c>
      <c r="M721" s="158" t="n">
        <f aca="false">M718-M720</f>
        <v>-918.053337924344</v>
      </c>
      <c r="N721" s="158" t="n">
        <f aca="false">N718-N720</f>
        <v>-845.734802591897</v>
      </c>
      <c r="O721" s="158" t="n">
        <f aca="false">O718-O720</f>
        <v>-745.418705879542</v>
      </c>
      <c r="P721" s="158" t="n">
        <f aca="false">P718-P720</f>
        <v>-646.496911499788</v>
      </c>
      <c r="Q721" s="158" t="n">
        <f aca="false">Q718-Q720</f>
        <v>-578.443760780117</v>
      </c>
      <c r="R721" s="158" t="n">
        <f aca="false">R718-R720</f>
        <v>-504.071140711299</v>
      </c>
      <c r="S721" s="158" t="n">
        <f aca="false">S718-S720</f>
        <v>-417.43197737984</v>
      </c>
      <c r="T721" s="158" t="n">
        <f aca="false">T718-T720</f>
        <v>-356.977986537322</v>
      </c>
      <c r="U721" s="158" t="n">
        <f aca="false">U718-U720</f>
        <v>-305.625525296994</v>
      </c>
      <c r="V721" s="158" t="n">
        <f aca="false">V718-V720</f>
        <v>-258.040639792245</v>
      </c>
      <c r="W721" s="158" t="n">
        <f aca="false">W718-W720</f>
        <v>-198.443663346487</v>
      </c>
      <c r="X721" s="158" t="n">
        <f aca="false">X718-X720</f>
        <v>-164.6599102117</v>
      </c>
      <c r="Y721" s="158" t="n">
        <f aca="false">Y718-Y720</f>
        <v>-119.215963049126</v>
      </c>
      <c r="Z721" s="158" t="n">
        <f aca="false">Z718-Z720</f>
        <v>-84.0023737323285</v>
      </c>
      <c r="AA721" s="158" t="n">
        <f aca="false">AA718-AA720</f>
        <v>-64.242270065354</v>
      </c>
      <c r="AB721" s="158" t="n">
        <f aca="false">AB718-AB720</f>
        <v>-49.4240716797637</v>
      </c>
      <c r="AC721" s="158" t="n">
        <f aca="false">AC718-AC720</f>
        <v>-40.8428039707709</v>
      </c>
    </row>
    <row r="722" customFormat="false" ht="11.25" hidden="false" customHeight="false" outlineLevel="0" collapsed="false">
      <c r="A722" s="35"/>
      <c r="C722" s="35"/>
      <c r="D722" s="35"/>
      <c r="E722" s="35"/>
      <c r="F722" s="35"/>
      <c r="G722" s="35"/>
      <c r="H722" s="35"/>
      <c r="I722" s="35"/>
      <c r="J722" s="35"/>
      <c r="K722" s="35"/>
      <c r="L722" s="35"/>
      <c r="M722" s="35"/>
      <c r="N722" s="35"/>
      <c r="O722" s="35"/>
      <c r="P722" s="35"/>
      <c r="Q722" s="35"/>
      <c r="R722" s="35"/>
      <c r="S722" s="35"/>
      <c r="T722" s="35"/>
      <c r="U722" s="35"/>
      <c r="V722" s="35"/>
      <c r="W722" s="35"/>
      <c r="X722" s="149"/>
      <c r="Y722" s="149"/>
      <c r="Z722" s="149"/>
      <c r="AA722" s="149"/>
      <c r="AB722" s="149"/>
      <c r="AC722" s="149"/>
    </row>
    <row r="723" customFormat="false" ht="12" hidden="false" customHeight="false" outlineLevel="0" collapsed="false">
      <c r="A723" s="35"/>
      <c r="C723" s="35"/>
      <c r="D723" s="35"/>
      <c r="E723" s="35"/>
      <c r="F723" s="35"/>
      <c r="G723" s="35"/>
      <c r="H723" s="35"/>
      <c r="I723" s="35"/>
      <c r="J723" s="35"/>
      <c r="K723" s="35"/>
      <c r="L723" s="35"/>
      <c r="M723" s="35"/>
      <c r="N723" s="35"/>
      <c r="O723" s="35"/>
      <c r="P723" s="35"/>
      <c r="Q723" s="35"/>
      <c r="R723" s="35"/>
      <c r="S723" s="35"/>
      <c r="T723" s="35"/>
      <c r="U723" s="35"/>
      <c r="V723" s="35"/>
      <c r="W723" s="35"/>
      <c r="X723" s="149"/>
      <c r="Y723" s="149"/>
      <c r="Z723" s="149"/>
      <c r="AA723" s="149"/>
      <c r="AB723" s="149"/>
      <c r="AC723" s="149"/>
    </row>
    <row r="724" customFormat="false" ht="12.75" hidden="false" customHeight="false" outlineLevel="0" collapsed="false">
      <c r="A724" s="292"/>
      <c r="B724" s="79"/>
      <c r="C724" s="292"/>
      <c r="D724" s="292"/>
      <c r="E724" s="292"/>
      <c r="F724" s="292"/>
      <c r="G724" s="292"/>
      <c r="H724" s="292"/>
      <c r="I724" s="292"/>
      <c r="J724" s="292"/>
      <c r="K724" s="292"/>
      <c r="L724" s="292"/>
      <c r="M724" s="292"/>
      <c r="N724" s="292"/>
      <c r="O724" s="292"/>
      <c r="P724" s="292"/>
      <c r="Q724" s="292"/>
      <c r="R724" s="292"/>
      <c r="S724" s="292"/>
      <c r="T724" s="292"/>
      <c r="U724" s="292"/>
      <c r="V724" s="292"/>
      <c r="W724" s="292"/>
      <c r="X724" s="292"/>
      <c r="Y724" s="292"/>
      <c r="Z724" s="292"/>
      <c r="AA724" s="292"/>
      <c r="AB724" s="292"/>
      <c r="AC724" s="292"/>
    </row>
    <row r="725" customFormat="false" ht="12.75" hidden="false" customHeight="false" outlineLevel="0" collapsed="false">
      <c r="A725" s="154" t="s">
        <v>218</v>
      </c>
      <c r="C725" s="35"/>
      <c r="D725" s="35"/>
      <c r="E725" s="35"/>
      <c r="F725" s="35"/>
      <c r="G725" s="35"/>
      <c r="H725" s="35"/>
      <c r="I725" s="81" t="str">
        <f aca="false">+I$3</f>
        <v>6 M/1999 </v>
      </c>
      <c r="J725" s="81" t="n">
        <f aca="false">+J$3</f>
        <v>2000</v>
      </c>
      <c r="K725" s="81" t="n">
        <f aca="false">+K$3</f>
        <v>2001</v>
      </c>
      <c r="L725" s="81" t="n">
        <f aca="false">+L$3</f>
        <v>2002</v>
      </c>
      <c r="M725" s="81" t="n">
        <f aca="false">+M$3</f>
        <v>2003</v>
      </c>
      <c r="N725" s="81" t="n">
        <f aca="false">+N$3</f>
        <v>2004</v>
      </c>
      <c r="O725" s="81" t="n">
        <f aca="false">+O$3</f>
        <v>2005</v>
      </c>
      <c r="P725" s="81" t="n">
        <f aca="false">+P$3</f>
        <v>2006</v>
      </c>
      <c r="Q725" s="81" t="n">
        <f aca="false">+Q$3</f>
        <v>2007</v>
      </c>
      <c r="R725" s="81" t="n">
        <f aca="false">+R$3</f>
        <v>2008</v>
      </c>
      <c r="S725" s="81" t="n">
        <f aca="false">+S$3</f>
        <v>2009</v>
      </c>
      <c r="T725" s="81" t="n">
        <f aca="false">+T$3</f>
        <v>2010</v>
      </c>
      <c r="U725" s="81" t="n">
        <f aca="false">+U$3</f>
        <v>2011</v>
      </c>
      <c r="V725" s="81" t="n">
        <f aca="false">+V$3</f>
        <v>2012</v>
      </c>
      <c r="W725" s="81" t="n">
        <f aca="false">+W$3</f>
        <v>2013</v>
      </c>
      <c r="X725" s="81" t="n">
        <f aca="false">+X$3</f>
        <v>2014</v>
      </c>
      <c r="Y725" s="81" t="n">
        <f aca="false">+Y$3</f>
        <v>2015</v>
      </c>
      <c r="Z725" s="81" t="n">
        <f aca="false">+Z$3</f>
        <v>2016</v>
      </c>
      <c r="AA725" s="81" t="n">
        <f aca="false">+AA$3</f>
        <v>2017</v>
      </c>
      <c r="AB725" s="81" t="n">
        <f aca="false">+AB$3</f>
        <v>2018</v>
      </c>
      <c r="AC725" s="81" t="n">
        <f aca="false">+AC$3</f>
        <v>2019</v>
      </c>
    </row>
    <row r="726" customFormat="false" ht="12" hidden="false" customHeight="false" outlineLevel="0" collapsed="false">
      <c r="A726" s="155" t="s">
        <v>219</v>
      </c>
      <c r="C726" s="35"/>
      <c r="D726" s="35"/>
      <c r="E726" s="35"/>
      <c r="F726" s="35"/>
      <c r="G726" s="35"/>
      <c r="H726" s="35"/>
      <c r="I726" s="108"/>
      <c r="J726" s="108"/>
      <c r="K726" s="108"/>
      <c r="L726" s="108"/>
      <c r="M726" s="108"/>
      <c r="N726" s="108"/>
      <c r="O726" s="108"/>
      <c r="P726" s="108"/>
      <c r="Q726" s="108"/>
      <c r="R726" s="108"/>
      <c r="S726" s="108"/>
      <c r="T726" s="108"/>
      <c r="U726" s="108"/>
      <c r="V726" s="108"/>
      <c r="W726" s="108"/>
      <c r="X726" s="108"/>
      <c r="Y726" s="108"/>
      <c r="Z726" s="108"/>
      <c r="AA726" s="108"/>
      <c r="AB726" s="108"/>
      <c r="AC726" s="108"/>
    </row>
    <row r="727" customFormat="false" ht="11.25" hidden="false" customHeight="false" outlineLevel="0" collapsed="false">
      <c r="A727" s="35" t="s">
        <v>220</v>
      </c>
      <c r="C727" s="103"/>
      <c r="D727" s="103"/>
      <c r="E727" s="111"/>
      <c r="F727" s="111"/>
      <c r="G727" s="111"/>
      <c r="H727" s="111"/>
      <c r="I727" s="111"/>
      <c r="J727" s="111"/>
      <c r="K727" s="111"/>
      <c r="L727" s="111"/>
      <c r="M727" s="111"/>
      <c r="N727" s="111"/>
      <c r="O727" s="111"/>
      <c r="P727" s="111"/>
      <c r="Q727" s="111"/>
      <c r="R727" s="111"/>
      <c r="S727" s="111"/>
      <c r="T727" s="111"/>
      <c r="U727" s="111"/>
      <c r="V727" s="111"/>
      <c r="W727" s="111"/>
      <c r="X727" s="111"/>
      <c r="Y727" s="111"/>
      <c r="Z727" s="111"/>
      <c r="AA727" s="111"/>
      <c r="AB727" s="111"/>
      <c r="AC727" s="111"/>
    </row>
    <row r="728" customFormat="false" ht="11.25" hidden="false" customHeight="false" outlineLevel="0" collapsed="false">
      <c r="A728" s="138"/>
      <c r="B728" s="94" t="s">
        <v>157</v>
      </c>
      <c r="C728" s="132" t="s">
        <v>162</v>
      </c>
      <c r="E728" s="43" t="s">
        <v>204</v>
      </c>
      <c r="H728" s="141" t="n">
        <v>0</v>
      </c>
      <c r="I728" s="140"/>
      <c r="J728" s="140"/>
      <c r="K728" s="140"/>
      <c r="L728" s="140"/>
      <c r="M728" s="140"/>
      <c r="N728" s="140"/>
      <c r="O728" s="140"/>
      <c r="P728" s="140"/>
      <c r="Q728" s="140"/>
      <c r="R728" s="140"/>
      <c r="S728" s="140"/>
      <c r="T728" s="140"/>
      <c r="U728" s="140"/>
      <c r="V728" s="140"/>
      <c r="W728" s="140"/>
      <c r="X728" s="140"/>
      <c r="Y728" s="140"/>
      <c r="Z728" s="140"/>
      <c r="AA728" s="140"/>
      <c r="AB728" s="140"/>
      <c r="AC728" s="140"/>
    </row>
    <row r="729" customFormat="false" ht="11.25" hidden="false" customHeight="false" outlineLevel="0" collapsed="false">
      <c r="A729" s="80"/>
      <c r="B729" s="133" t="s">
        <v>158</v>
      </c>
      <c r="C729" s="132"/>
      <c r="E729" s="67" t="s">
        <v>197</v>
      </c>
      <c r="H729" s="26" t="n">
        <v>0</v>
      </c>
      <c r="I729" s="80"/>
      <c r="J729" s="80"/>
      <c r="K729" s="80"/>
      <c r="L729" s="80"/>
      <c r="M729" s="80"/>
      <c r="N729" s="80"/>
      <c r="O729" s="80"/>
      <c r="P729" s="80"/>
      <c r="Q729" s="80"/>
      <c r="R729" s="80"/>
      <c r="S729" s="80"/>
      <c r="T729" s="80"/>
      <c r="U729" s="80"/>
      <c r="V729" s="80"/>
      <c r="W729" s="80"/>
      <c r="X729" s="80"/>
      <c r="Y729" s="80"/>
      <c r="Z729" s="80"/>
      <c r="AA729" s="80"/>
      <c r="AB729" s="80"/>
      <c r="AC729" s="80"/>
    </row>
    <row r="730" customFormat="false" ht="11.25" hidden="false" customHeight="false" outlineLevel="0" collapsed="false">
      <c r="B730" s="133" t="s">
        <v>159</v>
      </c>
      <c r="C730" s="132"/>
      <c r="E730" s="43" t="s">
        <v>198</v>
      </c>
      <c r="H730" s="88" t="n">
        <f aca="false">+H728*H729</f>
        <v>0</v>
      </c>
    </row>
    <row r="731" customFormat="false" ht="11.25" hidden="false" customHeight="false" outlineLevel="0" collapsed="false">
      <c r="A731" s="138"/>
      <c r="B731" s="133" t="s">
        <v>160</v>
      </c>
      <c r="C731" s="132"/>
      <c r="E731" s="43" t="s">
        <v>199</v>
      </c>
      <c r="H731" s="141" t="n">
        <v>1</v>
      </c>
      <c r="I731" s="137"/>
      <c r="J731" s="137"/>
      <c r="K731" s="137"/>
      <c r="L731" s="137"/>
      <c r="M731" s="137"/>
      <c r="N731" s="137"/>
      <c r="O731" s="137"/>
      <c r="P731" s="137"/>
      <c r="Q731" s="137"/>
      <c r="R731" s="137"/>
      <c r="S731" s="137"/>
      <c r="T731" s="137"/>
      <c r="U731" s="137"/>
      <c r="V731" s="137"/>
      <c r="W731" s="137"/>
      <c r="X731" s="137"/>
      <c r="Y731" s="137"/>
      <c r="Z731" s="137"/>
      <c r="AA731" s="137"/>
      <c r="AB731" s="137"/>
      <c r="AC731" s="137"/>
    </row>
    <row r="732" customFormat="false" ht="11.25" hidden="false" customHeight="false" outlineLevel="0" collapsed="false">
      <c r="A732" s="138"/>
      <c r="I732" s="137"/>
      <c r="J732" s="137"/>
      <c r="K732" s="137"/>
      <c r="L732" s="137"/>
      <c r="M732" s="137"/>
      <c r="N732" s="137"/>
      <c r="O732" s="137"/>
      <c r="P732" s="137"/>
      <c r="Q732" s="137"/>
      <c r="R732" s="137"/>
      <c r="S732" s="137"/>
      <c r="T732" s="137"/>
      <c r="U732" s="137"/>
      <c r="V732" s="137"/>
      <c r="W732" s="137"/>
      <c r="X732" s="137"/>
      <c r="Y732" s="137"/>
      <c r="Z732" s="137"/>
      <c r="AA732" s="137"/>
      <c r="AB732" s="137"/>
      <c r="AC732" s="137"/>
    </row>
    <row r="733" customFormat="false" ht="11.25" hidden="false" customHeight="false" outlineLevel="0" collapsed="false">
      <c r="A733" s="138"/>
      <c r="B733" s="138" t="s">
        <v>133</v>
      </c>
      <c r="E733" s="141" t="n">
        <v>0</v>
      </c>
      <c r="F733" s="141" t="n">
        <v>0</v>
      </c>
      <c r="G733" s="141" t="n">
        <v>0</v>
      </c>
      <c r="H733" s="141" t="n">
        <v>0</v>
      </c>
      <c r="I733" s="88" t="n">
        <f aca="false">($H730)*(IF($H731=1,I$185,IF($H731=2,I$188,IF($H731=3,I$191,0))))*(stub)</f>
        <v>0</v>
      </c>
      <c r="J733" s="88" t="n">
        <f aca="false">($H730)*(IF($H731=1,J$185,IF($H731=2,J$188,IF($H731=3,J$191,0))))</f>
        <v>0</v>
      </c>
      <c r="K733" s="88" t="n">
        <f aca="false">($H730)*(IF($H731=1,K$185,IF($H731=2,K$188,IF($H731=3,K$191,0))))</f>
        <v>0</v>
      </c>
      <c r="L733" s="88" t="n">
        <f aca="false">($H730)*(IF($H731=1,L$185,IF($H731=2,L$188,IF($H731=3,L$191,0))))</f>
        <v>0</v>
      </c>
      <c r="M733" s="88" t="n">
        <f aca="false">($H730)*(IF($H731=1,M$185,IF($H731=2,M$188,IF($H731=3,M$191,0))))</f>
        <v>0</v>
      </c>
      <c r="N733" s="88" t="n">
        <f aca="false">($H730)*(IF($H731=1,N$185,IF($H731=2,N$188,IF($H731=3,N$191,0))))</f>
        <v>0</v>
      </c>
      <c r="O733" s="88" t="n">
        <f aca="false">($H730)*(IF($H731=1,O$185,IF($H731=2,O$188,IF($H731=3,O$191,0))))</f>
        <v>0</v>
      </c>
      <c r="P733" s="88" t="n">
        <f aca="false">($H730)*(IF($H731=1,P$185,IF($H731=2,P$188,IF($H731=3,P$191,0))))</f>
        <v>0</v>
      </c>
      <c r="Q733" s="88" t="n">
        <f aca="false">($H730)*(IF($H731=1,Q$185,IF($H731=2,Q$188,IF($H731=3,Q$191,0))))</f>
        <v>0</v>
      </c>
      <c r="R733" s="88" t="n">
        <f aca="false">($H730)*(IF($H731=1,R$185,IF($H731=2,R$188,IF($H731=3,R$191,0))))</f>
        <v>0</v>
      </c>
      <c r="S733" s="88" t="n">
        <f aca="false">($H730)*(IF($H731=1,S$185,IF($H731=2,S$188,IF($H731=3,S$191,0))))</f>
        <v>0</v>
      </c>
      <c r="T733" s="88" t="n">
        <f aca="false">($H730)*(IF($H731=1,T$185,IF($H731=2,T$188,IF($H731=3,T$191,0))))</f>
        <v>0</v>
      </c>
      <c r="U733" s="88" t="n">
        <f aca="false">($H730)*(IF($H731=1,U$185,IF($H731=2,U$188,IF($H731=3,U$191,0))))</f>
        <v>0</v>
      </c>
      <c r="V733" s="88" t="n">
        <f aca="false">($H730)*(IF($H731=1,V$185,IF($H731=2,V$188,IF($H731=3,V$191,0))))</f>
        <v>0</v>
      </c>
      <c r="W733" s="88" t="n">
        <f aca="false">($H730)*(IF($H731=1,W$185,IF($H731=2,W$188,IF($H731=3,W$191,0))))</f>
        <v>0</v>
      </c>
      <c r="X733" s="88" t="n">
        <f aca="false">($H730)*(IF($H731=1,X$185,IF($H731=2,X$188,IF($H731=3,X$191,0))))</f>
        <v>0</v>
      </c>
      <c r="Y733" s="88" t="n">
        <f aca="false">($H730)*(IF($H731=1,Y$185,IF($H731=2,Y$188,IF($H731=3,Y$191,0))))</f>
        <v>0</v>
      </c>
      <c r="Z733" s="88" t="n">
        <f aca="false">($H730)*(IF($H731=1,Z$185,IF($H731=2,Z$188,IF($H731=3,Z$191,0))))</f>
        <v>0</v>
      </c>
      <c r="AA733" s="88" t="n">
        <f aca="false">($H730)*(IF($H731=1,AA$185,IF($H731=2,AA$188,IF($H731=3,AA$191,0))))</f>
        <v>0</v>
      </c>
      <c r="AB733" s="88" t="n">
        <f aca="false">($H730)*(IF($H731=1,AB$185,IF($H731=2,AB$188,IF($H731=3,AB$191,0))))</f>
        <v>0</v>
      </c>
      <c r="AC733" s="88" t="n">
        <f aca="false">($H730)*(IF($H731=1,AC$185,IF($H731=2,AC$188,IF($H731=3,AC$191,0))))</f>
        <v>0</v>
      </c>
    </row>
    <row r="734" customFormat="false" ht="11.25" hidden="false" customHeight="false" outlineLevel="0" collapsed="false">
      <c r="A734" s="138"/>
      <c r="H734" s="80"/>
      <c r="I734" s="137"/>
      <c r="J734" s="137"/>
      <c r="K734" s="137"/>
      <c r="L734" s="137"/>
      <c r="M734" s="137"/>
      <c r="N734" s="137"/>
      <c r="O734" s="137"/>
      <c r="P734" s="137"/>
      <c r="Q734" s="137"/>
      <c r="R734" s="137"/>
      <c r="S734" s="137"/>
      <c r="T734" s="137"/>
      <c r="U734" s="137"/>
      <c r="V734" s="137"/>
      <c r="W734" s="137"/>
      <c r="X734" s="137"/>
      <c r="Y734" s="137"/>
      <c r="Z734" s="137"/>
      <c r="AA734" s="137"/>
      <c r="AB734" s="137"/>
      <c r="AC734" s="137"/>
    </row>
    <row r="735" customFormat="false" ht="11.25" hidden="false" customHeight="false" outlineLevel="0" collapsed="false">
      <c r="A735" s="138" t="s">
        <v>221</v>
      </c>
      <c r="H735" s="80"/>
      <c r="I735" s="137"/>
      <c r="J735" s="137"/>
      <c r="K735" s="137"/>
      <c r="L735" s="137"/>
      <c r="M735" s="137"/>
      <c r="N735" s="137"/>
      <c r="O735" s="137"/>
      <c r="P735" s="137"/>
      <c r="Q735" s="137"/>
      <c r="R735" s="137"/>
      <c r="S735" s="137"/>
      <c r="T735" s="137"/>
      <c r="U735" s="137"/>
      <c r="V735" s="137"/>
      <c r="W735" s="137"/>
      <c r="X735" s="137"/>
      <c r="Y735" s="137"/>
      <c r="Z735" s="137"/>
      <c r="AA735" s="137"/>
      <c r="AB735" s="137"/>
      <c r="AC735" s="137"/>
    </row>
    <row r="736" customFormat="false" ht="11.25" hidden="false" customHeight="false" outlineLevel="0" collapsed="false">
      <c r="B736" s="94" t="s">
        <v>157</v>
      </c>
      <c r="C736" s="132" t="s">
        <v>162</v>
      </c>
      <c r="E736" s="43" t="s">
        <v>222</v>
      </c>
      <c r="H736" s="26" t="n">
        <v>0</v>
      </c>
      <c r="I736" s="137"/>
      <c r="J736" s="137"/>
      <c r="K736" s="137"/>
      <c r="L736" s="137"/>
      <c r="M736" s="137"/>
      <c r="N736" s="137"/>
      <c r="O736" s="137"/>
      <c r="P736" s="137"/>
      <c r="Q736" s="137"/>
      <c r="R736" s="137"/>
      <c r="S736" s="137"/>
      <c r="T736" s="137"/>
      <c r="U736" s="137"/>
      <c r="V736" s="137"/>
      <c r="W736" s="137"/>
      <c r="X736" s="137"/>
      <c r="Y736" s="137"/>
      <c r="Z736" s="137"/>
      <c r="AA736" s="137"/>
      <c r="AB736" s="137"/>
      <c r="AC736" s="137"/>
    </row>
    <row r="737" customFormat="false" ht="11.25" hidden="false" customHeight="false" outlineLevel="0" collapsed="false">
      <c r="A737" s="138"/>
      <c r="B737" s="133" t="s">
        <v>158</v>
      </c>
      <c r="C737" s="132"/>
      <c r="E737" s="67" t="s">
        <v>197</v>
      </c>
      <c r="H737" s="26" t="n">
        <v>0</v>
      </c>
      <c r="I737" s="137"/>
      <c r="J737" s="137"/>
      <c r="K737" s="137"/>
      <c r="L737" s="137"/>
      <c r="M737" s="137"/>
      <c r="N737" s="137"/>
      <c r="O737" s="137"/>
      <c r="P737" s="137"/>
      <c r="Q737" s="137"/>
      <c r="R737" s="137"/>
      <c r="S737" s="137"/>
      <c r="T737" s="137"/>
      <c r="U737" s="137"/>
      <c r="V737" s="137"/>
      <c r="W737" s="137"/>
      <c r="X737" s="137"/>
      <c r="Y737" s="137"/>
      <c r="Z737" s="137"/>
      <c r="AA737" s="137"/>
      <c r="AB737" s="137"/>
      <c r="AC737" s="137"/>
    </row>
    <row r="738" customFormat="false" ht="11.25" hidden="false" customHeight="false" outlineLevel="0" collapsed="false">
      <c r="A738" s="138"/>
      <c r="B738" s="133" t="s">
        <v>159</v>
      </c>
      <c r="C738" s="132"/>
      <c r="E738" s="43" t="s">
        <v>198</v>
      </c>
      <c r="H738" s="90" t="n">
        <f aca="false">+H736*H737</f>
        <v>0</v>
      </c>
      <c r="I738" s="137"/>
      <c r="J738" s="137"/>
      <c r="K738" s="137"/>
      <c r="L738" s="137"/>
      <c r="M738" s="137"/>
      <c r="N738" s="137"/>
      <c r="O738" s="137"/>
      <c r="P738" s="137"/>
      <c r="Q738" s="137"/>
      <c r="R738" s="137"/>
      <c r="S738" s="137"/>
      <c r="T738" s="137"/>
      <c r="U738" s="137"/>
      <c r="V738" s="137"/>
      <c r="W738" s="137"/>
      <c r="X738" s="137"/>
      <c r="Y738" s="137"/>
      <c r="Z738" s="137"/>
      <c r="AA738" s="137"/>
      <c r="AB738" s="137"/>
      <c r="AC738" s="137"/>
    </row>
    <row r="739" customFormat="false" ht="11.25" hidden="false" customHeight="false" outlineLevel="0" collapsed="false">
      <c r="A739" s="138"/>
      <c r="B739" s="133" t="s">
        <v>160</v>
      </c>
      <c r="C739" s="132"/>
      <c r="E739" s="43" t="s">
        <v>199</v>
      </c>
      <c r="H739" s="180" t="n">
        <v>1</v>
      </c>
      <c r="I739" s="137"/>
      <c r="J739" s="137"/>
      <c r="K739" s="137"/>
      <c r="L739" s="137"/>
      <c r="M739" s="137"/>
      <c r="N739" s="137"/>
      <c r="O739" s="137"/>
      <c r="P739" s="137"/>
      <c r="Q739" s="137"/>
      <c r="R739" s="137"/>
      <c r="S739" s="137"/>
      <c r="T739" s="137"/>
      <c r="U739" s="137"/>
      <c r="V739" s="137"/>
      <c r="W739" s="137"/>
      <c r="X739" s="137"/>
      <c r="Y739" s="137"/>
      <c r="Z739" s="137"/>
      <c r="AA739" s="137"/>
      <c r="AB739" s="137"/>
      <c r="AC739" s="137"/>
    </row>
    <row r="740" customFormat="false" ht="11.25" hidden="false" customHeight="false" outlineLevel="0" collapsed="false">
      <c r="A740" s="138"/>
      <c r="I740" s="137"/>
      <c r="J740" s="137"/>
      <c r="K740" s="137"/>
      <c r="L740" s="137"/>
      <c r="M740" s="137"/>
      <c r="N740" s="137"/>
      <c r="O740" s="137"/>
      <c r="P740" s="137"/>
      <c r="Q740" s="137"/>
      <c r="R740" s="137"/>
      <c r="S740" s="137"/>
      <c r="T740" s="137"/>
      <c r="U740" s="137"/>
      <c r="V740" s="137"/>
      <c r="W740" s="137"/>
      <c r="X740" s="137"/>
      <c r="Y740" s="137"/>
      <c r="Z740" s="137"/>
      <c r="AA740" s="137"/>
      <c r="AB740" s="137"/>
      <c r="AC740" s="137"/>
    </row>
    <row r="741" customFormat="false" ht="11.25" hidden="false" customHeight="false" outlineLevel="0" collapsed="false">
      <c r="A741" s="138"/>
      <c r="B741" s="138" t="s">
        <v>223</v>
      </c>
      <c r="E741" s="141" t="n">
        <v>0</v>
      </c>
      <c r="F741" s="141" t="n">
        <v>0</v>
      </c>
      <c r="G741" s="141" t="n">
        <v>0</v>
      </c>
      <c r="H741" s="141" t="n">
        <v>0</v>
      </c>
      <c r="I741" s="88" t="n">
        <f aca="false">($H738*(I718+I711))*(IF($H739=1,I$185,IF($H739=2,I$188,IF($H739=3,I$191,0))))*(stub)</f>
        <v>-0</v>
      </c>
      <c r="J741" s="88" t="n">
        <f aca="false">($H738*(J718+J711))*(IF($H739=1,J$185,IF($H739=2,J$188,IF($H739=3,J$191,0))))</f>
        <v>-0</v>
      </c>
      <c r="K741" s="88" t="n">
        <f aca="false">($H738*(K718+K711))*(IF($H739=1,K$185,IF($H739=2,K$188,IF($H739=3,K$191,0))))</f>
        <v>-0</v>
      </c>
      <c r="L741" s="88" t="n">
        <f aca="false">($H738*(L718+L711))*(IF($H739=1,L$185,IF($H739=2,L$188,IF($H739=3,L$191,0))))</f>
        <v>-0</v>
      </c>
      <c r="M741" s="88" t="n">
        <f aca="false">($H738*(M718+M711))*(IF($H739=1,M$185,IF($H739=2,M$188,IF($H739=3,M$191,0))))</f>
        <v>-0</v>
      </c>
      <c r="N741" s="88" t="n">
        <f aca="false">($H738*(N718+N711))*(IF($H739=1,N$185,IF($H739=2,N$188,IF($H739=3,N$191,0))))</f>
        <v>-0</v>
      </c>
      <c r="O741" s="88" t="n">
        <f aca="false">($H738*(O718+O711))*(IF($H739=1,O$185,IF($H739=2,O$188,IF($H739=3,O$191,0))))</f>
        <v>-0</v>
      </c>
      <c r="P741" s="88" t="n">
        <f aca="false">($H738*(P718+P711))*(IF($H739=1,P$185,IF($H739=2,P$188,IF($H739=3,P$191,0))))</f>
        <v>-0</v>
      </c>
      <c r="Q741" s="88" t="n">
        <f aca="false">($H738*(Q718+Q711))*(IF($H739=1,Q$185,IF($H739=2,Q$188,IF($H739=3,Q$191,0))))</f>
        <v>-0</v>
      </c>
      <c r="R741" s="88" t="n">
        <f aca="false">($H738*(R718+R711))*(IF($H739=1,R$185,IF($H739=2,R$188,IF($H739=3,R$191,0))))</f>
        <v>-0</v>
      </c>
      <c r="S741" s="88" t="n">
        <f aca="false">($H738*(S718+S711))*(IF($H739=1,S$185,IF($H739=2,S$188,IF($H739=3,S$191,0))))</f>
        <v>-0</v>
      </c>
      <c r="T741" s="88" t="n">
        <f aca="false">($H738*(T718+T711))*(IF($H739=1,T$185,IF($H739=2,T$188,IF($H739=3,T$191,0))))</f>
        <v>-0</v>
      </c>
      <c r="U741" s="88" t="n">
        <f aca="false">($H738*(U718+U711))*(IF($H739=1,U$185,IF($H739=2,U$188,IF($H739=3,U$191,0))))</f>
        <v>-0</v>
      </c>
      <c r="V741" s="88" t="n">
        <f aca="false">($H738*(V718+V711))*(IF($H739=1,V$185,IF($H739=2,V$188,IF($H739=3,V$191,0))))</f>
        <v>-0</v>
      </c>
      <c r="W741" s="88" t="n">
        <f aca="false">($H738*(W718+W711))*(IF($H739=1,W$185,IF($H739=2,W$188,IF($H739=3,W$191,0))))</f>
        <v>-0</v>
      </c>
      <c r="X741" s="88" t="n">
        <f aca="false">($H738*(X718+X711))*(IF($H739=1,X$185,IF($H739=2,X$188,IF($H739=3,X$191,0))))</f>
        <v>-0</v>
      </c>
      <c r="Y741" s="88" t="n">
        <f aca="false">($H738*(Y718+Y711))*(IF($H739=1,Y$185,IF($H739=2,Y$188,IF($H739=3,Y$191,0))))</f>
        <v>-0</v>
      </c>
      <c r="Z741" s="88" t="n">
        <f aca="false">($H738*(Z718+Z711))*(IF($H739=1,Z$185,IF($H739=2,Z$188,IF($H739=3,Z$191,0))))</f>
        <v>-0</v>
      </c>
      <c r="AA741" s="88" t="n">
        <f aca="false">($H738*(AA718+AA711))*(IF($H739=1,AA$185,IF($H739=2,AA$188,IF($H739=3,AA$191,0))))</f>
        <v>-0</v>
      </c>
      <c r="AB741" s="88" t="n">
        <f aca="false">($H738*(AB718+AB711))*(IF($H739=1,AB$185,IF($H739=2,AB$188,IF($H739=3,AB$191,0))))</f>
        <v>-0</v>
      </c>
      <c r="AC741" s="88" t="n">
        <f aca="false">($H738*(AC718+AC711))*(IF($H739=1,AC$185,IF($H739=2,AC$188,IF($H739=3,AC$191,0))))</f>
        <v>-0</v>
      </c>
    </row>
    <row r="742" customFormat="false" ht="11.25" hidden="false" customHeight="false" outlineLevel="0" collapsed="false">
      <c r="A742" s="138"/>
      <c r="B742" s="138"/>
      <c r="I742" s="88"/>
      <c r="J742" s="88"/>
      <c r="K742" s="88"/>
      <c r="L742" s="88"/>
      <c r="M742" s="88"/>
      <c r="N742" s="88"/>
      <c r="O742" s="88"/>
      <c r="P742" s="88"/>
      <c r="Q742" s="88"/>
      <c r="R742" s="88"/>
      <c r="S742" s="88"/>
      <c r="T742" s="88"/>
      <c r="U742" s="88"/>
      <c r="V742" s="88"/>
      <c r="W742" s="88"/>
      <c r="X742" s="88"/>
      <c r="Y742" s="88"/>
      <c r="Z742" s="88"/>
      <c r="AA742" s="88"/>
      <c r="AB742" s="88"/>
      <c r="AC742" s="88"/>
    </row>
    <row r="743" customFormat="false" ht="11.25" hidden="false" customHeight="false" outlineLevel="0" collapsed="false">
      <c r="A743" s="43" t="s">
        <v>224</v>
      </c>
      <c r="C743" s="35"/>
      <c r="D743" s="35"/>
      <c r="E743" s="35" t="n">
        <f aca="false">+E741+E733</f>
        <v>0</v>
      </c>
      <c r="F743" s="35" t="n">
        <f aca="false">+F741+F733</f>
        <v>0</v>
      </c>
      <c r="G743" s="35" t="n">
        <f aca="false">+G741+G733</f>
        <v>0</v>
      </c>
      <c r="H743" s="35" t="n">
        <f aca="false">+H741+H733</f>
        <v>0</v>
      </c>
      <c r="I743" s="35" t="n">
        <f aca="false">+I741+I733</f>
        <v>0</v>
      </c>
      <c r="J743" s="35" t="n">
        <f aca="false">+J741+J733</f>
        <v>0</v>
      </c>
      <c r="K743" s="35" t="n">
        <f aca="false">+K741+K733</f>
        <v>0</v>
      </c>
      <c r="L743" s="35" t="n">
        <f aca="false">+L741+L733</f>
        <v>0</v>
      </c>
      <c r="M743" s="35" t="n">
        <f aca="false">+M741+M733</f>
        <v>0</v>
      </c>
      <c r="N743" s="35" t="n">
        <f aca="false">+N741+N733</f>
        <v>0</v>
      </c>
      <c r="O743" s="35" t="n">
        <f aca="false">+O741+O733</f>
        <v>0</v>
      </c>
      <c r="P743" s="35" t="n">
        <f aca="false">+P741+P733</f>
        <v>0</v>
      </c>
      <c r="Q743" s="35" t="n">
        <f aca="false">+Q741+Q733</f>
        <v>0</v>
      </c>
      <c r="R743" s="35" t="n">
        <f aca="false">+R741+R733</f>
        <v>0</v>
      </c>
      <c r="S743" s="35" t="n">
        <f aca="false">+S741+S733</f>
        <v>0</v>
      </c>
      <c r="T743" s="35" t="n">
        <f aca="false">+T741+T733</f>
        <v>0</v>
      </c>
      <c r="U743" s="35" t="n">
        <f aca="false">+U741+U733</f>
        <v>0</v>
      </c>
      <c r="V743" s="35" t="n">
        <f aca="false">+V741+V733</f>
        <v>0</v>
      </c>
      <c r="W743" s="35" t="n">
        <f aca="false">+W741+W733</f>
        <v>0</v>
      </c>
      <c r="X743" s="35" t="n">
        <f aca="false">+X741+X733</f>
        <v>0</v>
      </c>
      <c r="Y743" s="35" t="n">
        <f aca="false">+Y741+Y733</f>
        <v>0</v>
      </c>
      <c r="Z743" s="35" t="n">
        <f aca="false">+Z741+Z733</f>
        <v>0</v>
      </c>
      <c r="AA743" s="35" t="n">
        <f aca="false">+AA741+AA733</f>
        <v>0</v>
      </c>
      <c r="AB743" s="35" t="n">
        <f aca="false">+AB741+AB733</f>
        <v>0</v>
      </c>
      <c r="AC743" s="35" t="n">
        <f aca="false">+AC741+AC733</f>
        <v>0</v>
      </c>
    </row>
    <row r="744" customFormat="false" ht="11.25" hidden="false" customHeight="false" outlineLevel="0" collapsed="false">
      <c r="A744" s="35" t="s">
        <v>225</v>
      </c>
      <c r="C744" s="35"/>
      <c r="D744" s="35"/>
      <c r="E744" s="5" t="n">
        <f aca="false">+E720</f>
        <v>0</v>
      </c>
      <c r="F744" s="5" t="n">
        <f aca="false">+F720</f>
        <v>0</v>
      </c>
      <c r="G744" s="5" t="n">
        <f aca="false">+G720</f>
        <v>0</v>
      </c>
      <c r="H744" s="5" t="n">
        <f aca="false">+H720</f>
        <v>0</v>
      </c>
      <c r="I744" s="5" t="n">
        <f aca="false">+I720</f>
        <v>-37.4717360511448</v>
      </c>
      <c r="J744" s="5" t="n">
        <f aca="false">+J720</f>
        <v>-63.3560026022897</v>
      </c>
      <c r="K744" s="5" t="n">
        <f aca="false">+K720</f>
        <v>-56.2642741950787</v>
      </c>
      <c r="L744" s="5" t="n">
        <f aca="false">+L720</f>
        <v>-50.9242737393223</v>
      </c>
      <c r="M744" s="5" t="n">
        <f aca="false">+M720</f>
        <v>-45.0032016399115</v>
      </c>
      <c r="N744" s="5" t="n">
        <f aca="false">+N720</f>
        <v>-37.6757729498397</v>
      </c>
      <c r="O744" s="5" t="n">
        <f aca="false">+O720</f>
        <v>-27.5115869393369</v>
      </c>
      <c r="P744" s="5" t="n">
        <f aca="false">+P720</f>
        <v>-17.4886738524014</v>
      </c>
      <c r="Q744" s="5" t="n">
        <f aca="false">+Q720</f>
        <v>2.88895815884282</v>
      </c>
      <c r="R744" s="5" t="n">
        <f aca="false">+R720</f>
        <v>13.128254465375</v>
      </c>
      <c r="S744" s="5" t="n">
        <f aca="false">+S720</f>
        <v>1.62142960468582</v>
      </c>
      <c r="T744" s="5" t="n">
        <f aca="false">+T720</f>
        <v>7.74672383102027</v>
      </c>
      <c r="U744" s="5" t="n">
        <f aca="false">+U720</f>
        <v>12.949836643917</v>
      </c>
      <c r="V744" s="5" t="n">
        <f aca="false">+V720</f>
        <v>17.7712127082748</v>
      </c>
      <c r="W744" s="5" t="n">
        <f aca="false">+W720</f>
        <v>1.43191957282293</v>
      </c>
      <c r="X744" s="5" t="n">
        <f aca="false">+X720</f>
        <v>4.85494301819779</v>
      </c>
      <c r="Y744" s="5" t="n">
        <f aca="false">+Y720</f>
        <v>-6.72672753361186</v>
      </c>
      <c r="Z744" s="5" t="n">
        <f aca="false">+Z720</f>
        <v>-8.51125372618306</v>
      </c>
      <c r="AA744" s="5" t="n">
        <f aca="false">+AA720</f>
        <v>-6.50912868503587</v>
      </c>
      <c r="AB744" s="5" t="n">
        <f aca="false">+AB720</f>
        <v>-5.00772532438134</v>
      </c>
      <c r="AC744" s="5" t="n">
        <f aca="false">+AC720</f>
        <v>-4.13825767104727</v>
      </c>
    </row>
    <row r="745" customFormat="false" ht="11.25" hidden="false" customHeight="false" outlineLevel="0" collapsed="false">
      <c r="A745" s="35" t="s">
        <v>226</v>
      </c>
      <c r="C745" s="35"/>
      <c r="D745" s="35"/>
      <c r="E745" s="157" t="n">
        <f aca="false">+E743+E744</f>
        <v>0</v>
      </c>
      <c r="F745" s="157" t="n">
        <f aca="false">+F743+F744</f>
        <v>0</v>
      </c>
      <c r="G745" s="157" t="n">
        <f aca="false">+G743+G744</f>
        <v>0</v>
      </c>
      <c r="H745" s="157" t="n">
        <f aca="false">+H743+H744</f>
        <v>0</v>
      </c>
      <c r="I745" s="157" t="n">
        <f aca="false">+I743+I744</f>
        <v>-37.4717360511448</v>
      </c>
      <c r="J745" s="157" t="n">
        <f aca="false">+J743+J744</f>
        <v>-63.3560026022897</v>
      </c>
      <c r="K745" s="157" t="n">
        <f aca="false">+K743+K744</f>
        <v>-56.2642741950787</v>
      </c>
      <c r="L745" s="157" t="n">
        <f aca="false">+L743+L744</f>
        <v>-50.9242737393223</v>
      </c>
      <c r="M745" s="157" t="n">
        <f aca="false">+M743+M744</f>
        <v>-45.0032016399115</v>
      </c>
      <c r="N745" s="157" t="n">
        <f aca="false">+N743+N744</f>
        <v>-37.6757729498397</v>
      </c>
      <c r="O745" s="157" t="n">
        <f aca="false">+O743+O744</f>
        <v>-27.5115869393369</v>
      </c>
      <c r="P745" s="157" t="n">
        <f aca="false">+P743+P744</f>
        <v>-17.4886738524014</v>
      </c>
      <c r="Q745" s="157" t="n">
        <f aca="false">+Q743+Q744</f>
        <v>2.88895815884282</v>
      </c>
      <c r="R745" s="157" t="n">
        <f aca="false">+R743+R744</f>
        <v>13.128254465375</v>
      </c>
      <c r="S745" s="157" t="n">
        <f aca="false">+S743+S744</f>
        <v>1.62142960468582</v>
      </c>
      <c r="T745" s="157" t="n">
        <f aca="false">+T743+T744</f>
        <v>7.74672383102027</v>
      </c>
      <c r="U745" s="157" t="n">
        <f aca="false">+U743+U744</f>
        <v>12.949836643917</v>
      </c>
      <c r="V745" s="157" t="n">
        <f aca="false">+V743+V744</f>
        <v>17.7712127082748</v>
      </c>
      <c r="W745" s="157" t="n">
        <f aca="false">+W743+W744</f>
        <v>1.43191957282293</v>
      </c>
      <c r="X745" s="157" t="n">
        <f aca="false">+X743+X744</f>
        <v>4.85494301819779</v>
      </c>
      <c r="Y745" s="157" t="n">
        <f aca="false">+Y743+Y744</f>
        <v>-6.72672753361186</v>
      </c>
      <c r="Z745" s="157" t="n">
        <f aca="false">+Z743+Z744</f>
        <v>-8.51125372618306</v>
      </c>
      <c r="AA745" s="157" t="n">
        <f aca="false">+AA743+AA744</f>
        <v>-6.50912868503587</v>
      </c>
      <c r="AB745" s="157" t="n">
        <f aca="false">+AB743+AB744</f>
        <v>-5.00772532438134</v>
      </c>
      <c r="AC745" s="157" t="n">
        <f aca="false">+AC743+AC744</f>
        <v>-4.13825767104727</v>
      </c>
      <c r="AE745" s="85"/>
    </row>
    <row r="746" customFormat="false" ht="12" hidden="false" customHeight="false" outlineLevel="0" collapsed="false">
      <c r="A746" s="35"/>
      <c r="C746" s="35"/>
      <c r="D746" s="35"/>
      <c r="E746" s="35"/>
      <c r="F746" s="35"/>
      <c r="G746" s="35"/>
      <c r="H746" s="35"/>
      <c r="I746" s="35"/>
      <c r="J746" s="35"/>
      <c r="K746" s="35"/>
      <c r="L746" s="35"/>
      <c r="M746" s="35"/>
      <c r="N746" s="35"/>
      <c r="O746" s="35"/>
      <c r="P746" s="35"/>
      <c r="Q746" s="35"/>
      <c r="R746" s="35"/>
      <c r="S746" s="35"/>
      <c r="T746" s="35"/>
      <c r="U746" s="35"/>
      <c r="V746" s="35"/>
      <c r="W746" s="35"/>
      <c r="X746" s="149"/>
      <c r="Y746" s="149"/>
      <c r="Z746" s="149"/>
      <c r="AA746" s="149"/>
      <c r="AB746" s="149"/>
      <c r="AC746" s="149"/>
    </row>
    <row r="747" customFormat="false" ht="12" hidden="false" customHeight="false" outlineLevel="0" collapsed="false">
      <c r="A747" s="130"/>
      <c r="B747" s="130"/>
      <c r="C747" s="130"/>
      <c r="D747" s="130"/>
      <c r="E747" s="130"/>
      <c r="F747" s="130"/>
      <c r="G747" s="130"/>
      <c r="H747" s="130"/>
      <c r="I747" s="130"/>
      <c r="J747" s="130"/>
      <c r="K747" s="130"/>
      <c r="L747" s="130"/>
      <c r="M747" s="130"/>
      <c r="N747" s="130"/>
      <c r="O747" s="130"/>
      <c r="P747" s="130"/>
      <c r="Q747" s="130"/>
      <c r="R747" s="130"/>
      <c r="S747" s="130"/>
      <c r="T747" s="130"/>
      <c r="U747" s="130"/>
      <c r="V747" s="130"/>
      <c r="W747" s="130"/>
      <c r="X747" s="130"/>
      <c r="Y747" s="130"/>
      <c r="Z747" s="130"/>
      <c r="AA747" s="130"/>
      <c r="AB747" s="130"/>
      <c r="AC747" s="130"/>
    </row>
    <row r="748" customFormat="false" ht="11.25" hidden="false" customHeight="false" outlineLevel="0" collapsed="false">
      <c r="A748" s="153" t="s">
        <v>227</v>
      </c>
      <c r="C748" s="35"/>
      <c r="D748" s="35"/>
      <c r="E748" s="35"/>
      <c r="F748" s="35"/>
      <c r="G748" s="35"/>
      <c r="H748" s="35"/>
      <c r="I748" s="35"/>
      <c r="J748" s="35"/>
      <c r="K748" s="35"/>
      <c r="L748" s="35"/>
      <c r="M748" s="35"/>
      <c r="N748" s="35"/>
      <c r="O748" s="35"/>
      <c r="P748" s="35"/>
      <c r="Q748" s="35"/>
      <c r="R748" s="35"/>
      <c r="S748" s="35"/>
      <c r="T748" s="35"/>
      <c r="U748" s="35"/>
      <c r="V748" s="35"/>
      <c r="W748" s="35"/>
      <c r="X748" s="149"/>
      <c r="Y748" s="149"/>
      <c r="Z748" s="149"/>
      <c r="AA748" s="149"/>
      <c r="AB748" s="149"/>
      <c r="AC748" s="149"/>
    </row>
    <row r="749" customFormat="false" ht="11.25" hidden="false" customHeight="false" outlineLevel="0" collapsed="false">
      <c r="A749" s="43" t="s">
        <v>228</v>
      </c>
      <c r="C749" s="103"/>
      <c r="D749" s="103"/>
      <c r="E749" s="111"/>
      <c r="F749" s="111"/>
      <c r="G749" s="111"/>
      <c r="H749" s="111"/>
      <c r="I749" s="111"/>
      <c r="J749" s="111"/>
      <c r="K749" s="111"/>
      <c r="L749" s="111"/>
      <c r="M749" s="111"/>
      <c r="N749" s="111"/>
      <c r="O749" s="111"/>
      <c r="P749" s="111"/>
      <c r="Q749" s="111"/>
      <c r="R749" s="111"/>
      <c r="S749" s="111"/>
      <c r="T749" s="111"/>
      <c r="U749" s="111"/>
      <c r="V749" s="111"/>
      <c r="W749" s="111"/>
      <c r="X749" s="111"/>
      <c r="Y749" s="111"/>
      <c r="Z749" s="111"/>
      <c r="AA749" s="111"/>
      <c r="AB749" s="111"/>
      <c r="AC749" s="111"/>
    </row>
    <row r="750" customFormat="false" ht="11.25" hidden="false" customHeight="false" outlineLevel="0" collapsed="false">
      <c r="A750" s="138"/>
      <c r="B750" s="94" t="s">
        <v>157</v>
      </c>
      <c r="C750" s="132" t="s">
        <v>162</v>
      </c>
      <c r="E750" s="43" t="s">
        <v>204</v>
      </c>
      <c r="H750" s="141" t="n">
        <v>0</v>
      </c>
      <c r="I750" s="140"/>
      <c r="J750" s="140"/>
      <c r="K750" s="140"/>
      <c r="L750" s="140"/>
      <c r="M750" s="140"/>
      <c r="N750" s="140"/>
      <c r="O750" s="140"/>
      <c r="P750" s="140"/>
      <c r="Q750" s="140"/>
      <c r="R750" s="140"/>
      <c r="S750" s="140"/>
      <c r="T750" s="140"/>
      <c r="U750" s="140"/>
      <c r="V750" s="140"/>
      <c r="W750" s="140"/>
      <c r="X750" s="140"/>
      <c r="Y750" s="140"/>
      <c r="Z750" s="140"/>
      <c r="AA750" s="140"/>
      <c r="AB750" s="140"/>
      <c r="AC750" s="140"/>
    </row>
    <row r="751" customFormat="false" ht="11.25" hidden="false" customHeight="false" outlineLevel="0" collapsed="false">
      <c r="A751" s="80"/>
      <c r="B751" s="133" t="s">
        <v>158</v>
      </c>
      <c r="C751" s="132"/>
      <c r="E751" s="67" t="s">
        <v>197</v>
      </c>
      <c r="H751" s="26" t="n">
        <v>0</v>
      </c>
      <c r="I751" s="80"/>
      <c r="J751" s="80"/>
      <c r="K751" s="80"/>
      <c r="L751" s="80"/>
      <c r="M751" s="80"/>
      <c r="N751" s="80"/>
      <c r="O751" s="80"/>
      <c r="P751" s="80"/>
      <c r="Q751" s="80"/>
      <c r="R751" s="80"/>
      <c r="S751" s="80"/>
      <c r="T751" s="80"/>
      <c r="U751" s="80"/>
      <c r="V751" s="80"/>
      <c r="W751" s="80"/>
      <c r="X751" s="80"/>
      <c r="Y751" s="80"/>
      <c r="Z751" s="80"/>
      <c r="AA751" s="80"/>
      <c r="AB751" s="80"/>
      <c r="AC751" s="80"/>
    </row>
    <row r="752" customFormat="false" ht="11.25" hidden="false" customHeight="false" outlineLevel="0" collapsed="false">
      <c r="B752" s="133" t="s">
        <v>159</v>
      </c>
      <c r="C752" s="132"/>
      <c r="E752" s="43" t="s">
        <v>198</v>
      </c>
      <c r="H752" s="88" t="n">
        <f aca="false">+H750*H751</f>
        <v>0</v>
      </c>
    </row>
    <row r="753" customFormat="false" ht="11.25" hidden="false" customHeight="false" outlineLevel="0" collapsed="false">
      <c r="A753" s="138"/>
      <c r="B753" s="133" t="s">
        <v>160</v>
      </c>
      <c r="C753" s="132"/>
      <c r="E753" s="43" t="s">
        <v>199</v>
      </c>
      <c r="H753" s="141" t="n">
        <v>1</v>
      </c>
      <c r="I753" s="137"/>
      <c r="J753" s="137"/>
      <c r="K753" s="137"/>
      <c r="L753" s="137"/>
      <c r="M753" s="137"/>
      <c r="N753" s="137"/>
      <c r="O753" s="137"/>
      <c r="P753" s="137"/>
      <c r="Q753" s="137"/>
      <c r="R753" s="137"/>
      <c r="S753" s="137"/>
      <c r="T753" s="137"/>
      <c r="U753" s="137"/>
      <c r="V753" s="137"/>
      <c r="W753" s="137"/>
      <c r="X753" s="137"/>
      <c r="Y753" s="137"/>
      <c r="Z753" s="137"/>
      <c r="AA753" s="137"/>
      <c r="AB753" s="137"/>
      <c r="AC753" s="137"/>
    </row>
    <row r="754" customFormat="false" ht="11.25" hidden="false" customHeight="false" outlineLevel="0" collapsed="false">
      <c r="A754" s="138"/>
      <c r="I754" s="137"/>
      <c r="J754" s="137"/>
      <c r="K754" s="137"/>
      <c r="L754" s="137"/>
      <c r="M754" s="137"/>
      <c r="N754" s="137"/>
      <c r="O754" s="137"/>
      <c r="P754" s="137"/>
      <c r="Q754" s="137"/>
      <c r="R754" s="137"/>
      <c r="S754" s="137"/>
      <c r="T754" s="137"/>
      <c r="U754" s="137"/>
      <c r="V754" s="137"/>
      <c r="W754" s="137"/>
      <c r="X754" s="137"/>
      <c r="Y754" s="137"/>
      <c r="Z754" s="137"/>
      <c r="AA754" s="137"/>
      <c r="AB754" s="137"/>
      <c r="AC754" s="137"/>
    </row>
    <row r="755" customFormat="false" ht="11.25" hidden="false" customHeight="false" outlineLevel="0" collapsed="false">
      <c r="A755" s="138"/>
      <c r="B755" s="138" t="s">
        <v>133</v>
      </c>
      <c r="E755" s="141" t="n">
        <v>0</v>
      </c>
      <c r="F755" s="141" t="n">
        <v>0</v>
      </c>
      <c r="G755" s="141" t="n">
        <v>0</v>
      </c>
      <c r="H755" s="141" t="n">
        <v>0</v>
      </c>
      <c r="I755" s="88" t="n">
        <f aca="false">($H752)*(IF($H753=1,I$185,IF($H753=2,I$188,IF($H753=3,I$191,0))))*(stub)</f>
        <v>0</v>
      </c>
      <c r="J755" s="88" t="n">
        <f aca="false">($H752)*(IF($H753=1,J$185,IF($H753=2,J$188,IF($H753=3,J$191,0))))</f>
        <v>0</v>
      </c>
      <c r="K755" s="88" t="n">
        <f aca="false">($H752)*(IF($H753=1,K$185,IF($H753=2,K$188,IF($H753=3,K$191,0))))</f>
        <v>0</v>
      </c>
      <c r="L755" s="88" t="n">
        <f aca="false">($H752)*(IF($H753=1,L$185,IF($H753=2,L$188,IF($H753=3,L$191,0))))</f>
        <v>0</v>
      </c>
      <c r="M755" s="88" t="n">
        <f aca="false">($H752)*(IF($H753=1,M$185,IF($H753=2,M$188,IF($H753=3,M$191,0))))</f>
        <v>0</v>
      </c>
      <c r="N755" s="88" t="n">
        <f aca="false">($H752)*(IF($H753=1,N$185,IF($H753=2,N$188,IF($H753=3,N$191,0))))</f>
        <v>0</v>
      </c>
      <c r="O755" s="88" t="n">
        <f aca="false">($H752)*(IF($H753=1,O$185,IF($H753=2,O$188,IF($H753=3,O$191,0))))</f>
        <v>0</v>
      </c>
      <c r="P755" s="88" t="n">
        <f aca="false">($H752)*(IF($H753=1,P$185,IF($H753=2,P$188,IF($H753=3,P$191,0))))</f>
        <v>0</v>
      </c>
      <c r="Q755" s="88" t="n">
        <f aca="false">($H752)*(IF($H753=1,Q$185,IF($H753=2,Q$188,IF($H753=3,Q$191,0))))</f>
        <v>0</v>
      </c>
      <c r="R755" s="88" t="n">
        <f aca="false">($H752)*(IF($H753=1,R$185,IF($H753=2,R$188,IF($H753=3,R$191,0))))</f>
        <v>0</v>
      </c>
      <c r="S755" s="88" t="n">
        <f aca="false">($H752)*(IF($H753=1,S$185,IF($H753=2,S$188,IF($H753=3,S$191,0))))</f>
        <v>0</v>
      </c>
      <c r="T755" s="88" t="n">
        <f aca="false">($H752)*(IF($H753=1,T$185,IF($H753=2,T$188,IF($H753=3,T$191,0))))</f>
        <v>0</v>
      </c>
      <c r="U755" s="88" t="n">
        <f aca="false">($H752)*(IF($H753=1,U$185,IF($H753=2,U$188,IF($H753=3,U$191,0))))</f>
        <v>0</v>
      </c>
      <c r="V755" s="88" t="n">
        <f aca="false">($H752)*(IF($H753=1,V$185,IF($H753=2,V$188,IF($H753=3,V$191,0))))</f>
        <v>0</v>
      </c>
      <c r="W755" s="88" t="n">
        <f aca="false">($H752)*(IF($H753=1,W$185,IF($H753=2,W$188,IF($H753=3,W$191,0))))</f>
        <v>0</v>
      </c>
      <c r="X755" s="88" t="n">
        <f aca="false">($H752)*(IF($H753=1,X$185,IF($H753=2,X$188,IF($H753=3,X$191,0))))</f>
        <v>0</v>
      </c>
      <c r="Y755" s="88" t="n">
        <f aca="false">($H752)*(IF($H753=1,Y$185,IF($H753=2,Y$188,IF($H753=3,Y$191,0))))</f>
        <v>0</v>
      </c>
      <c r="Z755" s="88" t="n">
        <f aca="false">($H752)*(IF($H753=1,Z$185,IF($H753=2,Z$188,IF($H753=3,Z$191,0))))</f>
        <v>0</v>
      </c>
      <c r="AA755" s="88" t="n">
        <f aca="false">($H752)*(IF($H753=1,AA$185,IF($H753=2,AA$188,IF($H753=3,AA$191,0))))</f>
        <v>0</v>
      </c>
      <c r="AB755" s="88" t="n">
        <f aca="false">($H752)*(IF($H753=1,AB$185,IF($H753=2,AB$188,IF($H753=3,AB$191,0))))</f>
        <v>0</v>
      </c>
      <c r="AC755" s="88" t="n">
        <f aca="false">($H752)*(IF($H753=1,AC$185,IF($H753=2,AC$188,IF($H753=3,AC$191,0))))</f>
        <v>0</v>
      </c>
    </row>
    <row r="756" customFormat="false" ht="11.25" hidden="false" customHeight="false" outlineLevel="0" collapsed="false">
      <c r="A756" s="138"/>
      <c r="H756" s="80"/>
      <c r="I756" s="137"/>
      <c r="J756" s="137"/>
      <c r="K756" s="137"/>
      <c r="L756" s="137"/>
      <c r="M756" s="137"/>
      <c r="N756" s="137"/>
      <c r="O756" s="137"/>
      <c r="P756" s="137"/>
      <c r="Q756" s="137"/>
      <c r="R756" s="137"/>
      <c r="S756" s="137"/>
      <c r="T756" s="137"/>
      <c r="U756" s="137"/>
      <c r="V756" s="137"/>
      <c r="W756" s="137"/>
      <c r="X756" s="137"/>
      <c r="Y756" s="137"/>
      <c r="Z756" s="137"/>
      <c r="AA756" s="137"/>
      <c r="AB756" s="137"/>
      <c r="AC756" s="137"/>
    </row>
    <row r="757" customFormat="false" ht="11.25" hidden="false" customHeight="false" outlineLevel="0" collapsed="false">
      <c r="A757" s="138" t="s">
        <v>229</v>
      </c>
      <c r="H757" s="80"/>
      <c r="I757" s="137"/>
      <c r="J757" s="137"/>
      <c r="K757" s="137"/>
      <c r="L757" s="137"/>
      <c r="M757" s="137"/>
      <c r="N757" s="137"/>
      <c r="O757" s="137"/>
      <c r="P757" s="137"/>
      <c r="Q757" s="137"/>
      <c r="R757" s="137"/>
      <c r="S757" s="137"/>
      <c r="T757" s="137"/>
      <c r="U757" s="137"/>
      <c r="V757" s="137"/>
      <c r="W757" s="137"/>
      <c r="X757" s="137"/>
      <c r="Y757" s="137"/>
      <c r="Z757" s="137"/>
      <c r="AA757" s="137"/>
      <c r="AB757" s="137"/>
      <c r="AC757" s="137"/>
    </row>
    <row r="758" customFormat="false" ht="11.25" hidden="false" customHeight="false" outlineLevel="0" collapsed="false">
      <c r="B758" s="94" t="s">
        <v>157</v>
      </c>
      <c r="C758" s="132" t="s">
        <v>162</v>
      </c>
      <c r="E758" s="43" t="s">
        <v>222</v>
      </c>
      <c r="H758" s="26" t="n">
        <v>0</v>
      </c>
      <c r="I758" s="137"/>
      <c r="J758" s="137"/>
      <c r="K758" s="137"/>
      <c r="L758" s="137"/>
      <c r="M758" s="137"/>
      <c r="N758" s="137"/>
      <c r="O758" s="137"/>
      <c r="P758" s="137"/>
      <c r="Q758" s="137"/>
      <c r="R758" s="137"/>
      <c r="S758" s="137"/>
      <c r="T758" s="137"/>
      <c r="U758" s="137"/>
      <c r="V758" s="137"/>
      <c r="W758" s="137"/>
      <c r="X758" s="137"/>
      <c r="Y758" s="137"/>
      <c r="Z758" s="137"/>
      <c r="AA758" s="137"/>
      <c r="AB758" s="137"/>
      <c r="AC758" s="137"/>
    </row>
    <row r="759" customFormat="false" ht="11.25" hidden="false" customHeight="false" outlineLevel="0" collapsed="false">
      <c r="A759" s="138"/>
      <c r="B759" s="133" t="s">
        <v>158</v>
      </c>
      <c r="C759" s="132"/>
      <c r="E759" s="67" t="s">
        <v>197</v>
      </c>
      <c r="H759" s="26" t="n">
        <v>0</v>
      </c>
      <c r="I759" s="137"/>
      <c r="J759" s="137"/>
      <c r="K759" s="137"/>
      <c r="L759" s="137"/>
      <c r="M759" s="137"/>
      <c r="N759" s="137"/>
      <c r="O759" s="137"/>
      <c r="P759" s="137"/>
      <c r="Q759" s="137"/>
      <c r="R759" s="137"/>
      <c r="S759" s="137"/>
      <c r="T759" s="137"/>
      <c r="U759" s="137"/>
      <c r="V759" s="137"/>
      <c r="W759" s="137"/>
      <c r="X759" s="137"/>
      <c r="Y759" s="137"/>
      <c r="Z759" s="137"/>
      <c r="AA759" s="137"/>
      <c r="AB759" s="137"/>
      <c r="AC759" s="137"/>
    </row>
    <row r="760" customFormat="false" ht="11.25" hidden="false" customHeight="false" outlineLevel="0" collapsed="false">
      <c r="A760" s="138"/>
      <c r="B760" s="133" t="s">
        <v>159</v>
      </c>
      <c r="C760" s="132"/>
      <c r="E760" s="43" t="s">
        <v>198</v>
      </c>
      <c r="H760" s="88" t="n">
        <f aca="false">+H758*H759</f>
        <v>0</v>
      </c>
      <c r="I760" s="137"/>
      <c r="J760" s="137"/>
      <c r="K760" s="137"/>
      <c r="L760" s="137"/>
      <c r="M760" s="137"/>
      <c r="N760" s="137"/>
      <c r="O760" s="137"/>
      <c r="P760" s="137"/>
      <c r="Q760" s="137"/>
      <c r="R760" s="137"/>
      <c r="S760" s="137"/>
      <c r="T760" s="137"/>
      <c r="U760" s="137"/>
      <c r="V760" s="137"/>
      <c r="W760" s="137"/>
      <c r="X760" s="137"/>
      <c r="Y760" s="137"/>
      <c r="Z760" s="137"/>
      <c r="AA760" s="137"/>
      <c r="AB760" s="137"/>
      <c r="AC760" s="137"/>
    </row>
    <row r="761" customFormat="false" ht="11.25" hidden="false" customHeight="false" outlineLevel="0" collapsed="false">
      <c r="A761" s="138"/>
      <c r="B761" s="133" t="s">
        <v>160</v>
      </c>
      <c r="C761" s="132"/>
      <c r="E761" s="43" t="s">
        <v>199</v>
      </c>
      <c r="H761" s="180" t="n">
        <v>1</v>
      </c>
      <c r="I761" s="304"/>
      <c r="J761" s="305"/>
      <c r="K761" s="304"/>
      <c r="L761" s="137"/>
      <c r="M761" s="137"/>
      <c r="N761" s="137"/>
      <c r="O761" s="137"/>
      <c r="P761" s="137"/>
      <c r="Q761" s="137"/>
      <c r="R761" s="137"/>
      <c r="S761" s="137"/>
      <c r="T761" s="137"/>
      <c r="U761" s="137"/>
      <c r="V761" s="137"/>
      <c r="W761" s="137"/>
      <c r="X761" s="137"/>
      <c r="Y761" s="137"/>
      <c r="Z761" s="137"/>
      <c r="AA761" s="137"/>
      <c r="AB761" s="137"/>
      <c r="AC761" s="137"/>
    </row>
    <row r="762" customFormat="false" ht="11.25" hidden="false" customHeight="false" outlineLevel="0" collapsed="false">
      <c r="A762" s="138"/>
      <c r="I762" s="137"/>
      <c r="J762" s="137"/>
      <c r="K762" s="137"/>
      <c r="L762" s="137"/>
      <c r="M762" s="137"/>
      <c r="N762" s="137"/>
      <c r="O762" s="137"/>
      <c r="P762" s="137"/>
      <c r="Q762" s="137"/>
      <c r="R762" s="137"/>
      <c r="S762" s="137"/>
      <c r="T762" s="137"/>
      <c r="U762" s="137"/>
      <c r="V762" s="137"/>
      <c r="W762" s="137"/>
      <c r="X762" s="137"/>
      <c r="Y762" s="137"/>
      <c r="Z762" s="137"/>
      <c r="AA762" s="137"/>
      <c r="AB762" s="137"/>
      <c r="AC762" s="137"/>
    </row>
    <row r="763" customFormat="false" ht="11.25" hidden="false" customHeight="false" outlineLevel="0" collapsed="false">
      <c r="A763" s="138"/>
      <c r="B763" s="138" t="s">
        <v>223</v>
      </c>
      <c r="E763" s="141" t="n">
        <v>0</v>
      </c>
      <c r="F763" s="141" t="n">
        <v>0</v>
      </c>
      <c r="G763" s="141" t="n">
        <v>0</v>
      </c>
      <c r="H763" s="141" t="n">
        <v>0</v>
      </c>
      <c r="I763" s="88" t="n">
        <f aca="false">($H760*(I718+I711))*(IF($H761=1,I$185,IF($H761=2,I$188,IF($H761=3,I$191,0))))*(stub)</f>
        <v>-0</v>
      </c>
      <c r="J763" s="88" t="n">
        <f aca="false">($H760*(J718+J711))*(IF($H761=1,J$185,IF($H761=2,J$188,IF($H761=3,J$191,0))))</f>
        <v>-0</v>
      </c>
      <c r="K763" s="88" t="n">
        <f aca="false">($H760*(K718+K711))*(IF($H761=1,K$185,IF($H761=2,K$188,IF($H761=3,K$191,0))))</f>
        <v>-0</v>
      </c>
      <c r="L763" s="88" t="n">
        <f aca="false">($H760*(L718+L711))*(IF($H761=1,L$185,IF($H761=2,L$188,IF($H761=3,L$191,0))))</f>
        <v>-0</v>
      </c>
      <c r="M763" s="88" t="n">
        <f aca="false">($H760*(M718+M711))*(IF($H761=1,M$185,IF($H761=2,M$188,IF($H761=3,M$191,0))))</f>
        <v>-0</v>
      </c>
      <c r="N763" s="88" t="n">
        <f aca="false">($H760*(N718+N711))*(IF($H761=1,N$185,IF($H761=2,N$188,IF($H761=3,N$191,0))))</f>
        <v>-0</v>
      </c>
      <c r="O763" s="88" t="n">
        <f aca="false">($H760*(O718+O711))*(IF($H761=1,O$185,IF($H761=2,O$188,IF($H761=3,O$191,0))))</f>
        <v>-0</v>
      </c>
      <c r="P763" s="88" t="n">
        <f aca="false">($H760*(P718+P711))*(IF($H761=1,P$185,IF($H761=2,P$188,IF($H761=3,P$191,0))))</f>
        <v>-0</v>
      </c>
      <c r="Q763" s="88" t="n">
        <f aca="false">($H760*(Q718+Q711))*(IF($H761=1,Q$185,IF($H761=2,Q$188,IF($H761=3,Q$191,0))))</f>
        <v>-0</v>
      </c>
      <c r="R763" s="88" t="n">
        <f aca="false">($H760*(R718+R711))*(IF($H761=1,R$185,IF($H761=2,R$188,IF($H761=3,R$191,0))))</f>
        <v>-0</v>
      </c>
      <c r="S763" s="88" t="n">
        <f aca="false">($H760*(S718+S711))*(IF($H761=1,S$185,IF($H761=2,S$188,IF($H761=3,S$191,0))))</f>
        <v>-0</v>
      </c>
      <c r="T763" s="88" t="n">
        <f aca="false">($H760*(T718+T711))*(IF($H761=1,T$185,IF($H761=2,T$188,IF($H761=3,T$191,0))))</f>
        <v>-0</v>
      </c>
      <c r="U763" s="88" t="n">
        <f aca="false">($H760*(U718+U711))*(IF($H761=1,U$185,IF($H761=2,U$188,IF($H761=3,U$191,0))))</f>
        <v>-0</v>
      </c>
      <c r="V763" s="88" t="n">
        <f aca="false">($H760*(V718+V711))*(IF($H761=1,V$185,IF($H761=2,V$188,IF($H761=3,V$191,0))))</f>
        <v>-0</v>
      </c>
      <c r="W763" s="88" t="n">
        <f aca="false">($H760*(W718+W711))*(IF($H761=1,W$185,IF($H761=2,W$188,IF($H761=3,W$191,0))))</f>
        <v>-0</v>
      </c>
      <c r="X763" s="88" t="n">
        <f aca="false">($H760*(X718+X711))*(IF($H761=1,X$185,IF($H761=2,X$188,IF($H761=3,X$191,0))))</f>
        <v>-0</v>
      </c>
      <c r="Y763" s="88" t="n">
        <f aca="false">($H760*(Y718+Y711))*(IF($H761=1,Y$185,IF($H761=2,Y$188,IF($H761=3,Y$191,0))))</f>
        <v>-0</v>
      </c>
      <c r="Z763" s="88" t="n">
        <f aca="false">($H760*(Z718+Z711))*(IF($H761=1,Z$185,IF($H761=2,Z$188,IF($H761=3,Z$191,0))))</f>
        <v>-0</v>
      </c>
      <c r="AA763" s="88" t="n">
        <f aca="false">($H760*(AA718+AA711))*(IF($H761=1,AA$185,IF($H761=2,AA$188,IF($H761=3,AA$191,0))))</f>
        <v>-0</v>
      </c>
      <c r="AB763" s="88" t="n">
        <f aca="false">($H760*(AB718+AB711))*(IF($H761=1,AB$185,IF($H761=2,AB$188,IF($H761=3,AB$191,0))))</f>
        <v>-0</v>
      </c>
      <c r="AC763" s="88" t="n">
        <f aca="false">($H760*(AC718+AC711))*(IF($H761=1,AC$185,IF($H761=2,AC$188,IF($H761=3,AC$191,0))))</f>
        <v>-0</v>
      </c>
    </row>
    <row r="764" customFormat="false" ht="11.25" hidden="false" customHeight="false" outlineLevel="0" collapsed="false">
      <c r="A764" s="138"/>
      <c r="B764" s="138"/>
      <c r="I764" s="141" t="n">
        <v>0</v>
      </c>
      <c r="J764" s="141" t="n">
        <v>0</v>
      </c>
      <c r="K764" s="141" t="n">
        <v>0</v>
      </c>
      <c r="L764" s="141" t="n">
        <v>0</v>
      </c>
      <c r="M764" s="141" t="n">
        <v>0</v>
      </c>
      <c r="N764" s="141" t="n">
        <v>0</v>
      </c>
      <c r="O764" s="141" t="n">
        <v>0</v>
      </c>
      <c r="P764" s="141" t="n">
        <v>0</v>
      </c>
      <c r="Q764" s="141" t="n">
        <v>0</v>
      </c>
      <c r="R764" s="141" t="n">
        <v>0</v>
      </c>
      <c r="S764" s="141" t="n">
        <v>0</v>
      </c>
      <c r="T764" s="141" t="n">
        <v>0</v>
      </c>
      <c r="U764" s="141" t="n">
        <v>0</v>
      </c>
      <c r="V764" s="141" t="n">
        <v>0</v>
      </c>
      <c r="W764" s="141" t="n">
        <v>0</v>
      </c>
      <c r="X764" s="141" t="n">
        <v>0</v>
      </c>
      <c r="Y764" s="141" t="n">
        <v>0</v>
      </c>
      <c r="Z764" s="141" t="n">
        <v>0</v>
      </c>
      <c r="AA764" s="141" t="n">
        <v>0</v>
      </c>
      <c r="AB764" s="141" t="n">
        <v>0</v>
      </c>
      <c r="AC764" s="141" t="n">
        <v>0</v>
      </c>
    </row>
    <row r="765" customFormat="false" ht="11.25" hidden="false" customHeight="false" outlineLevel="0" collapsed="false">
      <c r="A765" s="138" t="s">
        <v>230</v>
      </c>
      <c r="B765" s="138"/>
      <c r="E765" s="141" t="n">
        <v>0</v>
      </c>
      <c r="F765" s="141" t="n">
        <v>0</v>
      </c>
      <c r="G765" s="141" t="n">
        <v>0</v>
      </c>
      <c r="H765" s="141" t="n">
        <v>0</v>
      </c>
      <c r="I765" s="45" t="n">
        <f aca="false">I764</f>
        <v>0</v>
      </c>
      <c r="J765" s="45" t="n">
        <f aca="false">J764</f>
        <v>0</v>
      </c>
      <c r="K765" s="45" t="n">
        <f aca="false">K764</f>
        <v>0</v>
      </c>
      <c r="L765" s="45" t="n">
        <f aca="false">L764</f>
        <v>0</v>
      </c>
      <c r="M765" s="45" t="n">
        <f aca="false">M764</f>
        <v>0</v>
      </c>
      <c r="N765" s="45" t="n">
        <f aca="false">N764</f>
        <v>0</v>
      </c>
      <c r="O765" s="45" t="n">
        <f aca="false">O764</f>
        <v>0</v>
      </c>
      <c r="P765" s="45" t="n">
        <f aca="false">P764</f>
        <v>0</v>
      </c>
      <c r="Q765" s="45" t="n">
        <f aca="false">Q764</f>
        <v>0</v>
      </c>
      <c r="R765" s="45" t="n">
        <f aca="false">R764</f>
        <v>0</v>
      </c>
      <c r="S765" s="45" t="n">
        <f aca="false">S764</f>
        <v>0</v>
      </c>
      <c r="T765" s="45" t="n">
        <f aca="false">T764</f>
        <v>0</v>
      </c>
      <c r="U765" s="45" t="n">
        <f aca="false">U764</f>
        <v>0</v>
      </c>
      <c r="V765" s="45" t="n">
        <f aca="false">V764</f>
        <v>0</v>
      </c>
      <c r="W765" s="45" t="n">
        <f aca="false">W764</f>
        <v>0</v>
      </c>
      <c r="X765" s="45" t="n">
        <f aca="false">X764</f>
        <v>0</v>
      </c>
      <c r="Y765" s="45" t="n">
        <f aca="false">Y764</f>
        <v>0</v>
      </c>
      <c r="Z765" s="45" t="n">
        <f aca="false">Z764</f>
        <v>0</v>
      </c>
      <c r="AA765" s="45" t="n">
        <f aca="false">AA764</f>
        <v>0</v>
      </c>
      <c r="AB765" s="45" t="n">
        <f aca="false">AB764</f>
        <v>0</v>
      </c>
      <c r="AC765" s="45" t="n">
        <f aca="false">AC764</f>
        <v>0</v>
      </c>
    </row>
    <row r="766" customFormat="false" ht="11.25" hidden="false" customHeight="false" outlineLevel="0" collapsed="false">
      <c r="A766" s="43" t="s">
        <v>231</v>
      </c>
      <c r="C766" s="35"/>
      <c r="D766" s="35"/>
      <c r="E766" s="158" t="n">
        <f aca="false">+E763+E755+E765</f>
        <v>0</v>
      </c>
      <c r="F766" s="158" t="n">
        <f aca="false">+F763+F755+F765</f>
        <v>0</v>
      </c>
      <c r="G766" s="158" t="n">
        <f aca="false">+G763+G755+G765</f>
        <v>0</v>
      </c>
      <c r="H766" s="158" t="n">
        <f aca="false">+H763+H755+H765</f>
        <v>0</v>
      </c>
      <c r="I766" s="158" t="n">
        <f aca="false">+I763+I755+I765</f>
        <v>0</v>
      </c>
      <c r="J766" s="158" t="n">
        <f aca="false">+J763+J755+J765</f>
        <v>0</v>
      </c>
      <c r="K766" s="158" t="n">
        <f aca="false">+K763+K755+K765</f>
        <v>0</v>
      </c>
      <c r="L766" s="158" t="n">
        <f aca="false">+L763+L755+L765</f>
        <v>0</v>
      </c>
      <c r="M766" s="158" t="n">
        <f aca="false">+M763+M755+M765</f>
        <v>0</v>
      </c>
      <c r="N766" s="158" t="n">
        <f aca="false">+N763+N755+N765</f>
        <v>0</v>
      </c>
      <c r="O766" s="158" t="n">
        <f aca="false">+O763+O755+O765</f>
        <v>0</v>
      </c>
      <c r="P766" s="158" t="n">
        <f aca="false">+P763+P755+P765</f>
        <v>0</v>
      </c>
      <c r="Q766" s="158" t="n">
        <f aca="false">+Q763+Q755+Q765</f>
        <v>0</v>
      </c>
      <c r="R766" s="158" t="n">
        <f aca="false">+R763+R755+R765</f>
        <v>0</v>
      </c>
      <c r="S766" s="158" t="n">
        <f aca="false">+S763+S755+S765</f>
        <v>0</v>
      </c>
      <c r="T766" s="158" t="n">
        <f aca="false">+T763+T755+T765</f>
        <v>0</v>
      </c>
      <c r="U766" s="158" t="n">
        <f aca="false">+U763+U755+U765</f>
        <v>0</v>
      </c>
      <c r="V766" s="158" t="n">
        <f aca="false">+V763+V755+V765</f>
        <v>0</v>
      </c>
      <c r="W766" s="158" t="n">
        <f aca="false">+W763+W755+W765</f>
        <v>0</v>
      </c>
      <c r="X766" s="158" t="n">
        <f aca="false">+X763+X755+X765</f>
        <v>0</v>
      </c>
      <c r="Y766" s="158" t="n">
        <f aca="false">+Y763+Y755+Y765</f>
        <v>0</v>
      </c>
      <c r="Z766" s="158" t="n">
        <f aca="false">+Z763+Z755+Z765</f>
        <v>0</v>
      </c>
      <c r="AA766" s="158" t="n">
        <f aca="false">+AA763+AA755+AA765</f>
        <v>0</v>
      </c>
      <c r="AB766" s="158" t="n">
        <f aca="false">+AB763+AB755+AB765</f>
        <v>0</v>
      </c>
      <c r="AC766" s="158" t="n">
        <f aca="false">+AC763+AC755+AC765</f>
        <v>0</v>
      </c>
    </row>
    <row r="767" customFormat="false" ht="11.25" hidden="false" customHeight="false" outlineLevel="0" collapsed="false">
      <c r="A767" s="43"/>
      <c r="C767" s="35"/>
      <c r="D767" s="35"/>
      <c r="E767" s="35"/>
      <c r="F767" s="35"/>
      <c r="G767" s="35"/>
      <c r="H767" s="35"/>
      <c r="I767" s="35"/>
      <c r="J767" s="35"/>
      <c r="K767" s="35"/>
      <c r="L767" s="35"/>
      <c r="M767" s="35"/>
      <c r="N767" s="35"/>
      <c r="O767" s="35"/>
      <c r="P767" s="35"/>
      <c r="Q767" s="35"/>
      <c r="R767" s="35"/>
      <c r="S767" s="35"/>
      <c r="T767" s="35"/>
      <c r="U767" s="35"/>
      <c r="V767" s="35"/>
      <c r="W767" s="35"/>
      <c r="X767" s="35"/>
      <c r="Y767" s="35"/>
      <c r="Z767" s="35"/>
      <c r="AA767" s="35"/>
      <c r="AB767" s="35"/>
      <c r="AC767" s="35"/>
    </row>
    <row r="768" customFormat="false" ht="12" hidden="false" customHeight="false" outlineLevel="0" collapsed="false">
      <c r="A768" s="35"/>
      <c r="C768" s="35"/>
      <c r="D768" s="35"/>
      <c r="E768" s="35"/>
      <c r="F768" s="35"/>
      <c r="G768" s="35"/>
      <c r="H768" s="35"/>
      <c r="I768" s="35"/>
      <c r="J768" s="35"/>
      <c r="K768" s="35"/>
      <c r="L768" s="35"/>
      <c r="M768" s="35"/>
      <c r="N768" s="35"/>
      <c r="O768" s="35"/>
      <c r="P768" s="35"/>
      <c r="Q768" s="35"/>
      <c r="R768" s="35"/>
      <c r="S768" s="35"/>
      <c r="T768" s="35"/>
      <c r="U768" s="35"/>
      <c r="V768" s="35"/>
      <c r="W768" s="35"/>
      <c r="X768" s="35"/>
      <c r="Y768" s="35"/>
      <c r="Z768" s="35"/>
      <c r="AA768" s="35"/>
      <c r="AB768" s="35"/>
      <c r="AC768" s="35"/>
    </row>
    <row r="769" customFormat="false" ht="12.75" hidden="false" customHeight="false" outlineLevel="0" collapsed="false">
      <c r="A769" s="79"/>
      <c r="B769" s="79"/>
      <c r="C769" s="79"/>
      <c r="D769" s="79"/>
      <c r="E769" s="79"/>
      <c r="F769" s="79"/>
      <c r="G769" s="79"/>
      <c r="H769" s="79"/>
      <c r="I769" s="79"/>
      <c r="J769" s="79"/>
      <c r="K769" s="79"/>
      <c r="L769" s="79"/>
      <c r="M769" s="79"/>
      <c r="N769" s="79"/>
      <c r="O769" s="79"/>
      <c r="P769" s="79"/>
      <c r="Q769" s="79"/>
      <c r="R769" s="79"/>
      <c r="S769" s="79"/>
      <c r="T769" s="79"/>
      <c r="U769" s="79"/>
      <c r="V769" s="79"/>
      <c r="W769" s="79"/>
      <c r="X769" s="79"/>
      <c r="Y769" s="79"/>
      <c r="Z769" s="79"/>
      <c r="AA769" s="79"/>
      <c r="AB769" s="79"/>
      <c r="AC769" s="79"/>
    </row>
    <row r="770" customFormat="false" ht="12.75" hidden="false" customHeight="false" outlineLevel="0" collapsed="false">
      <c r="A770" s="4" t="s">
        <v>569</v>
      </c>
      <c r="I770" s="81" t="str">
        <f aca="false">+I$3</f>
        <v>6 M/1999 </v>
      </c>
      <c r="J770" s="81" t="n">
        <f aca="false">+J$3</f>
        <v>2000</v>
      </c>
      <c r="K770" s="81" t="n">
        <f aca="false">+K$3</f>
        <v>2001</v>
      </c>
      <c r="L770" s="81" t="n">
        <f aca="false">+L$3</f>
        <v>2002</v>
      </c>
      <c r="M770" s="81" t="n">
        <f aca="false">+M$3</f>
        <v>2003</v>
      </c>
      <c r="N770" s="81" t="n">
        <f aca="false">+N$3</f>
        <v>2004</v>
      </c>
      <c r="O770" s="81" t="n">
        <f aca="false">+O$3</f>
        <v>2005</v>
      </c>
      <c r="P770" s="81" t="n">
        <f aca="false">+P$3</f>
        <v>2006</v>
      </c>
      <c r="Q770" s="81" t="n">
        <f aca="false">+Q$3</f>
        <v>2007</v>
      </c>
      <c r="R770" s="81" t="n">
        <f aca="false">+R$3</f>
        <v>2008</v>
      </c>
      <c r="S770" s="81" t="n">
        <f aca="false">+S$3</f>
        <v>2009</v>
      </c>
      <c r="T770" s="81" t="n">
        <f aca="false">+T$3</f>
        <v>2010</v>
      </c>
      <c r="U770" s="81" t="n">
        <f aca="false">+U$3</f>
        <v>2011</v>
      </c>
      <c r="V770" s="81" t="n">
        <f aca="false">+V$3</f>
        <v>2012</v>
      </c>
      <c r="W770" s="81" t="n">
        <f aca="false">+W$3</f>
        <v>2013</v>
      </c>
      <c r="X770" s="81" t="n">
        <f aca="false">+X$3</f>
        <v>2014</v>
      </c>
      <c r="Y770" s="81" t="n">
        <f aca="false">+Y$3</f>
        <v>2015</v>
      </c>
      <c r="Z770" s="81" t="n">
        <f aca="false">+Z$3</f>
        <v>2016</v>
      </c>
      <c r="AA770" s="81" t="n">
        <f aca="false">+AA$3</f>
        <v>2017</v>
      </c>
      <c r="AB770" s="81" t="n">
        <f aca="false">+AB$3</f>
        <v>2018</v>
      </c>
      <c r="AC770" s="81" t="n">
        <f aca="false">+AC$3</f>
        <v>2019</v>
      </c>
    </row>
    <row r="771" customFormat="false" ht="12" hidden="false" customHeight="false" outlineLevel="0" collapsed="false"/>
    <row r="772" customFormat="false" ht="11.25" hidden="false" customHeight="false" outlineLevel="0" collapsed="false">
      <c r="A772" s="168" t="s">
        <v>570</v>
      </c>
      <c r="B772" s="67" t="s">
        <v>174</v>
      </c>
      <c r="C772" s="67" t="str">
        <f aca="false">"("&amp;IF(H714="Bbtu/Mbbl","Mbbl",IF(H714="Tbtu/Mbbl","Mbbl","MMbbl"))&amp;")"</f>
        <v>(MMbbl)</v>
      </c>
      <c r="H772" s="80"/>
      <c r="I772" s="306" t="n">
        <f aca="false">+H666+I666</f>
        <v>67.4896922589234</v>
      </c>
      <c r="J772" s="151" t="n">
        <f aca="false">+J666</f>
        <v>137.946384517847</v>
      </c>
      <c r="K772" s="151" t="n">
        <f aca="false">+K666</f>
        <v>107.090385466751</v>
      </c>
      <c r="L772" s="151" t="n">
        <f aca="false">+L666</f>
        <v>87.7089409730863</v>
      </c>
      <c r="M772" s="151" t="n">
        <f aca="false">+M666</f>
        <v>77.5051167407896</v>
      </c>
      <c r="N772" s="151" t="n">
        <f aca="false">+N666</f>
        <v>57.3880267216036</v>
      </c>
      <c r="O772" s="151" t="n">
        <f aca="false">+O666</f>
        <v>43.8994257149656</v>
      </c>
      <c r="P772" s="151" t="n">
        <f aca="false">+P666</f>
        <v>32.0465511076497</v>
      </c>
      <c r="Q772" s="151" t="n">
        <f aca="false">+Q666</f>
        <v>25.2906001280114</v>
      </c>
      <c r="R772" s="151" t="n">
        <f aca="false">+R666</f>
        <v>19.963786664475</v>
      </c>
      <c r="S772" s="151" t="n">
        <f aca="false">+S666</f>
        <v>15.7633603804288</v>
      </c>
      <c r="T772" s="151" t="n">
        <f aca="false">+T666</f>
        <v>12.4503159375911</v>
      </c>
      <c r="U772" s="151" t="n">
        <f aca="false">+U666</f>
        <v>9.83679158937017</v>
      </c>
      <c r="V772" s="151" t="n">
        <f aca="false">+V666</f>
        <v>7.77436993545152</v>
      </c>
      <c r="W772" s="151" t="n">
        <f aca="false">+W666</f>
        <v>6.14566159726387</v>
      </c>
      <c r="X772" s="151" t="n">
        <f aca="false">+X666</f>
        <v>4.86068470261298</v>
      </c>
      <c r="Y772" s="151" t="n">
        <f aca="false">+Y666</f>
        <v>3.84565700383994</v>
      </c>
      <c r="Z772" s="151" t="n">
        <f aca="false">+Z666</f>
        <v>2.78989921286732</v>
      </c>
      <c r="AA772" s="151" t="n">
        <f aca="false">+AA666</f>
        <v>2.19461245040908</v>
      </c>
      <c r="AB772" s="151" t="n">
        <f aca="false">+AB666</f>
        <v>1.72634329773532</v>
      </c>
      <c r="AC772" s="151" t="n">
        <f aca="false">+AC666</f>
        <v>1.35798973576412</v>
      </c>
    </row>
    <row r="773" customFormat="false" ht="11.25" hidden="false" customHeight="false" outlineLevel="0" collapsed="false">
      <c r="A773" s="307" t="s">
        <v>571</v>
      </c>
      <c r="B773" s="67" t="s">
        <v>572</v>
      </c>
      <c r="C773" s="35"/>
      <c r="D773" s="35"/>
      <c r="E773" s="35"/>
      <c r="F773" s="35"/>
      <c r="G773" s="35"/>
      <c r="H773" s="149"/>
      <c r="I773" s="308" t="n">
        <f aca="false">H665*CFMODEL!$C$325+I665*CFMODEL!$C$328</f>
        <v>-1.1875</v>
      </c>
      <c r="J773" s="112" t="n">
        <f aca="false">+J665</f>
        <v>-2.375</v>
      </c>
      <c r="K773" s="112" t="n">
        <f aca="false">+K665</f>
        <v>-2.375</v>
      </c>
      <c r="L773" s="112" t="n">
        <f aca="false">+L665</f>
        <v>-2.375</v>
      </c>
      <c r="M773" s="112" t="n">
        <f aca="false">+M665</f>
        <v>-2.375</v>
      </c>
      <c r="N773" s="112" t="n">
        <f aca="false">+N665</f>
        <v>-2.375</v>
      </c>
      <c r="O773" s="112" t="n">
        <f aca="false">+O665</f>
        <v>-2.375</v>
      </c>
      <c r="P773" s="112" t="n">
        <f aca="false">+P665</f>
        <v>-2.375</v>
      </c>
      <c r="Q773" s="112" t="n">
        <f aca="false">+Q665</f>
        <v>-2.375</v>
      </c>
      <c r="R773" s="112" t="n">
        <f aca="false">+R665</f>
        <v>-2.375</v>
      </c>
      <c r="S773" s="112" t="n">
        <f aca="false">+S665</f>
        <v>-2.375</v>
      </c>
      <c r="T773" s="112" t="n">
        <f aca="false">+T665</f>
        <v>-2.375</v>
      </c>
      <c r="U773" s="112" t="n">
        <f aca="false">+U665</f>
        <v>-2.375</v>
      </c>
      <c r="V773" s="112" t="n">
        <f aca="false">+V665</f>
        <v>-2.375</v>
      </c>
      <c r="W773" s="112" t="n">
        <f aca="false">+W665</f>
        <v>-2.375</v>
      </c>
      <c r="X773" s="112" t="n">
        <f aca="false">+X665</f>
        <v>-2.375</v>
      </c>
      <c r="Y773" s="112" t="n">
        <f aca="false">+Y665</f>
        <v>-2.375</v>
      </c>
      <c r="Z773" s="112" t="n">
        <f aca="false">+Z665</f>
        <v>-2.375</v>
      </c>
      <c r="AA773" s="112" t="n">
        <f aca="false">+AA665</f>
        <v>-2.375</v>
      </c>
      <c r="AB773" s="112" t="n">
        <f aca="false">+AB665</f>
        <v>-2.375</v>
      </c>
      <c r="AC773" s="112" t="n">
        <f aca="false">+AC665</f>
        <v>-2.375</v>
      </c>
    </row>
    <row r="774" customFormat="false" ht="11.25" hidden="false" customHeight="false" outlineLevel="0" collapsed="false">
      <c r="A774" s="43"/>
      <c r="B774" s="67" t="s">
        <v>181</v>
      </c>
      <c r="C774" s="67" t="str">
        <f aca="false">"("&amp;IF(H714="Bbtu/Mbbl","Bbtu",IF(H714="Tbtu/Mbbl","Tbtu","Mmbtul"))&amp;")"</f>
        <v>(Mmbtul)</v>
      </c>
      <c r="D774" s="35"/>
      <c r="E774" s="35"/>
      <c r="F774" s="35"/>
      <c r="G774" s="35"/>
      <c r="H774" s="149"/>
      <c r="I774" s="306" t="n">
        <f aca="false">+H681+I681</f>
        <v>948.238791088988</v>
      </c>
      <c r="J774" s="151" t="n">
        <f aca="false">+J681</f>
        <v>2226.45558217798</v>
      </c>
      <c r="K774" s="151" t="n">
        <f aca="false">+K681</f>
        <v>2216.31956436503</v>
      </c>
      <c r="L774" s="151" t="n">
        <f aca="false">+L681</f>
        <v>2184.28609091893</v>
      </c>
      <c r="M774" s="151" t="n">
        <f aca="false">+M681</f>
        <v>2077.28503281301</v>
      </c>
      <c r="N774" s="151" t="n">
        <f aca="false">+N681</f>
        <v>1992.30403220781</v>
      </c>
      <c r="O774" s="151" t="n">
        <f aca="false">+O681</f>
        <v>1783.11775132223</v>
      </c>
      <c r="P774" s="151" t="n">
        <f aca="false">+P681</f>
        <v>1567.66673725739</v>
      </c>
      <c r="Q774" s="151" t="n">
        <f aca="false">+Q681</f>
        <v>1374.63900617932</v>
      </c>
      <c r="R774" s="151" t="n">
        <f aca="false">+R681</f>
        <v>1182.74371444746</v>
      </c>
      <c r="S774" s="151" t="n">
        <f aca="false">+S681</f>
        <v>1008.9935116577</v>
      </c>
      <c r="T774" s="151" t="n">
        <f aca="false">+T681</f>
        <v>852.431366278727</v>
      </c>
      <c r="U774" s="151" t="n">
        <f aca="false">+U681</f>
        <v>718.16882300886</v>
      </c>
      <c r="V774" s="151" t="n">
        <f aca="false">+V681</f>
        <v>591.48079596606</v>
      </c>
      <c r="W774" s="151" t="n">
        <f aca="false">+W681</f>
        <v>486.442126613766</v>
      </c>
      <c r="X774" s="151" t="n">
        <f aca="false">+X681</f>
        <v>395.36224273279</v>
      </c>
      <c r="Y774" s="151" t="n">
        <f aca="false">+Y681</f>
        <v>311.491347196314</v>
      </c>
      <c r="Z774" s="151" t="n">
        <f aca="false">+Z681</f>
        <v>229.033644874538</v>
      </c>
      <c r="AA774" s="151" t="n">
        <f aca="false">+AA681</f>
        <v>174.771184481782</v>
      </c>
      <c r="AB774" s="151" t="n">
        <f aca="false">+AB681</f>
        <v>134.217951125396</v>
      </c>
      <c r="AC774" s="151" t="n">
        <f aca="false">+AC681</f>
        <v>111.348896051676</v>
      </c>
    </row>
    <row r="775" customFormat="false" ht="11.25" hidden="false" customHeight="false" outlineLevel="0" collapsed="false">
      <c r="A775" s="43"/>
      <c r="B775" s="67" t="s">
        <v>573</v>
      </c>
      <c r="C775" s="35"/>
      <c r="D775" s="35"/>
      <c r="E775" s="35"/>
      <c r="F775" s="35"/>
      <c r="G775" s="35"/>
      <c r="H775" s="149"/>
      <c r="I775" s="308" t="n">
        <f aca="false">H680*CFMODEL!$C$325+I680*CFMODEL!$C$328</f>
        <v>-0.1875</v>
      </c>
      <c r="J775" s="112" t="n">
        <f aca="false">+J680</f>
        <v>-0.375</v>
      </c>
      <c r="K775" s="112" t="n">
        <f aca="false">+K680</f>
        <v>-0.375</v>
      </c>
      <c r="L775" s="112" t="n">
        <f aca="false">+L680</f>
        <v>-0.375</v>
      </c>
      <c r="M775" s="112" t="n">
        <f aca="false">+M680</f>
        <v>-0.375</v>
      </c>
      <c r="N775" s="112" t="n">
        <f aca="false">+N680</f>
        <v>-0.375</v>
      </c>
      <c r="O775" s="112" t="n">
        <f aca="false">+O680</f>
        <v>-0.375</v>
      </c>
      <c r="P775" s="112" t="n">
        <f aca="false">+P680</f>
        <v>-0.375</v>
      </c>
      <c r="Q775" s="112" t="n">
        <f aca="false">+Q680</f>
        <v>-0.375</v>
      </c>
      <c r="R775" s="112" t="n">
        <f aca="false">+R680</f>
        <v>-0.375</v>
      </c>
      <c r="S775" s="112" t="n">
        <f aca="false">+S680</f>
        <v>-0.375</v>
      </c>
      <c r="T775" s="112" t="n">
        <f aca="false">+T680</f>
        <v>-0.375</v>
      </c>
      <c r="U775" s="112" t="n">
        <f aca="false">+U680</f>
        <v>-0.375</v>
      </c>
      <c r="V775" s="112" t="n">
        <f aca="false">+V680</f>
        <v>-0.375</v>
      </c>
      <c r="W775" s="112" t="n">
        <f aca="false">+W680</f>
        <v>-0.375</v>
      </c>
      <c r="X775" s="112" t="n">
        <f aca="false">+X680</f>
        <v>-0.375</v>
      </c>
      <c r="Y775" s="112" t="n">
        <f aca="false">+Y680</f>
        <v>-0.375</v>
      </c>
      <c r="Z775" s="112" t="n">
        <f aca="false">+Z680</f>
        <v>-0.375</v>
      </c>
      <c r="AA775" s="112" t="n">
        <f aca="false">+AA680</f>
        <v>-0.375</v>
      </c>
      <c r="AB775" s="112" t="n">
        <f aca="false">+AB680</f>
        <v>-0.375</v>
      </c>
      <c r="AC775" s="112" t="n">
        <f aca="false">+AC680</f>
        <v>-0.375</v>
      </c>
    </row>
    <row r="776" customFormat="false" ht="12" hidden="false" customHeight="false" outlineLevel="0" collapsed="false"/>
    <row r="777" customFormat="false" ht="12" hidden="false" customHeight="false" outlineLevel="0" collapsed="false">
      <c r="A777" s="79"/>
      <c r="B777" s="79"/>
      <c r="C777" s="79"/>
      <c r="D777" s="79"/>
      <c r="E777" s="79"/>
      <c r="F777" s="79"/>
      <c r="G777" s="79"/>
      <c r="H777" s="79"/>
      <c r="I777" s="79"/>
      <c r="J777" s="79"/>
      <c r="K777" s="79"/>
      <c r="L777" s="79"/>
      <c r="M777" s="79"/>
      <c r="N777" s="79"/>
      <c r="O777" s="79"/>
      <c r="P777" s="79"/>
      <c r="Q777" s="79"/>
      <c r="R777" s="79"/>
      <c r="S777" s="79"/>
      <c r="T777" s="79"/>
      <c r="U777" s="79"/>
      <c r="V777" s="79"/>
      <c r="W777" s="79"/>
      <c r="X777" s="79"/>
      <c r="Y777" s="79"/>
      <c r="Z777" s="79"/>
      <c r="AA777" s="79"/>
      <c r="AB777" s="79"/>
      <c r="AC777" s="79"/>
    </row>
    <row r="778" customFormat="false" ht="11.25" hidden="false" customHeight="false" outlineLevel="0" collapsed="false">
      <c r="A778" s="4" t="s">
        <v>574</v>
      </c>
    </row>
    <row r="779" customFormat="false" ht="11.25" hidden="false" customHeight="false" outlineLevel="0" collapsed="false">
      <c r="C779" s="309" t="s">
        <v>575</v>
      </c>
      <c r="I779" s="50" t="n">
        <f aca="false">I304+I374+I447+I517+I587-I20</f>
        <v>-478.405829722169</v>
      </c>
      <c r="J779" s="50" t="n">
        <f aca="false">J304+J374+J447+J517+J587-J20</f>
        <v>-1099.18750394434</v>
      </c>
      <c r="K779" s="50" t="n">
        <f aca="false">K304+K374+K447+K517+K587-K20</f>
        <v>-1029.19522792534</v>
      </c>
      <c r="L779" s="50" t="n">
        <f aca="false">L304+L374+L447+L517+L587-L20</f>
        <v>-976.491745166355</v>
      </c>
      <c r="M779" s="50" t="n">
        <f aca="false">M304+M374+M447+M517+M587-M20</f>
        <v>-918.053337924344</v>
      </c>
      <c r="N779" s="50" t="n">
        <f aca="false">N304+N374+N447+N517+N587-N20</f>
        <v>-845.734802591896</v>
      </c>
      <c r="O779" s="50" t="n">
        <f aca="false">O304+O374+O447+O517+O587-O20</f>
        <v>-771.229705879542</v>
      </c>
      <c r="P779" s="50" t="n">
        <f aca="false">P304+P374+P447+P517+P587-P20</f>
        <v>-652.008911499788</v>
      </c>
      <c r="Q779" s="50" t="n">
        <f aca="false">Q304+Q374+Q447+Q517+Q587-Q20</f>
        <v>-594.643760780117</v>
      </c>
      <c r="R779" s="50" t="n">
        <f aca="false">R304+R374+R447+R517+R587-R20</f>
        <v>-504.071140711299</v>
      </c>
      <c r="S779" s="50" t="n">
        <f aca="false">S304+S374+S447+S517+S587-S20</f>
        <v>-417.43197737984</v>
      </c>
      <c r="T779" s="50" t="n">
        <f aca="false">T304+T374+T447+T517+T587-T20</f>
        <v>-356.977986537322</v>
      </c>
      <c r="U779" s="50" t="n">
        <f aca="false">U304+U374+U447+U517+U587-U20</f>
        <v>-305.625525296994</v>
      </c>
      <c r="V779" s="50" t="n">
        <f aca="false">V304+V374+V447+V517+V587-V20</f>
        <v>-258.040639792245</v>
      </c>
      <c r="W779" s="50" t="n">
        <f aca="false">W304+W374+W447+W517+W587-W20</f>
        <v>-198.443663346487</v>
      </c>
      <c r="X779" s="50" t="n">
        <f aca="false">X304+X374+X447+X517+X587-X20</f>
        <v>-164.6599102117</v>
      </c>
      <c r="Y779" s="50" t="n">
        <f aca="false">Y304+Y374+Y447+Y517+Y587-Y20</f>
        <v>-119.215963049126</v>
      </c>
      <c r="Z779" s="50" t="n">
        <f aca="false">Z304+Z374+Z447+Z517+Z587-Z20</f>
        <v>-84.0023737323285</v>
      </c>
      <c r="AA779" s="50" t="n">
        <f aca="false">AA304+AA374+AA447+AA517+AA587-AA20</f>
        <v>-64.242270065354</v>
      </c>
      <c r="AB779" s="50" t="n">
        <f aca="false">AB304+AB374+AB447+AB517+AB587-AB20</f>
        <v>-49.4240716797637</v>
      </c>
      <c r="AC779" s="50" t="n">
        <f aca="false">AC304+AC374+AC447+AC517+AC587-AC20</f>
        <v>-40.8428039707709</v>
      </c>
      <c r="AD779" s="50" t="n">
        <f aca="false">AD304+AD374+AD447+AD517+AD587-AD20</f>
        <v>0</v>
      </c>
      <c r="AE779" s="50" t="n">
        <v>0</v>
      </c>
      <c r="AF779" s="50" t="n">
        <f aca="false">AF304+AF374+AF447+AF517+AF587-AF20</f>
        <v>0</v>
      </c>
      <c r="AG779" s="50" t="n">
        <f aca="false">AG304+AG374+AG447+AG517+AG587-AG20</f>
        <v>0</v>
      </c>
      <c r="AH779" s="50" t="n">
        <f aca="false">AH304+AH374+AH447+AH517+AH587-AH20</f>
        <v>0</v>
      </c>
      <c r="AI779" s="50" t="n">
        <f aca="false">AI304+AI374+AI447+AI517+AI587-AI20</f>
        <v>0</v>
      </c>
      <c r="AJ779" s="50" t="n">
        <f aca="false">AJ304+AJ374+AJ447+AJ517+AJ587-AJ20</f>
        <v>0</v>
      </c>
      <c r="AK779" s="50" t="n">
        <f aca="false">AK304+AK374+AK447+AK517+AK587-AK20</f>
        <v>0</v>
      </c>
      <c r="AL779" s="50" t="n">
        <f aca="false">AL304+AL374+AL447+AL517+AL587-AL20</f>
        <v>0</v>
      </c>
      <c r="AM779" s="50" t="n">
        <f aca="false">AM304+AM374+AM447+AM517+AM587-AM20</f>
        <v>0</v>
      </c>
      <c r="AN779" s="50" t="n">
        <f aca="false">AN304+AN374+AN447+AN517+AN587-AN20</f>
        <v>0</v>
      </c>
      <c r="AO779" s="50" t="n">
        <f aca="false">AO304+AO374+AO447+AO517+AO587-AO20</f>
        <v>0</v>
      </c>
      <c r="AP779" s="50" t="n">
        <f aca="false">AP304+AP374+AP447+AP517+AP587-AP20</f>
        <v>0</v>
      </c>
      <c r="AQ779" s="50" t="n">
        <f aca="false">AQ304+AQ374+AQ447+AQ517+AQ587-AQ20</f>
        <v>0</v>
      </c>
      <c r="AR779" s="50" t="n">
        <v>0</v>
      </c>
    </row>
    <row r="780" customFormat="false" ht="11.25" hidden="false" customHeight="false" outlineLevel="0" collapsed="false">
      <c r="C780" s="67" t="s">
        <v>576</v>
      </c>
      <c r="G780" s="310" t="n">
        <v>0.1</v>
      </c>
    </row>
    <row r="781" customFormat="false" ht="11.25" hidden="false" customHeight="false" outlineLevel="0" collapsed="false">
      <c r="F781" s="67" t="s">
        <v>577</v>
      </c>
      <c r="I781" s="85" t="n">
        <f aca="false">+stub*0.5</f>
        <v>0.25</v>
      </c>
      <c r="J781" s="85" t="n">
        <f aca="false">+stub+0.5</f>
        <v>1</v>
      </c>
      <c r="K781" s="85" t="n">
        <f aca="false">+J781+1</f>
        <v>2</v>
      </c>
      <c r="L781" s="85" t="n">
        <f aca="false">+K781+1</f>
        <v>3</v>
      </c>
      <c r="M781" s="85" t="n">
        <f aca="false">+L781+1</f>
        <v>4</v>
      </c>
      <c r="N781" s="85" t="n">
        <f aca="false">+M781+1</f>
        <v>5</v>
      </c>
      <c r="O781" s="85" t="n">
        <f aca="false">+N781+1</f>
        <v>6</v>
      </c>
      <c r="P781" s="85" t="n">
        <f aca="false">+O781+1</f>
        <v>7</v>
      </c>
      <c r="Q781" s="85" t="n">
        <f aca="false">+P781+1</f>
        <v>8</v>
      </c>
      <c r="R781" s="85" t="n">
        <f aca="false">+Q781+1</f>
        <v>9</v>
      </c>
      <c r="S781" s="85" t="n">
        <f aca="false">+R781+1</f>
        <v>10</v>
      </c>
      <c r="T781" s="85" t="n">
        <f aca="false">+S781+1</f>
        <v>11</v>
      </c>
      <c r="U781" s="85" t="n">
        <f aca="false">+T781+1</f>
        <v>12</v>
      </c>
      <c r="V781" s="85" t="n">
        <f aca="false">+U781+1</f>
        <v>13</v>
      </c>
      <c r="W781" s="85" t="n">
        <f aca="false">+V781+1</f>
        <v>14</v>
      </c>
      <c r="X781" s="85" t="n">
        <f aca="false">+W781+1</f>
        <v>15</v>
      </c>
      <c r="Y781" s="85" t="n">
        <f aca="false">+X781+1</f>
        <v>16</v>
      </c>
      <c r="Z781" s="85" t="n">
        <f aca="false">+Y781+1</f>
        <v>17</v>
      </c>
      <c r="AA781" s="85" t="n">
        <f aca="false">+Z781+1</f>
        <v>18</v>
      </c>
      <c r="AB781" s="85" t="n">
        <f aca="false">+AA781+1</f>
        <v>19</v>
      </c>
      <c r="AC781" s="85" t="n">
        <f aca="false">+AB781+1</f>
        <v>20</v>
      </c>
      <c r="AD781" s="85" t="n">
        <f aca="false">+AC781+1</f>
        <v>21</v>
      </c>
      <c r="AE781" s="85" t="n">
        <f aca="false">+AD781+1</f>
        <v>22</v>
      </c>
      <c r="AF781" s="85" t="n">
        <f aca="false">+AE781+1</f>
        <v>23</v>
      </c>
      <c r="AG781" s="85" t="n">
        <f aca="false">+AF781+1</f>
        <v>24</v>
      </c>
      <c r="AH781" s="85" t="n">
        <f aca="false">+AG781+1</f>
        <v>25</v>
      </c>
      <c r="AI781" s="85" t="n">
        <f aca="false">+AH781+1</f>
        <v>26</v>
      </c>
      <c r="AJ781" s="85" t="n">
        <f aca="false">+AI781+1</f>
        <v>27</v>
      </c>
      <c r="AK781" s="85" t="n">
        <f aca="false">+AJ781+1</f>
        <v>28</v>
      </c>
      <c r="AL781" s="85" t="n">
        <f aca="false">+AK781+1</f>
        <v>29</v>
      </c>
      <c r="AM781" s="85" t="n">
        <f aca="false">+AL781+1</f>
        <v>30</v>
      </c>
      <c r="AN781" s="85" t="n">
        <f aca="false">+AM781+1</f>
        <v>31</v>
      </c>
      <c r="AO781" s="85" t="n">
        <f aca="false">+AN781+1</f>
        <v>32</v>
      </c>
      <c r="AP781" s="85" t="n">
        <f aca="false">+AO781+1</f>
        <v>33</v>
      </c>
      <c r="AQ781" s="85" t="n">
        <f aca="false">+AP781+1</f>
        <v>34</v>
      </c>
    </row>
    <row r="783" customFormat="false" ht="11.25" hidden="false" customHeight="false" outlineLevel="0" collapsed="false">
      <c r="G783" s="311" t="n">
        <f aca="false">+J3-1</f>
        <v>1999</v>
      </c>
      <c r="H783" s="67" t="n">
        <f aca="false">MAX(SUM(I783:AQ783),0)</f>
        <v>0</v>
      </c>
      <c r="I783" s="67" t="n">
        <f aca="false">I779/(1+$G$780)^$I$781</f>
        <v>-467.1413289572</v>
      </c>
      <c r="J783" s="67" t="n">
        <f aca="false">J$779/(1+$G$780)^$J$781</f>
        <v>-999.261367222125</v>
      </c>
      <c r="K783" s="67" t="n">
        <f aca="false">K$779/(1+$G$780)^K$781</f>
        <v>-850.57456853334</v>
      </c>
      <c r="L783" s="67" t="n">
        <f aca="false">L$779/(1+$G$780)^L$781</f>
        <v>-733.652701101694</v>
      </c>
      <c r="M783" s="67" t="n">
        <f aca="false">M$779/(1+$G$780)^M$781</f>
        <v>-627.042782545143</v>
      </c>
      <c r="N783" s="67" t="n">
        <f aca="false">N$779/(1+$G$780)^N$781</f>
        <v>-525.134772582534</v>
      </c>
      <c r="O783" s="67" t="n">
        <f aca="false">O$779/(1+$G$780)^O$781</f>
        <v>-435.339063052044</v>
      </c>
      <c r="P783" s="67" t="n">
        <f aca="false">P$779/(1+$G$780)^P$781</f>
        <v>-334.583666094882</v>
      </c>
      <c r="Q783" s="67" t="n">
        <f aca="false">Q$779/(1+$G$780)^Q$781</f>
        <v>-277.405702999595</v>
      </c>
      <c r="R783" s="67" t="n">
        <f aca="false">R$779/(1+$G$780)^R$781</f>
        <v>-213.775370265964</v>
      </c>
      <c r="S783" s="67" t="n">
        <f aca="false">S$779/(1+$G$780)^S$781</f>
        <v>-160.938097672097</v>
      </c>
      <c r="T783" s="67" t="n">
        <f aca="false">T$779/(1+$G$780)^T$781</f>
        <v>-125.118606530482</v>
      </c>
      <c r="U783" s="67" t="n">
        <f aca="false">U$779/(1+$G$780)^U$781</f>
        <v>-97.3817110385383</v>
      </c>
      <c r="V783" s="67" t="n">
        <f aca="false">V$779/(1+$G$780)^V$781</f>
        <v>-74.7451818722786</v>
      </c>
      <c r="W783" s="67" t="n">
        <f aca="false">W$779/(1+$G$780)^W$781</f>
        <v>-52.2564187781238</v>
      </c>
      <c r="X783" s="67" t="n">
        <f aca="false">X$779/(1+$G$780)^X$781</f>
        <v>-39.4182733545213</v>
      </c>
      <c r="Y783" s="67" t="n">
        <f aca="false">Y$779/(1+$G$780)^Y$781</f>
        <v>-25.9448670107715</v>
      </c>
      <c r="Z783" s="67" t="n">
        <f aca="false">Z$779/(1+$G$780)^Z$781</f>
        <v>-16.6194218178979</v>
      </c>
      <c r="AA783" s="67" t="n">
        <f aca="false">AA$779/(1+$G$780)^AA$781</f>
        <v>-11.5545369549755</v>
      </c>
      <c r="AB783" s="67" t="n">
        <f aca="false">AB$779/(1+$G$780)^AB$781</f>
        <v>-8.08123065882594</v>
      </c>
      <c r="AC783" s="67" t="n">
        <f aca="false">AC$779/(1+$G$780)^$AC$781</f>
        <v>-6.07102256089428</v>
      </c>
      <c r="AD783" s="67" t="n">
        <f aca="false">AD$779/(1+$G$780)^AD$781</f>
        <v>0</v>
      </c>
      <c r="AE783" s="67" t="n">
        <f aca="false">AE$779/(1+$G$780)^AE$781</f>
        <v>0</v>
      </c>
      <c r="AF783" s="67" t="n">
        <f aca="false">AF$779/(1+$G$780)^AF$781</f>
        <v>0</v>
      </c>
      <c r="AG783" s="67" t="n">
        <f aca="false">AG$779/(1+$G$780)^AG$781</f>
        <v>0</v>
      </c>
      <c r="AH783" s="67" t="n">
        <f aca="false">AH$779/(1+$G$780)^AH$781</f>
        <v>0</v>
      </c>
      <c r="AI783" s="67" t="n">
        <f aca="false">AI$779/(1+$G$780)^AI$781</f>
        <v>0</v>
      </c>
      <c r="AJ783" s="67" t="n">
        <f aca="false">AJ$779/(1+$G$780)^AJ$781</f>
        <v>0</v>
      </c>
      <c r="AK783" s="67" t="n">
        <f aca="false">AK$779/(1+$G$780)^AK$781</f>
        <v>0</v>
      </c>
      <c r="AL783" s="67" t="n">
        <f aca="false">AL$779/(1+$G$780)^AL$781</f>
        <v>0</v>
      </c>
      <c r="AM783" s="67" t="n">
        <f aca="false">AM$779/(1+$G$780)^AM$781</f>
        <v>0</v>
      </c>
      <c r="AN783" s="67" t="n">
        <f aca="false">AN$779/(1+$G$780)^AN$781</f>
        <v>0</v>
      </c>
      <c r="AO783" s="67" t="n">
        <f aca="false">AO$779/(1+$G$780)^AO$781</f>
        <v>0</v>
      </c>
      <c r="AP783" s="67" t="n">
        <f aca="false">AP$779/(1+$G$780)^AP$781</f>
        <v>0</v>
      </c>
      <c r="AQ783" s="67" t="n">
        <f aca="false">AQ$779/(1+$G$780)^AQ$781</f>
        <v>0</v>
      </c>
    </row>
    <row r="784" customFormat="false" ht="11.25" hidden="false" customHeight="false" outlineLevel="0" collapsed="false">
      <c r="G784" s="311" t="n">
        <f aca="false">+G783+1</f>
        <v>2000</v>
      </c>
      <c r="H784" s="67" t="n">
        <f aca="false">MAX(SUM(I784:AQ784),0)</f>
        <v>0</v>
      </c>
      <c r="J784" s="67" t="n">
        <f aca="false">J$779/(1+$G$780)^I$781</f>
        <v>-1073.30613354754</v>
      </c>
      <c r="K784" s="67" t="n">
        <f aca="false">K$779/(1+$G$780)^J$781</f>
        <v>-935.632025386675</v>
      </c>
      <c r="L784" s="67" t="n">
        <f aca="false">L$779/(1+$G$780)^K$781</f>
        <v>-807.017971211863</v>
      </c>
      <c r="M784" s="67" t="n">
        <f aca="false">M$779/(1+$G$780)^L$781</f>
        <v>-689.747060799657</v>
      </c>
      <c r="N784" s="67" t="n">
        <f aca="false">N$779/(1+$G$780)^M$781</f>
        <v>-577.648249840787</v>
      </c>
      <c r="O784" s="67" t="n">
        <f aca="false">O$779/(1+$G$780)^N$781</f>
        <v>-478.872969357248</v>
      </c>
      <c r="P784" s="67" t="n">
        <f aca="false">P$779/(1+$G$780)^O$781</f>
        <v>-368.04203270437</v>
      </c>
      <c r="Q784" s="67" t="n">
        <f aca="false">Q$779/(1+$G$780)^P$781</f>
        <v>-305.146273299555</v>
      </c>
      <c r="R784" s="67" t="n">
        <f aca="false">R$779/(1+$G$780)^Q$781</f>
        <v>-235.15290729256</v>
      </c>
      <c r="S784" s="67" t="n">
        <f aca="false">S$779/(1+$G$780)^R$781</f>
        <v>-177.031907439307</v>
      </c>
      <c r="T784" s="67" t="n">
        <f aca="false">T$779/(1+$G$780)^S$781</f>
        <v>-137.63046718353</v>
      </c>
      <c r="U784" s="67" t="n">
        <f aca="false">U$779/(1+$G$780)^T$781</f>
        <v>-107.119882142392</v>
      </c>
      <c r="V784" s="67" t="n">
        <f aca="false">V$779/(1+$G$780)^U$781</f>
        <v>-82.2197000595065</v>
      </c>
      <c r="W784" s="67" t="n">
        <f aca="false">W$779/(1+$G$780)^V$781</f>
        <v>-57.4820606559362</v>
      </c>
      <c r="X784" s="67" t="n">
        <f aca="false">X$779/(1+$G$780)^W$781</f>
        <v>-43.3601006899734</v>
      </c>
      <c r="Y784" s="67" t="n">
        <f aca="false">Y$779/(1+$G$780)^X$781</f>
        <v>-28.5393537118487</v>
      </c>
      <c r="Z784" s="67" t="n">
        <f aca="false">Z$779/(1+$G$780)^Y$781</f>
        <v>-18.2813639996877</v>
      </c>
      <c r="AA784" s="67" t="n">
        <f aca="false">AA$779/(1+$G$780)^Z$781</f>
        <v>-12.709990650473</v>
      </c>
      <c r="AB784" s="67" t="n">
        <f aca="false">AB$779/(1+$G$780)^AA$781</f>
        <v>-8.88935372470853</v>
      </c>
      <c r="AC784" s="67" t="n">
        <f aca="false">AC$779/(1+$G$780)^$AB$781</f>
        <v>-6.67812481698371</v>
      </c>
      <c r="AD784" s="67" t="n">
        <f aca="false">AD$779/(1+$G$780)^$AC$781</f>
        <v>0</v>
      </c>
      <c r="AE784" s="67" t="n">
        <f aca="false">AE$779/(1+$G$780)^$AD$781</f>
        <v>0</v>
      </c>
      <c r="AF784" s="67" t="n">
        <f aca="false">AF$779/(1+$G$780)^$AE$781</f>
        <v>0</v>
      </c>
      <c r="AG784" s="67" t="n">
        <f aca="false">AG$779/(1+$G$780)^$AF$781</f>
        <v>0</v>
      </c>
      <c r="AH784" s="67" t="n">
        <f aca="false">AH$779/(1+$G$780)^$AG$781</f>
        <v>0</v>
      </c>
      <c r="AI784" s="67" t="n">
        <f aca="false">AI$779/(1+$G$780)^$AH$781</f>
        <v>0</v>
      </c>
      <c r="AJ784" s="67" t="n">
        <f aca="false">AJ$779/(1+$G$780)^$AI$781</f>
        <v>0</v>
      </c>
      <c r="AK784" s="67" t="n">
        <f aca="false">AK$779/(1+$G$780)^$AJ$781</f>
        <v>0</v>
      </c>
      <c r="AL784" s="67" t="n">
        <f aca="false">AL$779/(1+$G$780)^$AK$781</f>
        <v>0</v>
      </c>
      <c r="AM784" s="67" t="n">
        <f aca="false">AM$779/(1+$G$780)^$AL$781</f>
        <v>0</v>
      </c>
      <c r="AN784" s="67" t="n">
        <f aca="false">AN$779/(1+$G$780)^$AM$781</f>
        <v>0</v>
      </c>
      <c r="AO784" s="67" t="n">
        <f aca="false">AO$779/(1+$G$780)^$AN$781</f>
        <v>0</v>
      </c>
      <c r="AP784" s="67" t="n">
        <f aca="false">AP$779/(1+$G$780)^$AO$781</f>
        <v>0</v>
      </c>
      <c r="AQ784" s="67" t="n">
        <f aca="false">AQ$779/(1+$G$780)^$AP$781</f>
        <v>0</v>
      </c>
    </row>
    <row r="785" customFormat="false" ht="11.25" hidden="false" customHeight="false" outlineLevel="0" collapsed="false">
      <c r="G785" s="311" t="n">
        <f aca="false">+G784+1</f>
        <v>2001</v>
      </c>
      <c r="H785" s="67" t="n">
        <f aca="false">MAX(SUM(I785:AQ785),0)</f>
        <v>0</v>
      </c>
      <c r="K785" s="67" t="n">
        <f aca="false">K$779/(1+$G$780)^I$781</f>
        <v>-1004.96188938304</v>
      </c>
      <c r="L785" s="67" t="n">
        <f aca="false">L$779/(1+$G$780)^J$781</f>
        <v>-887.71976833305</v>
      </c>
      <c r="M785" s="67" t="n">
        <f aca="false">M$779/(1+$G$780)^K$781</f>
        <v>-758.721766879623</v>
      </c>
      <c r="N785" s="67" t="n">
        <f aca="false">N$779/(1+$G$780)^L$781</f>
        <v>-635.413074824866</v>
      </c>
      <c r="O785" s="67" t="n">
        <f aca="false">O$779/(1+$G$780)^M$781</f>
        <v>-526.760266292973</v>
      </c>
      <c r="P785" s="67" t="n">
        <f aca="false">P$779/(1+$G$780)^N$781</f>
        <v>-404.846235974808</v>
      </c>
      <c r="Q785" s="67" t="n">
        <f aca="false">Q$779/(1+$G$780)^O$781</f>
        <v>-335.660900629511</v>
      </c>
      <c r="R785" s="67" t="n">
        <f aca="false">R$779/(1+$G$780)^P$781</f>
        <v>-258.668198021816</v>
      </c>
      <c r="S785" s="67" t="n">
        <f aca="false">S$779/(1+$G$780)^Q$781</f>
        <v>-194.735098183238</v>
      </c>
      <c r="T785" s="67" t="n">
        <f aca="false">T$779/(1+$G$780)^R$781</f>
        <v>-151.393513901883</v>
      </c>
      <c r="U785" s="67" t="n">
        <f aca="false">U$779/(1+$G$780)^S$781</f>
        <v>-117.831870356631</v>
      </c>
      <c r="V785" s="67" t="n">
        <f aca="false">V$779/(1+$G$780)^T$781</f>
        <v>-90.4416700654571</v>
      </c>
      <c r="W785" s="67" t="n">
        <f aca="false">W$779/(1+$G$780)^U$781</f>
        <v>-63.2302667215298</v>
      </c>
      <c r="X785" s="67" t="n">
        <f aca="false">X$779/(1+$G$780)^V$781</f>
        <v>-47.6961107589708</v>
      </c>
      <c r="Y785" s="67" t="n">
        <f aca="false">Y$779/(1+$G$780)^W$781</f>
        <v>-31.3932890830335</v>
      </c>
      <c r="Z785" s="67" t="n">
        <f aca="false">Z$779/(1+$G$780)^X$781</f>
        <v>-20.1095003996565</v>
      </c>
      <c r="AA785" s="67" t="n">
        <f aca="false">AA$779/(1+$G$780)^Y$781</f>
        <v>-13.9809897155203</v>
      </c>
      <c r="AB785" s="67" t="n">
        <f aca="false">AB$779/(1+$G$780)^Z$781</f>
        <v>-9.77828909717939</v>
      </c>
      <c r="AC785" s="67" t="n">
        <f aca="false">AC$779/(1+$G$780)^$AA$781</f>
        <v>-7.34593729868208</v>
      </c>
      <c r="AD785" s="67" t="n">
        <f aca="false">AD$779/(1+$G$780)^$AB$781</f>
        <v>0</v>
      </c>
      <c r="AE785" s="67" t="n">
        <f aca="false">AE$779/(1+$G$780)^$AC$781</f>
        <v>0</v>
      </c>
      <c r="AF785" s="67" t="n">
        <f aca="false">AF$779/(1+$G$780)^$AD$781</f>
        <v>0</v>
      </c>
      <c r="AG785" s="67" t="n">
        <f aca="false">AG$779/(1+$G$780)^$AE$781</f>
        <v>0</v>
      </c>
      <c r="AH785" s="67" t="n">
        <f aca="false">AH$779/(1+$G$780)^$AF$781</f>
        <v>0</v>
      </c>
      <c r="AI785" s="67" t="n">
        <f aca="false">AI$779/(1+$G$780)^$AG$781</f>
        <v>0</v>
      </c>
      <c r="AJ785" s="67" t="n">
        <f aca="false">AJ$779/(1+$G$780)^$AH$781</f>
        <v>0</v>
      </c>
      <c r="AK785" s="67" t="n">
        <f aca="false">AK$779/(1+$G$780)^$AI$781</f>
        <v>0</v>
      </c>
      <c r="AL785" s="67" t="n">
        <f aca="false">AL$779/(1+$G$780)^$AJ$781</f>
        <v>0</v>
      </c>
      <c r="AM785" s="67" t="n">
        <f aca="false">AM$779/(1+$G$780)^$AK$781</f>
        <v>0</v>
      </c>
      <c r="AN785" s="67" t="n">
        <f aca="false">AN$779/(1+$G$780)^$AL$781</f>
        <v>0</v>
      </c>
      <c r="AO785" s="67" t="n">
        <f aca="false">AO$779/(1+$G$780)^$AM$781</f>
        <v>0</v>
      </c>
      <c r="AP785" s="67" t="n">
        <f aca="false">AP$779/(1+$G$780)^$AN$781</f>
        <v>0</v>
      </c>
      <c r="AQ785" s="67" t="n">
        <f aca="false">AQ$779/(1+$G$780)^$AO$781</f>
        <v>0</v>
      </c>
    </row>
    <row r="786" customFormat="false" ht="11.25" hidden="false" customHeight="false" outlineLevel="0" collapsed="false">
      <c r="G786" s="311" t="n">
        <f aca="false">+G785+1</f>
        <v>2002</v>
      </c>
      <c r="H786" s="67" t="n">
        <f aca="false">MAX(SUM(I786:AQ786),0)</f>
        <v>0</v>
      </c>
      <c r="L786" s="67" t="n">
        <f aca="false">L$779/(1+$G$780)^I$781</f>
        <v>-953.499358102845</v>
      </c>
      <c r="M786" s="67" t="n">
        <f aca="false">M$779/(1+$G$780)^J$781</f>
        <v>-834.593943567585</v>
      </c>
      <c r="N786" s="67" t="n">
        <f aca="false">N$779/(1+$G$780)^K$781</f>
        <v>-698.954382307352</v>
      </c>
      <c r="O786" s="67" t="n">
        <f aca="false">O$779/(1+$G$780)^L$781</f>
        <v>-579.436292922271</v>
      </c>
      <c r="P786" s="67" t="n">
        <f aca="false">P$779/(1+$G$780)^M$781</f>
        <v>-445.330859572288</v>
      </c>
      <c r="Q786" s="67" t="n">
        <f aca="false">Q$779/(1+$G$780)^N$781</f>
        <v>-369.226990692462</v>
      </c>
      <c r="R786" s="67" t="n">
        <f aca="false">R$779/(1+$G$780)^O$781</f>
        <v>-284.535017823998</v>
      </c>
      <c r="S786" s="67" t="n">
        <f aca="false">S$779/(1+$G$780)^P$781</f>
        <v>-214.208608001562</v>
      </c>
      <c r="T786" s="67" t="n">
        <f aca="false">T$779/(1+$G$780)^Q$781</f>
        <v>-166.532865292071</v>
      </c>
      <c r="U786" s="67" t="n">
        <f aca="false">U$779/(1+$G$780)^R$781</f>
        <v>-129.615057392295</v>
      </c>
      <c r="V786" s="67" t="n">
        <f aca="false">V$779/(1+$G$780)^S$781</f>
        <v>-99.4858370720028</v>
      </c>
      <c r="W786" s="67" t="n">
        <f aca="false">W$779/(1+$G$780)^T$781</f>
        <v>-69.5532933936828</v>
      </c>
      <c r="X786" s="67" t="n">
        <f aca="false">X$779/(1+$G$780)^U$781</f>
        <v>-52.4657218348679</v>
      </c>
      <c r="Y786" s="67" t="n">
        <f aca="false">Y$779/(1+$G$780)^V$781</f>
        <v>-34.5326179913369</v>
      </c>
      <c r="Z786" s="67" t="n">
        <f aca="false">Z$779/(1+$G$780)^W$781</f>
        <v>-22.1204504396221</v>
      </c>
      <c r="AA786" s="67" t="n">
        <f aca="false">AA$779/(1+$G$780)^X$781</f>
        <v>-15.3790886870723</v>
      </c>
      <c r="AB786" s="67" t="n">
        <f aca="false">AB$779/(1+$G$780)^Y$781</f>
        <v>-10.7561180068973</v>
      </c>
      <c r="AC786" s="67" t="n">
        <f aca="false">AC$779/(1+$G$780)^$Z$781</f>
        <v>-8.08053102855029</v>
      </c>
      <c r="AD786" s="67" t="n">
        <f aca="false">AD$779/(1+$G$780)^$AA$781</f>
        <v>0</v>
      </c>
      <c r="AE786" s="67" t="n">
        <f aca="false">AE$779/(1+$G$780)^$AB$781</f>
        <v>0</v>
      </c>
      <c r="AF786" s="67" t="n">
        <f aca="false">AF$779/(1+$G$780)^$AC$781</f>
        <v>0</v>
      </c>
      <c r="AG786" s="67" t="n">
        <f aca="false">AG$779/(1+$G$780)^$AD$781</f>
        <v>0</v>
      </c>
      <c r="AH786" s="67" t="n">
        <f aca="false">AH$779/(1+$G$780)^$AE$781</f>
        <v>0</v>
      </c>
      <c r="AI786" s="67" t="n">
        <f aca="false">AI$779/(1+$G$780)^$AF$781</f>
        <v>0</v>
      </c>
      <c r="AJ786" s="67" t="n">
        <f aca="false">AJ$779/(1+$G$780)^$AG$781</f>
        <v>0</v>
      </c>
      <c r="AK786" s="67" t="n">
        <f aca="false">AK$779/(1+$G$780)^$AH$781</f>
        <v>0</v>
      </c>
      <c r="AL786" s="67" t="n">
        <f aca="false">AL$779/(1+$G$780)^$AI$781</f>
        <v>0</v>
      </c>
      <c r="AM786" s="67" t="n">
        <f aca="false">AM$779/(1+$G$780)^$AJ$781</f>
        <v>0</v>
      </c>
      <c r="AN786" s="67" t="n">
        <f aca="false">AN$779/(1+$G$780)^$AK$781</f>
        <v>0</v>
      </c>
      <c r="AO786" s="67" t="n">
        <f aca="false">AO$779/(1+$G$780)^$AL$781</f>
        <v>0</v>
      </c>
      <c r="AP786" s="67" t="n">
        <f aca="false">AP$779/(1+$G$780)^$AM$781</f>
        <v>0</v>
      </c>
      <c r="AQ786" s="67" t="n">
        <f aca="false">AQ$779/(1+$G$780)^$AN$781</f>
        <v>0</v>
      </c>
    </row>
    <row r="787" customFormat="false" ht="11.25" hidden="false" customHeight="false" outlineLevel="0" collapsed="false">
      <c r="G787" s="311" t="n">
        <f aca="false">+G786+1</f>
        <v>2003</v>
      </c>
      <c r="H787" s="67" t="n">
        <f aca="false">MAX(SUM(I787:AQ787),0)</f>
        <v>0</v>
      </c>
      <c r="M787" s="67" t="n">
        <f aca="false">M$779/(1+$G$780)^I$781</f>
        <v>-896.436936357213</v>
      </c>
      <c r="N787" s="67" t="n">
        <f aca="false">N$779/(1+$G$780)^J$781</f>
        <v>-768.849820538088</v>
      </c>
      <c r="O787" s="67" t="n">
        <f aca="false">O$779/(1+$G$780)^K$781</f>
        <v>-637.379922214498</v>
      </c>
      <c r="P787" s="67" t="n">
        <f aca="false">P$779/(1+$G$780)^L$781</f>
        <v>-489.863945529517</v>
      </c>
      <c r="Q787" s="67" t="n">
        <f aca="false">Q$779/(1+$G$780)^M$781</f>
        <v>-406.149689761708</v>
      </c>
      <c r="R787" s="67" t="n">
        <f aca="false">R$779/(1+$G$780)^N$781</f>
        <v>-312.988519606397</v>
      </c>
      <c r="S787" s="67" t="n">
        <f aca="false">S$779/(1+$G$780)^O$781</f>
        <v>-235.629468801718</v>
      </c>
      <c r="T787" s="67" t="n">
        <f aca="false">T$779/(1+$G$780)^P$781</f>
        <v>-183.186151821278</v>
      </c>
      <c r="U787" s="67" t="n">
        <f aca="false">U$779/(1+$G$780)^Q$781</f>
        <v>-142.576563131524</v>
      </c>
      <c r="V787" s="67" t="n">
        <f aca="false">V$779/(1+$G$780)^R$781</f>
        <v>-109.434420779203</v>
      </c>
      <c r="W787" s="67" t="n">
        <f aca="false">W$779/(1+$G$780)^S$781</f>
        <v>-76.508622733051</v>
      </c>
      <c r="X787" s="67" t="n">
        <f aca="false">X$779/(1+$G$780)^T$781</f>
        <v>-57.7122940183547</v>
      </c>
      <c r="Y787" s="67" t="n">
        <f aca="false">Y$779/(1+$G$780)^U$781</f>
        <v>-37.9858797904706</v>
      </c>
      <c r="Z787" s="67" t="n">
        <f aca="false">Z$779/(1+$G$780)^V$781</f>
        <v>-24.3324954835844</v>
      </c>
      <c r="AA787" s="67" t="n">
        <f aca="false">AA$779/(1+$G$780)^W$781</f>
        <v>-16.9169975557796</v>
      </c>
      <c r="AB787" s="67" t="n">
        <f aca="false">AB$779/(1+$G$780)^X$781</f>
        <v>-11.8317298075871</v>
      </c>
      <c r="AC787" s="67" t="n">
        <f aca="false">AC$779/(1+$G$780)^$Y$781</f>
        <v>-8.88858413140532</v>
      </c>
      <c r="AD787" s="67" t="n">
        <f aca="false">AD$779/(1+$G$780)^$Z$781</f>
        <v>0</v>
      </c>
      <c r="AE787" s="67" t="n">
        <f aca="false">AE$779/(1+$G$780)^$AA$781</f>
        <v>0</v>
      </c>
      <c r="AF787" s="67" t="n">
        <f aca="false">AF$779/(1+$G$780)^$AB$781</f>
        <v>0</v>
      </c>
      <c r="AG787" s="67" t="n">
        <f aca="false">AG$779/(1+$G$780)^$AC$781</f>
        <v>0</v>
      </c>
      <c r="AH787" s="67" t="n">
        <f aca="false">AH$779/(1+$G$780)^$AD$781</f>
        <v>0</v>
      </c>
      <c r="AI787" s="67" t="n">
        <f aca="false">AI$779/(1+$G$780)^$AE$781</f>
        <v>0</v>
      </c>
      <c r="AJ787" s="67" t="n">
        <f aca="false">AJ$779/(1+$G$780)^$AF$781</f>
        <v>0</v>
      </c>
      <c r="AK787" s="67" t="n">
        <f aca="false">AK$779/(1+$G$780)^$AG$781</f>
        <v>0</v>
      </c>
      <c r="AL787" s="67" t="n">
        <f aca="false">AL$779/(1+$G$780)^$AH$781</f>
        <v>0</v>
      </c>
      <c r="AM787" s="67" t="n">
        <f aca="false">AM$779/(1+$G$780)^$AI$781</f>
        <v>0</v>
      </c>
      <c r="AN787" s="67" t="n">
        <f aca="false">AN$779/(1+$G$780)^$AJ$781</f>
        <v>0</v>
      </c>
      <c r="AO787" s="67" t="n">
        <f aca="false">AO$779/(1+$G$780)^$AK$781</f>
        <v>0</v>
      </c>
      <c r="AP787" s="67" t="n">
        <f aca="false">AP$779/(1+$G$780)^$AL$781</f>
        <v>0</v>
      </c>
      <c r="AQ787" s="67" t="n">
        <f aca="false">AQ$779/(1+$G$780)^$AM$781</f>
        <v>0</v>
      </c>
    </row>
    <row r="788" customFormat="false" ht="11.25" hidden="false" customHeight="false" outlineLevel="0" collapsed="false">
      <c r="G788" s="311" t="n">
        <f aca="false">+G787+1</f>
        <v>2004</v>
      </c>
      <c r="H788" s="67" t="n">
        <f aca="false">MAX(SUM(I788:AQ788),0)</f>
        <v>0</v>
      </c>
      <c r="N788" s="67" t="n">
        <f aca="false">N$779/(1+$G$780)^I$781</f>
        <v>-825.821206772444</v>
      </c>
      <c r="O788" s="67" t="n">
        <f aca="false">O$779/(1+$G$780)^J$781</f>
        <v>-701.117914435947</v>
      </c>
      <c r="P788" s="67" t="n">
        <f aca="false">P$779/(1+$G$780)^K$781</f>
        <v>-538.850340082469</v>
      </c>
      <c r="Q788" s="67" t="n">
        <f aca="false">Q$779/(1+$G$780)^L$781</f>
        <v>-446.764658737879</v>
      </c>
      <c r="R788" s="67" t="n">
        <f aca="false">R$779/(1+$G$780)^M$781</f>
        <v>-344.287371567037</v>
      </c>
      <c r="S788" s="67" t="n">
        <f aca="false">S$779/(1+$G$780)^N$781</f>
        <v>-259.19241568189</v>
      </c>
      <c r="T788" s="67" t="n">
        <f aca="false">T$779/(1+$G$780)^O$781</f>
        <v>-201.504767003406</v>
      </c>
      <c r="U788" s="67" t="n">
        <f aca="false">U$779/(1+$G$780)^P$781</f>
        <v>-156.834219444676</v>
      </c>
      <c r="V788" s="67" t="n">
        <f aca="false">V$779/(1+$G$780)^Q$781</f>
        <v>-120.377862857123</v>
      </c>
      <c r="W788" s="67" t="n">
        <f aca="false">W$779/(1+$G$780)^R$781</f>
        <v>-84.1594850063561</v>
      </c>
      <c r="X788" s="67" t="n">
        <f aca="false">X$779/(1+$G$780)^W$781</f>
        <v>-43.3601006899734</v>
      </c>
      <c r="Y788" s="67" t="n">
        <f aca="false">Y$779/(1+$G$780)^T$781</f>
        <v>-41.7844677695176</v>
      </c>
      <c r="Z788" s="67" t="n">
        <f aca="false">Z$779/(1+$G$780)^U$781</f>
        <v>-26.7657450319428</v>
      </c>
      <c r="AA788" s="67" t="n">
        <f aca="false">AA$779/(1+$G$780)^V$781</f>
        <v>-18.6086973113575</v>
      </c>
      <c r="AB788" s="67" t="n">
        <f aca="false">AB$779/(1+$G$780)^W$781</f>
        <v>-13.0149027883458</v>
      </c>
      <c r="AC788" s="67" t="n">
        <f aca="false">AC$779/(1+$G$780)^$X$781</f>
        <v>-9.77744254454585</v>
      </c>
      <c r="AD788" s="67" t="n">
        <f aca="false">AD$779/(1+$G$780)^$Y$781</f>
        <v>0</v>
      </c>
      <c r="AE788" s="67" t="n">
        <f aca="false">AE$779/(1+$G$780)^$Z$781</f>
        <v>0</v>
      </c>
      <c r="AF788" s="67" t="n">
        <f aca="false">AF$779/(1+$G$780)^$AA$781</f>
        <v>0</v>
      </c>
      <c r="AG788" s="67" t="n">
        <f aca="false">AG$779/(1+$G$780)^$AB$781</f>
        <v>0</v>
      </c>
      <c r="AH788" s="67" t="n">
        <f aca="false">AH$779/(1+$G$780)^$AC$781</f>
        <v>0</v>
      </c>
      <c r="AI788" s="67" t="n">
        <f aca="false">AI$779/(1+$G$780)^$AD$781</f>
        <v>0</v>
      </c>
      <c r="AJ788" s="67" t="n">
        <f aca="false">AJ$779/(1+$G$780)^$AE$781</f>
        <v>0</v>
      </c>
      <c r="AK788" s="67" t="n">
        <f aca="false">AK$779/(1+$G$780)^$AF$781</f>
        <v>0</v>
      </c>
      <c r="AL788" s="67" t="n">
        <f aca="false">AL$779/(1+$G$780)^$AG$781</f>
        <v>0</v>
      </c>
      <c r="AM788" s="67" t="n">
        <f aca="false">AM$779/(1+$G$780)^$AH$781</f>
        <v>0</v>
      </c>
      <c r="AN788" s="67" t="n">
        <f aca="false">AN$779/(1+$G$780)^$AI$781</f>
        <v>0</v>
      </c>
      <c r="AO788" s="67" t="n">
        <f aca="false">AO$779/(1+$G$780)^$AJ$781</f>
        <v>0</v>
      </c>
      <c r="AP788" s="67" t="n">
        <f aca="false">AP$779/(1+$G$780)^$AK$781</f>
        <v>0</v>
      </c>
      <c r="AQ788" s="67" t="n">
        <f aca="false">AQ$779/(1+$G$780)^$AL$781</f>
        <v>0</v>
      </c>
    </row>
    <row r="789" customFormat="false" ht="11.25" hidden="false" customHeight="false" outlineLevel="0" collapsed="false">
      <c r="G789" s="311" t="n">
        <f aca="false">+G788+1</f>
        <v>2005</v>
      </c>
      <c r="H789" s="67" t="n">
        <f aca="false">MAX(SUM(I789:AQ789),0)</f>
        <v>0</v>
      </c>
      <c r="O789" s="67" t="n">
        <f aca="false">O$779/(1+$G$780)^I$781</f>
        <v>-753.070400385937</v>
      </c>
      <c r="P789" s="67" t="n">
        <f aca="false">P$779/(1+$G$780)^J$781</f>
        <v>-592.735374090716</v>
      </c>
      <c r="Q789" s="67" t="n">
        <f aca="false">Q$779/(1+$G$780)^K$781</f>
        <v>-491.441124611667</v>
      </c>
      <c r="R789" s="67" t="n">
        <f aca="false">R$779/(1+$G$780)^L$781</f>
        <v>-378.716108723741</v>
      </c>
      <c r="S789" s="67" t="n">
        <f aca="false">S$779/(1+$G$780)^M$781</f>
        <v>-285.111657250078</v>
      </c>
      <c r="T789" s="67" t="n">
        <f aca="false">T$779/(1+$G$780)^N$781</f>
        <v>-221.655243703747</v>
      </c>
      <c r="U789" s="67" t="n">
        <f aca="false">U$779/(1+$G$780)^O$781</f>
        <v>-172.517641389144</v>
      </c>
      <c r="V789" s="67" t="n">
        <f aca="false">V$779/(1+$G$780)^P$781</f>
        <v>-132.415649142836</v>
      </c>
      <c r="W789" s="67" t="n">
        <f aca="false">W$779/(1+$G$780)^Q$781</f>
        <v>-92.5754335069918</v>
      </c>
      <c r="X789" s="67" t="n">
        <f aca="false">X$779/(1+$G$780)^R$781</f>
        <v>-69.8318757622091</v>
      </c>
      <c r="Y789" s="67" t="n">
        <f aca="false">Y$779/(1+$G$780)^S$781</f>
        <v>-45.9629145464694</v>
      </c>
      <c r="Z789" s="67" t="n">
        <f aca="false">Z$779/(1+$G$780)^T$781</f>
        <v>-29.4423195351371</v>
      </c>
      <c r="AA789" s="67" t="n">
        <f aca="false">AA$779/(1+$G$780)^U$781</f>
        <v>-20.4695670424933</v>
      </c>
      <c r="AB789" s="67" t="n">
        <f aca="false">AB$779/(1+$G$780)^V$781</f>
        <v>-14.3163930671803</v>
      </c>
      <c r="AC789" s="67" t="n">
        <f aca="false">AC$779/(1+$G$780)^$W$781</f>
        <v>-10.7551867990004</v>
      </c>
      <c r="AD789" s="67" t="n">
        <f aca="false">AD$779/(1+$G$780)^$X$781</f>
        <v>0</v>
      </c>
      <c r="AE789" s="67" t="n">
        <f aca="false">AE$779/(1+$G$780)^$Y$781</f>
        <v>0</v>
      </c>
      <c r="AF789" s="67" t="n">
        <f aca="false">AF$779/(1+$G$780)^$Z$781</f>
        <v>0</v>
      </c>
      <c r="AG789" s="67" t="n">
        <f aca="false">AG$779/(1+$G$780)^$AA$781</f>
        <v>0</v>
      </c>
      <c r="AH789" s="67" t="n">
        <f aca="false">AH$779/(1+$G$780)^$AB$781</f>
        <v>0</v>
      </c>
      <c r="AI789" s="67" t="n">
        <f aca="false">AI$779/(1+$G$780)^$AC$781</f>
        <v>0</v>
      </c>
      <c r="AJ789" s="67" t="n">
        <f aca="false">AJ$779/(1+$G$780)^$AD$781</f>
        <v>0</v>
      </c>
      <c r="AK789" s="67" t="n">
        <f aca="false">AK$779/(1+$G$780)^$AE$781</f>
        <v>0</v>
      </c>
      <c r="AL789" s="67" t="n">
        <f aca="false">AL$779/(1+$G$780)^$AF$781</f>
        <v>0</v>
      </c>
      <c r="AM789" s="67" t="n">
        <f aca="false">AM$779/(1+$G$780)^$AG$781</f>
        <v>0</v>
      </c>
      <c r="AN789" s="67" t="n">
        <f aca="false">AN$779/(1+$G$780)^$AH$781</f>
        <v>0</v>
      </c>
      <c r="AO789" s="67" t="n">
        <f aca="false">AO$779/(1+$G$780)^$AI$781</f>
        <v>0</v>
      </c>
      <c r="AP789" s="67" t="n">
        <f aca="false">AP$779/(1+$G$780)^$AJ$781</f>
        <v>0</v>
      </c>
      <c r="AQ789" s="67" t="n">
        <f aca="false">AQ$779/(1+$G$780)^$AK$781</f>
        <v>0</v>
      </c>
    </row>
    <row r="790" customFormat="false" ht="11.25" hidden="false" customHeight="false" outlineLevel="0" collapsed="false">
      <c r="G790" s="311" t="n">
        <f aca="false">+G789+1</f>
        <v>2006</v>
      </c>
      <c r="H790" s="67" t="n">
        <f aca="false">MAX(SUM(I790:AQ790),0)</f>
        <v>0</v>
      </c>
      <c r="P790" s="67" t="n">
        <f aca="false">P$779/(1+$G$780)^I$781</f>
        <v>-636.656768139367</v>
      </c>
      <c r="Q790" s="67" t="n">
        <f aca="false">Q$779/(1+$G$780)^J$781</f>
        <v>-540.585237072833</v>
      </c>
      <c r="R790" s="67" t="n">
        <f aca="false">R$779/(1+$G$780)^K$781</f>
        <v>-416.587719596115</v>
      </c>
      <c r="S790" s="67" t="n">
        <f aca="false">S$779/(1+$G$780)^L$781</f>
        <v>-313.622822975086</v>
      </c>
      <c r="T790" s="67" t="n">
        <f aca="false">T$779/(1+$G$780)^M$781</f>
        <v>-243.820768074122</v>
      </c>
      <c r="U790" s="67" t="n">
        <f aca="false">U$779/(1+$G$780)^N$781</f>
        <v>-189.769405528058</v>
      </c>
      <c r="V790" s="67" t="n">
        <f aca="false">V$779/(1+$G$780)^O$781</f>
        <v>-145.657214057119</v>
      </c>
      <c r="W790" s="67" t="n">
        <f aca="false">W$779/(1+$G$780)^P$781</f>
        <v>-101.832976857691</v>
      </c>
      <c r="X790" s="67" t="n">
        <f aca="false">X$779/(1+$G$780)^Q$781</f>
        <v>-76.8150633384301</v>
      </c>
      <c r="Y790" s="67" t="n">
        <f aca="false">Y$779/(1+$G$780)^R$781</f>
        <v>-50.5592060011163</v>
      </c>
      <c r="Z790" s="67" t="n">
        <f aca="false">Z$779/(1+$G$780)^S$781</f>
        <v>-32.3865514886508</v>
      </c>
      <c r="AA790" s="67" t="n">
        <f aca="false">AA$779/(1+$G$780)^T$781</f>
        <v>-22.5165237467426</v>
      </c>
      <c r="AB790" s="67" t="n">
        <f aca="false">AB$779/(1+$G$780)^U$781</f>
        <v>-15.7480323738984</v>
      </c>
      <c r="AC790" s="67" t="n">
        <f aca="false">AC$779/(1+$G$780)^$V$781</f>
        <v>-11.8307054789005</v>
      </c>
      <c r="AD790" s="67" t="n">
        <f aca="false">AD$779/(1+$G$780)^$W$781</f>
        <v>0</v>
      </c>
      <c r="AE790" s="67" t="n">
        <f aca="false">AE$779/(1+$G$780)^$X$781</f>
        <v>0</v>
      </c>
      <c r="AF790" s="67" t="n">
        <f aca="false">AF$779/(1+$G$780)^$Y$781</f>
        <v>0</v>
      </c>
      <c r="AG790" s="67" t="n">
        <f aca="false">AG$779/(1+$G$780)^$Z$781</f>
        <v>0</v>
      </c>
      <c r="AH790" s="67" t="n">
        <f aca="false">AH$779/(1+$G$780)^$AA$781</f>
        <v>0</v>
      </c>
      <c r="AI790" s="67" t="n">
        <f aca="false">AI$779/(1+$G$780)^$AB$781</f>
        <v>0</v>
      </c>
      <c r="AJ790" s="67" t="n">
        <f aca="false">AJ$779/(1+$G$780)^$AC$781</f>
        <v>0</v>
      </c>
      <c r="AK790" s="67" t="n">
        <f aca="false">AK$779/(1+$G$780)^$AD$781</f>
        <v>0</v>
      </c>
      <c r="AL790" s="67" t="n">
        <f aca="false">AL$779/(1+$G$780)^$AE$781</f>
        <v>0</v>
      </c>
      <c r="AM790" s="67" t="n">
        <f aca="false">AM$779/(1+$G$780)^$AF$781</f>
        <v>0</v>
      </c>
      <c r="AN790" s="67" t="n">
        <f aca="false">AN$779/(1+$G$780)^$AG$781</f>
        <v>0</v>
      </c>
      <c r="AO790" s="67" t="n">
        <f aca="false">AO$779/(1+$G$780)^$AH$781</f>
        <v>0</v>
      </c>
      <c r="AP790" s="67" t="n">
        <f aca="false">AP$779/(1+$G$780)^$AI$781</f>
        <v>0</v>
      </c>
      <c r="AQ790" s="67" t="n">
        <f aca="false">AQ$779/(1+$G$780)^$AJ$781</f>
        <v>0</v>
      </c>
    </row>
    <row r="791" customFormat="false" ht="11.25" hidden="false" customHeight="false" outlineLevel="0" collapsed="false">
      <c r="G791" s="311" t="n">
        <f aca="false">+G790+1</f>
        <v>2007</v>
      </c>
      <c r="H791" s="67" t="n">
        <f aca="false">MAX(SUM(I791:AQ791),0)</f>
        <v>0</v>
      </c>
      <c r="Q791" s="67" t="n">
        <f aca="false">Q$779/(1+$G$780)^I$781</f>
        <v>-580.642332114247</v>
      </c>
      <c r="R791" s="67" t="n">
        <f aca="false">R$779/(1+$G$780)^J$781</f>
        <v>-458.246491555727</v>
      </c>
      <c r="S791" s="67" t="n">
        <f aca="false">S$779/(1+$G$780)^K$781</f>
        <v>-344.985105272595</v>
      </c>
      <c r="T791" s="67" t="n">
        <f aca="false">T$779/(1+$G$780)^L$781</f>
        <v>-268.202844881534</v>
      </c>
      <c r="U791" s="67" t="n">
        <f aca="false">U$779/(1+$G$780)^M$781</f>
        <v>-208.746346080864</v>
      </c>
      <c r="V791" s="67" t="n">
        <f aca="false">V$779/(1+$G$780)^N$781</f>
        <v>-160.222935462831</v>
      </c>
      <c r="W791" s="67" t="n">
        <f aca="false">W$779/(1+$G$780)^O$781</f>
        <v>-112.01627454346</v>
      </c>
      <c r="X791" s="67" t="n">
        <f aca="false">X$779/(1+$G$780)^P$781</f>
        <v>-84.4965696722731</v>
      </c>
      <c r="Y791" s="67" t="n">
        <f aca="false">Y$779/(1+$G$780)^Q$781</f>
        <v>-55.615126601228</v>
      </c>
      <c r="Z791" s="67" t="n">
        <f aca="false">Z$779/(1+$G$780)^R$781</f>
        <v>-35.6252066375159</v>
      </c>
      <c r="AA791" s="67" t="n">
        <f aca="false">AA$779/(1+$G$780)^S$781</f>
        <v>-24.7681761214169</v>
      </c>
      <c r="AB791" s="67" t="n">
        <f aca="false">AB$779/(1+$G$780)^T$781</f>
        <v>-17.3228356112882</v>
      </c>
      <c r="AC791" s="67" t="n">
        <f aca="false">AC$779/(1+$G$780)^$U$781</f>
        <v>-13.0137760267905</v>
      </c>
      <c r="AD791" s="67" t="n">
        <f aca="false">AD$779/(1+$G$780)^$V$781</f>
        <v>0</v>
      </c>
      <c r="AE791" s="67" t="n">
        <f aca="false">AE$779/(1+$G$780)^$W$781</f>
        <v>0</v>
      </c>
      <c r="AF791" s="67" t="n">
        <f aca="false">AF$779/(1+$G$780)^$X$781</f>
        <v>0</v>
      </c>
      <c r="AG791" s="67" t="n">
        <f aca="false">AG$779/(1+$G$780)^$Y$781</f>
        <v>0</v>
      </c>
      <c r="AH791" s="67" t="n">
        <f aca="false">AH$779/(1+$G$780)^$Z$781</f>
        <v>0</v>
      </c>
      <c r="AI791" s="67" t="n">
        <f aca="false">AI$779/(1+$G$780)^$AA$781</f>
        <v>0</v>
      </c>
      <c r="AJ791" s="67" t="n">
        <f aca="false">AJ$779/(1+$G$780)^$AB$781</f>
        <v>0</v>
      </c>
      <c r="AK791" s="67" t="n">
        <f aca="false">AK$779/(1+$G$780)^$AC$781</f>
        <v>0</v>
      </c>
      <c r="AL791" s="67" t="n">
        <f aca="false">AL$779/(1+$G$780)^$AD$781</f>
        <v>0</v>
      </c>
      <c r="AM791" s="67" t="n">
        <f aca="false">AM$779/(1+$G$780)^$AE$781</f>
        <v>0</v>
      </c>
      <c r="AN791" s="67" t="n">
        <f aca="false">AN$779/(1+$G$780)^$AF$781</f>
        <v>0</v>
      </c>
      <c r="AO791" s="67" t="n">
        <f aca="false">AO$779/(1+$G$780)^$AG$781</f>
        <v>0</v>
      </c>
      <c r="AP791" s="67" t="n">
        <f aca="false">AP$779/(1+$G$780)^$AH$781</f>
        <v>0</v>
      </c>
      <c r="AQ791" s="67" t="n">
        <f aca="false">AQ$779/(1+$G$780)^$AI$781</f>
        <v>0</v>
      </c>
    </row>
    <row r="792" customFormat="false" ht="11.25" hidden="false" customHeight="false" outlineLevel="0" collapsed="false">
      <c r="G792" s="311" t="n">
        <f aca="false">+G791+1</f>
        <v>2008</v>
      </c>
      <c r="H792" s="67" t="n">
        <f aca="false">MAX(SUM(I792:AQ792),0)</f>
        <v>0</v>
      </c>
      <c r="R792" s="67" t="n">
        <f aca="false">R$779/(1+$G$780)^I$781</f>
        <v>-492.202326835351</v>
      </c>
      <c r="S792" s="67" t="n">
        <f aca="false">S$779/(1+$G$780)^J$781</f>
        <v>-379.483615799855</v>
      </c>
      <c r="T792" s="67" t="n">
        <f aca="false">T$779/(1+$G$780)^K$781</f>
        <v>-295.023129369687</v>
      </c>
      <c r="U792" s="67" t="n">
        <f aca="false">U$779/(1+$G$780)^L$781</f>
        <v>-229.620980688951</v>
      </c>
      <c r="V792" s="67" t="n">
        <f aca="false">V$779/(1+$G$780)^M$781</f>
        <v>-176.245229009115</v>
      </c>
      <c r="W792" s="67" t="n">
        <f aca="false">W$779/(1+$G$780)^N$781</f>
        <v>-123.217901997806</v>
      </c>
      <c r="X792" s="67" t="n">
        <f aca="false">X$779/(1+$G$780)^O$781</f>
        <v>-92.9462266395004</v>
      </c>
      <c r="Y792" s="67" t="n">
        <f aca="false">Y$779/(1+$G$780)^P$781</f>
        <v>-61.1766392613508</v>
      </c>
      <c r="Z792" s="67" t="n">
        <f aca="false">Z$779/(1+$G$780)^Q$781</f>
        <v>-39.1877273012675</v>
      </c>
      <c r="AA792" s="67" t="n">
        <f aca="false">AA$779/(1+$G$780)^R$781</f>
        <v>-27.2449937335586</v>
      </c>
      <c r="AB792" s="67" t="n">
        <f aca="false">AB$779/(1+$G$780)^S$781</f>
        <v>-19.055119172417</v>
      </c>
      <c r="AC792" s="67" t="n">
        <f aca="false">AC$779/(1+$G$780)^$T$781</f>
        <v>-14.3151536294696</v>
      </c>
      <c r="AD792" s="67" t="n">
        <f aca="false">AD$779/(1+$G$780)^$U$781</f>
        <v>0</v>
      </c>
      <c r="AE792" s="67" t="n">
        <f aca="false">AE$779/(1+$G$780)^$V$781</f>
        <v>0</v>
      </c>
      <c r="AF792" s="67" t="n">
        <f aca="false">AF$779/(1+$G$780)^$W$781</f>
        <v>0</v>
      </c>
      <c r="AG792" s="67" t="n">
        <f aca="false">AG$779/(1+$G$780)^$X$781</f>
        <v>0</v>
      </c>
      <c r="AH792" s="67" t="n">
        <f aca="false">AH$779/(1+$G$780)^$Y$781</f>
        <v>0</v>
      </c>
      <c r="AI792" s="67" t="n">
        <f aca="false">AI$779/(1+$G$780)^$Z$781</f>
        <v>0</v>
      </c>
      <c r="AJ792" s="67" t="n">
        <f aca="false">AJ$779/(1+$G$780)^$AA$781</f>
        <v>0</v>
      </c>
      <c r="AK792" s="67" t="n">
        <f aca="false">AK$779/(1+$G$780)^$AB$781</f>
        <v>0</v>
      </c>
      <c r="AL792" s="67" t="n">
        <f aca="false">AL$779/(1+$G$780)^$AC$781</f>
        <v>0</v>
      </c>
      <c r="AM792" s="67" t="n">
        <f aca="false">AM$779/(1+$G$780)^$AD$781</f>
        <v>0</v>
      </c>
      <c r="AN792" s="67" t="n">
        <f aca="false">AN$779/(1+$G$780)^$AE$781</f>
        <v>0</v>
      </c>
      <c r="AO792" s="67" t="n">
        <f aca="false">AO$779/(1+$G$780)^$AF$781</f>
        <v>0</v>
      </c>
      <c r="AP792" s="67" t="n">
        <f aca="false">AP$779/(1+$G$780)^$AG$781</f>
        <v>0</v>
      </c>
      <c r="AQ792" s="67" t="n">
        <f aca="false">AQ$779/(1+$G$780)^$AH$781</f>
        <v>0</v>
      </c>
    </row>
    <row r="793" customFormat="false" ht="11.25" hidden="false" customHeight="false" outlineLevel="0" collapsed="false">
      <c r="G793" s="311" t="n">
        <f aca="false">+G792+1</f>
        <v>2009</v>
      </c>
      <c r="H793" s="67" t="n">
        <f aca="false">MAX(SUM(I793:AQ793),0)</f>
        <v>0</v>
      </c>
      <c r="S793" s="67" t="n">
        <f aca="false">S$779/(1+$G$780)^I$781</f>
        <v>-407.603161474214</v>
      </c>
      <c r="T793" s="67" t="n">
        <f aca="false">T$779/(1+$G$780)^J$781</f>
        <v>-324.525442306656</v>
      </c>
      <c r="U793" s="67" t="n">
        <f aca="false">U$779/(1+$G$780)^K$781</f>
        <v>-252.583078757846</v>
      </c>
      <c r="V793" s="67" t="n">
        <f aca="false">V$779/(1+$G$780)^L$781</f>
        <v>-193.869751910026</v>
      </c>
      <c r="W793" s="67" t="n">
        <f aca="false">W$779/(1+$G$780)^M$781</f>
        <v>-135.539692197587</v>
      </c>
      <c r="X793" s="67" t="n">
        <f aca="false">X$779/(1+$G$780)^N$781</f>
        <v>-102.24084930345</v>
      </c>
      <c r="Y793" s="67" t="n">
        <f aca="false">Y$779/(1+$G$780)^O$781</f>
        <v>-67.2943031874859</v>
      </c>
      <c r="Z793" s="67" t="n">
        <f aca="false">Z$779/(1+$G$780)^P$781</f>
        <v>-43.1065000313942</v>
      </c>
      <c r="AA793" s="67" t="n">
        <f aca="false">AA$779/(1+$G$780)^Q$781</f>
        <v>-29.9694931069145</v>
      </c>
      <c r="AB793" s="67" t="n">
        <f aca="false">AB$779/(1+$G$780)^R$781</f>
        <v>-20.9606310896587</v>
      </c>
      <c r="AC793" s="67" t="n">
        <f aca="false">AC$779/(1+$G$780)^$S$781</f>
        <v>-15.7466689924165</v>
      </c>
      <c r="AD793" s="67" t="n">
        <f aca="false">AD$779/(1+$G$780)^$T$781</f>
        <v>0</v>
      </c>
      <c r="AE793" s="67" t="n">
        <f aca="false">AE$779/(1+$G$780)^$U$781</f>
        <v>0</v>
      </c>
      <c r="AF793" s="67" t="n">
        <f aca="false">AF$779/(1+$G$780)^$V$781</f>
        <v>0</v>
      </c>
      <c r="AG793" s="67" t="n">
        <f aca="false">AG$779/(1+$G$780)^$W$781</f>
        <v>0</v>
      </c>
      <c r="AH793" s="67" t="n">
        <f aca="false">AH$779/(1+$G$780)^$X$781</f>
        <v>0</v>
      </c>
      <c r="AI793" s="67" t="n">
        <f aca="false">AI$779/(1+$G$780)^$Y$781</f>
        <v>0</v>
      </c>
      <c r="AJ793" s="67" t="n">
        <f aca="false">AJ$779/(1+$G$780)^$Z$781</f>
        <v>0</v>
      </c>
      <c r="AK793" s="67" t="n">
        <f aca="false">AK$779/(1+$G$780)^$AA$781</f>
        <v>0</v>
      </c>
      <c r="AL793" s="67" t="n">
        <f aca="false">AL$779/(1+$G$780)^$AB$781</f>
        <v>0</v>
      </c>
      <c r="AM793" s="67" t="n">
        <f aca="false">AM$779/(1+$G$780)^$AC$781</f>
        <v>0</v>
      </c>
      <c r="AN793" s="67" t="n">
        <f aca="false">AN$779/(1+$G$780)^$AD$781</f>
        <v>0</v>
      </c>
      <c r="AO793" s="67" t="n">
        <f aca="false">AO$779/(1+$G$780)^$AE$781</f>
        <v>0</v>
      </c>
      <c r="AP793" s="67" t="n">
        <f aca="false">AP$779/(1+$G$780)^$AF$781</f>
        <v>0</v>
      </c>
      <c r="AQ793" s="67" t="n">
        <f aca="false">AQ$779/(1+$G$780)^$AG$781</f>
        <v>0</v>
      </c>
    </row>
    <row r="794" customFormat="false" ht="11.25" hidden="false" customHeight="false" outlineLevel="0" collapsed="false">
      <c r="G794" s="311" t="n">
        <f aca="false">+G793+1</f>
        <v>2010</v>
      </c>
      <c r="H794" s="67" t="n">
        <f aca="false">MAX(SUM(I794:AQ794),0)</f>
        <v>0</v>
      </c>
      <c r="T794" s="67" t="n">
        <f aca="false">T$779/(1+$G$780)^I$781</f>
        <v>-348.572614878783</v>
      </c>
      <c r="U794" s="67" t="n">
        <f aca="false">U$779/(1+$G$780)^J$781</f>
        <v>-277.84138663363</v>
      </c>
      <c r="V794" s="67" t="n">
        <f aca="false">V$779/(1+$G$780)^K$781</f>
        <v>-213.256727101029</v>
      </c>
      <c r="W794" s="67" t="n">
        <f aca="false">W$779/(1+$G$780)^L$781</f>
        <v>-149.093661417345</v>
      </c>
      <c r="X794" s="67" t="n">
        <f aca="false">X$779/(1+$G$780)^M$781</f>
        <v>-112.464934233795</v>
      </c>
      <c r="Y794" s="67" t="n">
        <f aca="false">Y$779/(1+$G$780)^N$781</f>
        <v>-74.0237335062345</v>
      </c>
      <c r="Z794" s="67" t="n">
        <f aca="false">Z$779/(1+$G$780)^O$781</f>
        <v>-47.4171500345336</v>
      </c>
      <c r="AA794" s="67" t="n">
        <f aca="false">AA$779/(1+$G$780)^P$781</f>
        <v>-32.9664424176059</v>
      </c>
      <c r="AB794" s="67" t="n">
        <f aca="false">AB$779/(1+$G$780)^Q$781</f>
        <v>-23.0566941986246</v>
      </c>
      <c r="AC794" s="67" t="n">
        <f aca="false">AC$779/(1+$G$780)^$R$781</f>
        <v>-17.3213358916582</v>
      </c>
      <c r="AD794" s="67" t="n">
        <f aca="false">AD$779/(1+$G$780)^$S$781</f>
        <v>0</v>
      </c>
      <c r="AE794" s="67" t="n">
        <f aca="false">AE$779/(1+$G$780)^$T$781</f>
        <v>0</v>
      </c>
      <c r="AF794" s="67" t="n">
        <f aca="false">AF$779/(1+$G$780)^$U$781</f>
        <v>0</v>
      </c>
      <c r="AG794" s="67" t="n">
        <f aca="false">AG$779/(1+$G$780)^$V$781</f>
        <v>0</v>
      </c>
      <c r="AH794" s="67" t="n">
        <f aca="false">AH$779/(1+$G$780)^$W$781</f>
        <v>0</v>
      </c>
      <c r="AI794" s="67" t="n">
        <f aca="false">AI$779/(1+$G$780)^$X$781</f>
        <v>0</v>
      </c>
      <c r="AJ794" s="67" t="n">
        <f aca="false">AJ$779/(1+$G$780)^$Y$781</f>
        <v>0</v>
      </c>
      <c r="AK794" s="67" t="n">
        <f aca="false">AK$779/(1+$G$780)^$Z$781</f>
        <v>0</v>
      </c>
      <c r="AL794" s="67" t="n">
        <f aca="false">AL$779/(1+$G$780)^$AA$781</f>
        <v>0</v>
      </c>
      <c r="AM794" s="67" t="n">
        <f aca="false">AM$779/(1+$G$780)^$AB$781</f>
        <v>0</v>
      </c>
      <c r="AN794" s="67" t="n">
        <f aca="false">AN$779/(1+$G$780)^$AC$781</f>
        <v>0</v>
      </c>
      <c r="AO794" s="67" t="n">
        <f aca="false">AO$779/(1+$G$780)^$AD$781</f>
        <v>0</v>
      </c>
      <c r="AP794" s="67" t="n">
        <f aca="false">AP$779/(1+$G$780)^$AE$781</f>
        <v>0</v>
      </c>
      <c r="AQ794" s="67" t="n">
        <f aca="false">AQ$779/(1+$G$780)^$AF$781</f>
        <v>0</v>
      </c>
    </row>
    <row r="795" customFormat="false" ht="11.25" hidden="false" customHeight="false" outlineLevel="0" collapsed="false">
      <c r="G795" s="311" t="n">
        <f aca="false">+G794+1</f>
        <v>2011</v>
      </c>
      <c r="H795" s="67" t="n">
        <f aca="false">MAX(SUM(I795:AQ795),0)</f>
        <v>0</v>
      </c>
      <c r="U795" s="67" t="n">
        <f aca="false">U$779/(1+$G$780)^I$781</f>
        <v>-298.42929408572</v>
      </c>
      <c r="V795" s="67" t="n">
        <f aca="false">V$779/(1+$G$780)^J$781</f>
        <v>-234.582399811131</v>
      </c>
      <c r="W795" s="67" t="n">
        <f aca="false">W$779/(1+$G$780)^K$781</f>
        <v>-164.00302755908</v>
      </c>
      <c r="X795" s="67" t="n">
        <f aca="false">X$779/(1+$G$780)^L$781</f>
        <v>-123.711427657175</v>
      </c>
      <c r="Y795" s="67" t="n">
        <f aca="false">Y$779/(1+$G$780)^M$781</f>
        <v>-81.4261068568579</v>
      </c>
      <c r="Z795" s="67" t="n">
        <f aca="false">Z$779/(1+$G$780)^N$781</f>
        <v>-52.158865037987</v>
      </c>
      <c r="AA795" s="67" t="n">
        <f aca="false">AA$779/(1+$G$780)^O$781</f>
        <v>-36.2630866593665</v>
      </c>
      <c r="AB795" s="67" t="n">
        <f aca="false">AB$779/(1+$G$780)^P$781</f>
        <v>-25.3623636184871</v>
      </c>
      <c r="AC795" s="67" t="n">
        <f aca="false">AC$779/(1+$G$780)^$Q$781</f>
        <v>-19.053469480824</v>
      </c>
      <c r="AD795" s="67" t="n">
        <f aca="false">AD$779/(1+$G$780)^$R$781</f>
        <v>0</v>
      </c>
      <c r="AE795" s="67" t="n">
        <f aca="false">AE$779/(1+$G$780)^$S$781</f>
        <v>0</v>
      </c>
      <c r="AF795" s="67" t="n">
        <f aca="false">AF$779/(1+$G$780)^$T$781</f>
        <v>0</v>
      </c>
      <c r="AG795" s="67" t="n">
        <f aca="false">AG$779/(1+$G$780)^$U$781</f>
        <v>0</v>
      </c>
      <c r="AH795" s="67" t="n">
        <f aca="false">AH$779/(1+$G$780)^$V$781</f>
        <v>0</v>
      </c>
      <c r="AI795" s="67" t="n">
        <f aca="false">AI$779/(1+$G$780)^$W$781</f>
        <v>0</v>
      </c>
      <c r="AJ795" s="67" t="n">
        <f aca="false">AJ$779/(1+$G$780)^$X$781</f>
        <v>0</v>
      </c>
      <c r="AK795" s="67" t="n">
        <f aca="false">AK$779/(1+$G$780)^$Y$781</f>
        <v>0</v>
      </c>
      <c r="AL795" s="67" t="n">
        <f aca="false">AL$779/(1+$G$780)^$Z$781</f>
        <v>0</v>
      </c>
      <c r="AM795" s="67" t="n">
        <f aca="false">AM$779/(1+$G$780)^$AA$781</f>
        <v>0</v>
      </c>
      <c r="AN795" s="67" t="n">
        <f aca="false">AN$779/(1+$G$780)^$AB$781</f>
        <v>0</v>
      </c>
      <c r="AO795" s="67" t="n">
        <f aca="false">AO$779/(1+$G$780)^$AC$781</f>
        <v>0</v>
      </c>
      <c r="AP795" s="67" t="n">
        <f aca="false">AP$779/(1+$G$780)^$AD$781</f>
        <v>0</v>
      </c>
      <c r="AQ795" s="67" t="n">
        <f aca="false">AQ$779/(1+$G$780)^$AE$781</f>
        <v>0</v>
      </c>
    </row>
    <row r="796" customFormat="false" ht="11.25" hidden="false" customHeight="false" outlineLevel="0" collapsed="false">
      <c r="G796" s="311" t="n">
        <f aca="false">+G795+1</f>
        <v>2012</v>
      </c>
      <c r="H796" s="67" t="n">
        <f aca="false">MAX(SUM(I796:AQ796),0)</f>
        <v>0</v>
      </c>
      <c r="V796" s="67" t="n">
        <f aca="false">V$779/(1+$G$780)^I$781</f>
        <v>-251.964838027829</v>
      </c>
      <c r="W796" s="67" t="n">
        <f aca="false">W$779/(1+$G$780)^J$781</f>
        <v>-180.403330314988</v>
      </c>
      <c r="X796" s="67" t="n">
        <f aca="false">X$779/(1+$G$780)^K$781</f>
        <v>-136.082570422893</v>
      </c>
      <c r="Y796" s="67" t="n">
        <f aca="false">Y$779/(1+$G$780)^L$781</f>
        <v>-89.5687175425437</v>
      </c>
      <c r="Z796" s="67" t="n">
        <f aca="false">Z$779/(1+$G$780)^M$781</f>
        <v>-57.3747515417857</v>
      </c>
      <c r="AA796" s="67" t="n">
        <f aca="false">AA$779/(1+$G$780)^N$781</f>
        <v>-39.8893953253032</v>
      </c>
      <c r="AB796" s="67" t="n">
        <f aca="false">AB$779/(1+$G$780)^O$781</f>
        <v>-27.8985999803358</v>
      </c>
      <c r="AC796" s="67" t="n">
        <f aca="false">AC$779/(1+$G$780)^$P$781</f>
        <v>-20.9588164289064</v>
      </c>
      <c r="AD796" s="67" t="n">
        <f aca="false">AD$779/(1+$G$780)^$Q$781</f>
        <v>0</v>
      </c>
      <c r="AE796" s="67" t="n">
        <f aca="false">AE$779/(1+$G$780)^$R$781</f>
        <v>0</v>
      </c>
      <c r="AF796" s="67" t="n">
        <f aca="false">AF$779/(1+$G$780)^$S$781</f>
        <v>0</v>
      </c>
      <c r="AG796" s="67" t="n">
        <f aca="false">AG$779/(1+$G$780)^$T$781</f>
        <v>0</v>
      </c>
      <c r="AH796" s="67" t="n">
        <f aca="false">AH$779/(1+$G$780)^$U$781</f>
        <v>0</v>
      </c>
      <c r="AI796" s="67" t="n">
        <f aca="false">AI$779/(1+$G$780)^$V$781</f>
        <v>0</v>
      </c>
      <c r="AJ796" s="67" t="n">
        <f aca="false">AJ$779/(1+$G$780)^$W$781</f>
        <v>0</v>
      </c>
      <c r="AK796" s="67" t="n">
        <f aca="false">AK$779/(1+$G$780)^$X$781</f>
        <v>0</v>
      </c>
      <c r="AL796" s="67" t="n">
        <f aca="false">AL$779/(1+$G$780)^$Y$781</f>
        <v>0</v>
      </c>
      <c r="AM796" s="67" t="n">
        <f aca="false">AM$779/(1+$G$780)^$Z$781</f>
        <v>0</v>
      </c>
      <c r="AN796" s="67" t="n">
        <f aca="false">AN$779/(1+$G$780)^$AA$781</f>
        <v>0</v>
      </c>
      <c r="AO796" s="67" t="n">
        <f aca="false">AO$779/(1+$G$780)^$AB$781</f>
        <v>0</v>
      </c>
      <c r="AP796" s="67" t="n">
        <f aca="false">AP$779/(1+$G$780)^$AC$781</f>
        <v>0</v>
      </c>
      <c r="AQ796" s="67" t="n">
        <f aca="false">AQ$779/(1+$G$780)^$AD$781</f>
        <v>0</v>
      </c>
    </row>
    <row r="797" customFormat="false" ht="11.25" hidden="false" customHeight="false" outlineLevel="0" collapsed="false">
      <c r="G797" s="311" t="n">
        <f aca="false">+G796+1</f>
        <v>2013</v>
      </c>
      <c r="H797" s="67" t="n">
        <f aca="false">MAX(SUM(I797:AQ797),0)</f>
        <v>0</v>
      </c>
      <c r="W797" s="67" t="n">
        <f aca="false">W$779/(1+$G$780)^I$781</f>
        <v>-193.771126645026</v>
      </c>
      <c r="X797" s="67" t="n">
        <f aca="false">X$779/(1+$G$780)^J$781</f>
        <v>-149.690827465182</v>
      </c>
      <c r="Y797" s="67" t="n">
        <f aca="false">Y$779/(1+$G$780)^K$781</f>
        <v>-98.5255892967981</v>
      </c>
      <c r="Z797" s="67" t="n">
        <f aca="false">Z$779/(1+$G$780)^L$781</f>
        <v>-63.1122266959643</v>
      </c>
      <c r="AA797" s="67" t="n">
        <f aca="false">AA$779/(1+$G$780)^M$781</f>
        <v>-43.8783348578335</v>
      </c>
      <c r="AB797" s="67" t="n">
        <f aca="false">AB$779/(1+$G$780)^N$781</f>
        <v>-30.6884599783694</v>
      </c>
      <c r="AC797" s="67" t="n">
        <f aca="false">AC$779/(1+$G$780)^$O$781</f>
        <v>-23.0546980717971</v>
      </c>
      <c r="AD797" s="67" t="n">
        <f aca="false">AD$779/(1+$G$780)^$P$781</f>
        <v>0</v>
      </c>
      <c r="AE797" s="67" t="n">
        <f aca="false">AE$779/(1+$G$780)^$Q$781</f>
        <v>0</v>
      </c>
      <c r="AF797" s="67" t="n">
        <f aca="false">AF$779/(1+$G$780)^$R$781</f>
        <v>0</v>
      </c>
      <c r="AG797" s="67" t="n">
        <f aca="false">AG$779/(1+$G$780)^$S$781</f>
        <v>0</v>
      </c>
      <c r="AH797" s="67" t="n">
        <f aca="false">AH$779/(1+$G$780)^$T$781</f>
        <v>0</v>
      </c>
      <c r="AI797" s="67" t="n">
        <f aca="false">AI$779/(1+$G$780)^$U$781</f>
        <v>0</v>
      </c>
      <c r="AJ797" s="67" t="n">
        <f aca="false">AJ$779/(1+$G$780)^$V$781</f>
        <v>0</v>
      </c>
      <c r="AK797" s="67" t="n">
        <f aca="false">AK$779/(1+$G$780)^$W$781</f>
        <v>0</v>
      </c>
      <c r="AL797" s="67" t="n">
        <f aca="false">AL$779/(1+$G$780)^$X$781</f>
        <v>0</v>
      </c>
      <c r="AM797" s="67" t="n">
        <f aca="false">AM$779/(1+$G$780)^$Y$781</f>
        <v>0</v>
      </c>
      <c r="AN797" s="67" t="n">
        <f aca="false">AN$779/(1+$G$780)^$Z$781</f>
        <v>0</v>
      </c>
      <c r="AO797" s="67" t="n">
        <f aca="false">AO$779/(1+$G$780)^$AA$781</f>
        <v>0</v>
      </c>
      <c r="AP797" s="67" t="n">
        <f aca="false">AP$779/(1+$G$780)^$AB$781</f>
        <v>0</v>
      </c>
      <c r="AQ797" s="67" t="n">
        <f aca="false">AQ$779/(1+$G$780)^$AC$781</f>
        <v>0</v>
      </c>
    </row>
    <row r="798" customFormat="false" ht="11.25" hidden="false" customHeight="false" outlineLevel="0" collapsed="false">
      <c r="G798" s="311" t="n">
        <f aca="false">+G797+1</f>
        <v>2014</v>
      </c>
      <c r="H798" s="67" t="n">
        <f aca="false">MAX(SUM(I798:AQ798),0)</f>
        <v>0</v>
      </c>
      <c r="X798" s="67" t="n">
        <f aca="false">X$779/(1+$G$780)^I$781</f>
        <v>-160.782842731949</v>
      </c>
      <c r="Y798" s="67" t="n">
        <f aca="false">Y$779/(1+$G$780)^J$781</f>
        <v>-108.378148226478</v>
      </c>
      <c r="Z798" s="67" t="n">
        <f aca="false">Z$779/(1+$G$780)^K$781</f>
        <v>-69.4234493655607</v>
      </c>
      <c r="AA798" s="67" t="n">
        <f aca="false">AA$779/(1+$G$780)^L$781</f>
        <v>-48.2661683436168</v>
      </c>
      <c r="AB798" s="67" t="n">
        <f aca="false">AB$779/(1+$G$780)^M$781</f>
        <v>-33.7573059762063</v>
      </c>
      <c r="AC798" s="67" t="n">
        <f aca="false">AC$779/(1+$G$780)^$N$781</f>
        <v>-25.3601678789768</v>
      </c>
      <c r="AD798" s="67" t="n">
        <f aca="false">AD$779/(1+$G$780)^$O$781</f>
        <v>0</v>
      </c>
      <c r="AE798" s="67" t="n">
        <f aca="false">AE$779/(1+$G$780)^$P$781</f>
        <v>0</v>
      </c>
      <c r="AF798" s="67" t="n">
        <f aca="false">AF$779/(1+$G$780)^$Q$781</f>
        <v>0</v>
      </c>
      <c r="AG798" s="67" t="n">
        <f aca="false">AG$779/(1+$G$780)^$R$781</f>
        <v>0</v>
      </c>
      <c r="AH798" s="67" t="n">
        <f aca="false">AH$779/(1+$G$780)^$S$781</f>
        <v>0</v>
      </c>
      <c r="AI798" s="67" t="n">
        <f aca="false">AI$779/(1+$G$780)^$T$781</f>
        <v>0</v>
      </c>
      <c r="AJ798" s="67" t="n">
        <f aca="false">AJ$779/(1+$G$780)^$U$781</f>
        <v>0</v>
      </c>
      <c r="AK798" s="67" t="n">
        <f aca="false">AK$779/(1+$G$780)^$V$781</f>
        <v>0</v>
      </c>
      <c r="AL798" s="67" t="n">
        <f aca="false">AL$779/(1+$G$780)^$W$781</f>
        <v>0</v>
      </c>
      <c r="AM798" s="67" t="n">
        <f aca="false">AM$779/(1+$G$780)^$X$781</f>
        <v>0</v>
      </c>
      <c r="AN798" s="67" t="n">
        <f aca="false">AN$779/(1+$G$780)^$Y$781</f>
        <v>0</v>
      </c>
      <c r="AO798" s="67" t="n">
        <f aca="false">AO$779/(1+$G$780)^$Z$781</f>
        <v>0</v>
      </c>
      <c r="AP798" s="67" t="n">
        <f aca="false">AP$779/(1+$G$780)^$AA$781</f>
        <v>0</v>
      </c>
      <c r="AQ798" s="67" t="n">
        <f aca="false">AQ$779/(1+$G$780)^$AB$781</f>
        <v>0</v>
      </c>
    </row>
    <row r="799" customFormat="false" ht="11.25" hidden="false" customHeight="false" outlineLevel="0" collapsed="false">
      <c r="G799" s="311" t="n">
        <f aca="false">+G798+1</f>
        <v>2015</v>
      </c>
      <c r="H799" s="67" t="n">
        <f aca="false">MAX(SUM(I799:AQ799),0)</f>
        <v>0</v>
      </c>
      <c r="Y799" s="67" t="n">
        <f aca="false">Y$779/(1+$G$780)^I$781</f>
        <v>-116.408914674019</v>
      </c>
      <c r="Z799" s="67" t="n">
        <f aca="false">Z$779/(1+$G$780)^J$781</f>
        <v>-76.3657943021168</v>
      </c>
      <c r="AA799" s="67" t="n">
        <f aca="false">AA$779/(1+$G$780)^K$781</f>
        <v>-53.0927851779785</v>
      </c>
      <c r="AB799" s="67" t="n">
        <f aca="false">AB$779/(1+$G$780)^L$781</f>
        <v>-37.133036573827</v>
      </c>
      <c r="AC799" s="67" t="n">
        <f aca="false">AC$779/(1+$G$780)^$M$781</f>
        <v>-27.8961846668745</v>
      </c>
      <c r="AD799" s="67" t="n">
        <f aca="false">AD$779/(1+$G$780)^$N$781</f>
        <v>0</v>
      </c>
      <c r="AE799" s="67" t="n">
        <f aca="false">AE$779/(1+$G$780)^$O$781</f>
        <v>0</v>
      </c>
      <c r="AF799" s="67" t="n">
        <f aca="false">AF$779/(1+$G$780)^$P$781</f>
        <v>0</v>
      </c>
      <c r="AG799" s="67" t="n">
        <f aca="false">AG$779/(1+$G$780)^$Q$781</f>
        <v>0</v>
      </c>
      <c r="AH799" s="67" t="n">
        <f aca="false">AH$779/(1+$G$780)^$R$781</f>
        <v>0</v>
      </c>
      <c r="AI799" s="67" t="n">
        <f aca="false">AI$779/(1+$G$780)^$S$781</f>
        <v>0</v>
      </c>
      <c r="AJ799" s="67" t="n">
        <f aca="false">AJ$779/(1+$G$780)^$T$781</f>
        <v>0</v>
      </c>
      <c r="AK799" s="67" t="n">
        <f aca="false">AK$779/(1+$G$780)^$U$781</f>
        <v>0</v>
      </c>
      <c r="AL799" s="67" t="n">
        <f aca="false">AL$779/(1+$G$780)^$V$781</f>
        <v>0</v>
      </c>
      <c r="AM799" s="67" t="n">
        <f aca="false">AM$779/(1+$G$780)^$W$781</f>
        <v>0</v>
      </c>
      <c r="AN799" s="67" t="n">
        <f aca="false">AN$779/(1+$G$780)^$X$781</f>
        <v>0</v>
      </c>
      <c r="AO799" s="67" t="n">
        <f aca="false">AO$779/(1+$G$780)^$Y$781</f>
        <v>0</v>
      </c>
      <c r="AP799" s="67" t="n">
        <f aca="false">AP$779/(1+$G$780)^$Z$781</f>
        <v>0</v>
      </c>
      <c r="AQ799" s="67" t="n">
        <f aca="false">AQ$779/(1+$G$780)^$AA$781</f>
        <v>0</v>
      </c>
    </row>
    <row r="800" customFormat="false" ht="11.25" hidden="false" customHeight="false" outlineLevel="0" collapsed="false">
      <c r="G800" s="311" t="n">
        <f aca="false">+G799+1</f>
        <v>2016</v>
      </c>
      <c r="H800" s="67" t="n">
        <f aca="false">MAX(SUM(I800:AQ800),0)</f>
        <v>0</v>
      </c>
      <c r="Z800" s="67" t="n">
        <f aca="false">Z$779/(1+$G$780)^I$781</f>
        <v>-82.02446137345</v>
      </c>
      <c r="AA800" s="67" t="n">
        <f aca="false">AA$779/(1+$G$780)^J$781</f>
        <v>-58.4020636957764</v>
      </c>
      <c r="AB800" s="67" t="n">
        <f aca="false">AB$779/(1+$G$780)^K$781</f>
        <v>-40.8463402312097</v>
      </c>
      <c r="AC800" s="67" t="n">
        <f aca="false">AC$779/(1+$G$780)^$L$781</f>
        <v>-30.6858031335619</v>
      </c>
      <c r="AD800" s="67" t="n">
        <f aca="false">AD$779/(1+$G$780)^$M$781</f>
        <v>0</v>
      </c>
      <c r="AE800" s="67" t="n">
        <f aca="false">AE$779/(1+$G$780)^$N$781</f>
        <v>0</v>
      </c>
      <c r="AF800" s="67" t="n">
        <f aca="false">AF$779/(1+$G$780)^$O$781</f>
        <v>0</v>
      </c>
      <c r="AG800" s="67" t="n">
        <f aca="false">AG$779/(1+$G$780)^$P$781</f>
        <v>0</v>
      </c>
      <c r="AH800" s="67" t="n">
        <f aca="false">AH$779/(1+$G$780)^$Q$781</f>
        <v>0</v>
      </c>
      <c r="AI800" s="67" t="n">
        <f aca="false">AI$779/(1+$G$780)^$R$781</f>
        <v>0</v>
      </c>
      <c r="AJ800" s="67" t="n">
        <f aca="false">AJ$779/(1+$G$780)^$S$781</f>
        <v>0</v>
      </c>
      <c r="AK800" s="67" t="n">
        <f aca="false">AK$779/(1+$G$780)^$T$781</f>
        <v>0</v>
      </c>
      <c r="AL800" s="67" t="n">
        <f aca="false">AL$779/(1+$G$780)^$U$781</f>
        <v>0</v>
      </c>
      <c r="AM800" s="67" t="n">
        <f aca="false">AM$779/(1+$G$780)^$V$781</f>
        <v>0</v>
      </c>
      <c r="AN800" s="67" t="n">
        <f aca="false">AN$779/(1+$G$780)^$W$781</f>
        <v>0</v>
      </c>
      <c r="AO800" s="67" t="n">
        <f aca="false">AO$779/(1+$G$780)^$X$781</f>
        <v>0</v>
      </c>
      <c r="AP800" s="67" t="n">
        <f aca="false">AP$779/(1+$G$780)^$Y$781</f>
        <v>0</v>
      </c>
      <c r="AQ800" s="67" t="n">
        <f aca="false">AQ$779/(1+$G$780)^$Z$781</f>
        <v>0</v>
      </c>
    </row>
    <row r="801" customFormat="false" ht="11.25" hidden="false" customHeight="false" outlineLevel="0" collapsed="false">
      <c r="G801" s="311" t="n">
        <f aca="false">+G800+1</f>
        <v>2017</v>
      </c>
      <c r="H801" s="67" t="n">
        <f aca="false">MAX(SUM(I801:AQ801),0)</f>
        <v>0</v>
      </c>
      <c r="AA801" s="67" t="n">
        <f aca="false">AA$779/(1+$G$780)^I$781</f>
        <v>-62.7296273354049</v>
      </c>
      <c r="AB801" s="67" t="n">
        <f aca="false">AB$779/(1+$G$780)^J$781</f>
        <v>-44.9309742543306</v>
      </c>
      <c r="AC801" s="67" t="n">
        <f aca="false">AC$779/(1+$G$780)^$K$781</f>
        <v>-33.7543834469181</v>
      </c>
      <c r="AD801" s="67" t="n">
        <f aca="false">AD$779/(1+$G$780)^$L$781</f>
        <v>0</v>
      </c>
      <c r="AE801" s="67" t="n">
        <f aca="false">AE$779/(1+$G$780)^$M$781</f>
        <v>0</v>
      </c>
      <c r="AF801" s="67" t="n">
        <f aca="false">AF$779/(1+$G$780)^$N$781</f>
        <v>0</v>
      </c>
      <c r="AG801" s="67" t="n">
        <f aca="false">AG$779/(1+$G$780)^$O$781</f>
        <v>0</v>
      </c>
      <c r="AH801" s="67" t="n">
        <f aca="false">AH$779/(1+$G$780)^$P$781</f>
        <v>0</v>
      </c>
      <c r="AI801" s="67" t="n">
        <f aca="false">AI$779/(1+$G$780)^$Q$781</f>
        <v>0</v>
      </c>
      <c r="AJ801" s="67" t="n">
        <f aca="false">AJ$779/(1+$G$780)^$R$781</f>
        <v>0</v>
      </c>
      <c r="AK801" s="67" t="n">
        <f aca="false">AK$779/(1+$G$780)^$S$781</f>
        <v>0</v>
      </c>
      <c r="AL801" s="67" t="n">
        <f aca="false">AL$779/(1+$G$780)^$T$781</f>
        <v>0</v>
      </c>
      <c r="AM801" s="67" t="n">
        <f aca="false">AM$779/(1+$G$780)^$U$781</f>
        <v>0</v>
      </c>
      <c r="AN801" s="67" t="n">
        <f aca="false">AN$779/(1+$G$780)^$V$781</f>
        <v>0</v>
      </c>
      <c r="AO801" s="67" t="n">
        <f aca="false">AO$779/(1+$G$780)^$W$781</f>
        <v>0</v>
      </c>
      <c r="AP801" s="67" t="n">
        <f aca="false">AP$779/(1+$G$780)^$X$781</f>
        <v>0</v>
      </c>
      <c r="AQ801" s="67" t="n">
        <f aca="false">AQ$779/(1+$G$780)^$Y$781</f>
        <v>0</v>
      </c>
    </row>
    <row r="802" customFormat="false" ht="11.25" hidden="false" customHeight="false" outlineLevel="0" collapsed="false">
      <c r="G802" s="311" t="n">
        <f aca="false">+G801+1</f>
        <v>2018</v>
      </c>
      <c r="H802" s="67" t="n">
        <f aca="false">MAX(SUM(I802:AQ802),0)</f>
        <v>0</v>
      </c>
      <c r="AB802" s="67" t="n">
        <f aca="false">AB$779/(1+$G$780)^I$781</f>
        <v>-48.2603369201604</v>
      </c>
      <c r="AC802" s="67" t="n">
        <f aca="false">AC$779/(1+$G$780)^$J$781</f>
        <v>-37.1298217916099</v>
      </c>
      <c r="AD802" s="67" t="n">
        <f aca="false">AD$779/(1+$G$780)^$K$781</f>
        <v>0</v>
      </c>
      <c r="AE802" s="67" t="n">
        <f aca="false">AE$779/(1+$G$780)^$L$781</f>
        <v>0</v>
      </c>
      <c r="AF802" s="67" t="n">
        <f aca="false">AF$779/(1+$G$780)^$M$781</f>
        <v>0</v>
      </c>
      <c r="AG802" s="67" t="n">
        <f aca="false">AG$779/(1+$G$780)^$N$781</f>
        <v>0</v>
      </c>
      <c r="AH802" s="67" t="n">
        <f aca="false">AH$779/(1+$G$780)^$O$781</f>
        <v>0</v>
      </c>
      <c r="AI802" s="67" t="n">
        <f aca="false">AI$779/(1+$G$780)^$P$781</f>
        <v>0</v>
      </c>
      <c r="AJ802" s="67" t="n">
        <f aca="false">AJ$779/(1+$G$780)^$Q$781</f>
        <v>0</v>
      </c>
      <c r="AK802" s="67" t="n">
        <f aca="false">AK$779/(1+$G$780)^$R$781</f>
        <v>0</v>
      </c>
      <c r="AL802" s="67" t="n">
        <f aca="false">AL$779/(1+$G$780)^$S$781</f>
        <v>0</v>
      </c>
      <c r="AM802" s="67" t="n">
        <f aca="false">AM$779/(1+$G$780)^$T$781</f>
        <v>0</v>
      </c>
      <c r="AN802" s="67" t="n">
        <f aca="false">AN$779/(1+$G$780)^$U$781</f>
        <v>0</v>
      </c>
      <c r="AO802" s="67" t="n">
        <f aca="false">AO$779/(1+$G$780)^$V$781</f>
        <v>0</v>
      </c>
      <c r="AP802" s="67" t="n">
        <f aca="false">AP$779/(1+$G$780)^$W$781</f>
        <v>0</v>
      </c>
      <c r="AQ802" s="67" t="n">
        <f aca="false">AQ$779/(1+$G$780)^$X$781</f>
        <v>0</v>
      </c>
    </row>
    <row r="803" customFormat="false" ht="11.25" hidden="false" customHeight="false" outlineLevel="0" collapsed="false">
      <c r="G803" s="311" t="n">
        <f aca="false">+G802+1</f>
        <v>2019</v>
      </c>
      <c r="H803" s="67" t="n">
        <f aca="false">MAX(SUM(I803:AQ803),0)</f>
        <v>0</v>
      </c>
      <c r="AC803" s="67" t="n">
        <f aca="false">AC$779/(1+$G$780)^$I$781</f>
        <v>-39.8811229711071</v>
      </c>
      <c r="AD803" s="67" t="n">
        <f aca="false">AD$779/(1+$G$780)^$J$781</f>
        <v>0</v>
      </c>
      <c r="AE803" s="67" t="n">
        <f aca="false">AE$779/(1+$G$780)^$K$781</f>
        <v>0</v>
      </c>
      <c r="AF803" s="67" t="n">
        <f aca="false">AF$779/(1+$G$780)^$L$781</f>
        <v>0</v>
      </c>
      <c r="AG803" s="67" t="n">
        <f aca="false">AG$779/(1+$G$780)^$M$781</f>
        <v>0</v>
      </c>
      <c r="AH803" s="67" t="n">
        <f aca="false">AH$779/(1+$G$780)^$N$781</f>
        <v>0</v>
      </c>
      <c r="AI803" s="67" t="n">
        <f aca="false">AI$779/(1+$G$780)^$O$781</f>
        <v>0</v>
      </c>
      <c r="AJ803" s="67" t="n">
        <f aca="false">AJ$779/(1+$G$780)^$P$781</f>
        <v>0</v>
      </c>
      <c r="AK803" s="67" t="n">
        <f aca="false">AK$779/(1+$G$780)^$Q$781</f>
        <v>0</v>
      </c>
      <c r="AL803" s="67" t="n">
        <f aca="false">AL$779/(1+$G$780)^$R$781</f>
        <v>0</v>
      </c>
      <c r="AM803" s="67" t="n">
        <f aca="false">AM$779/(1+$G$780)^$S$781</f>
        <v>0</v>
      </c>
      <c r="AN803" s="67" t="n">
        <f aca="false">AN$779/(1+$G$780)^$T$781</f>
        <v>0</v>
      </c>
      <c r="AO803" s="67" t="n">
        <f aca="false">AO$779/(1+$G$780)^$U$781</f>
        <v>0</v>
      </c>
      <c r="AP803" s="67" t="n">
        <f aca="false">AP$779/(1+$G$780)^$V$781</f>
        <v>0</v>
      </c>
      <c r="AQ803" s="67" t="n">
        <f aca="false">AQ$779/(1+$G$780)^$W$781</f>
        <v>0</v>
      </c>
    </row>
    <row r="804" customFormat="false" ht="11.25" hidden="false" customHeight="false" outlineLevel="0" collapsed="false">
      <c r="G804" s="311" t="n">
        <f aca="false">+G803+1</f>
        <v>2020</v>
      </c>
      <c r="H804" s="67" t="n">
        <f aca="false">MAX(SUM(I804:AQ804),0)</f>
        <v>0</v>
      </c>
      <c r="AD804" s="67" t="n">
        <f aca="false">AD$779/(1+$G$780)^$I$781</f>
        <v>0</v>
      </c>
      <c r="AE804" s="67" t="n">
        <f aca="false">AE$779/(1+$G$780)^$J$781</f>
        <v>0</v>
      </c>
      <c r="AF804" s="67" t="n">
        <f aca="false">AF$779/(1+$G$780)^$K$781</f>
        <v>0</v>
      </c>
      <c r="AG804" s="67" t="n">
        <f aca="false">AG$779/(1+$G$780)^$L$781</f>
        <v>0</v>
      </c>
      <c r="AH804" s="67" t="n">
        <f aca="false">AH$779/(1+$G$780)^$M$781</f>
        <v>0</v>
      </c>
      <c r="AI804" s="67" t="n">
        <f aca="false">AI$779/(1+$G$780)^$N$781</f>
        <v>0</v>
      </c>
      <c r="AJ804" s="67" t="n">
        <f aca="false">AJ$779/(1+$G$780)^$O$781</f>
        <v>0</v>
      </c>
      <c r="AK804" s="67" t="n">
        <f aca="false">AK$779/(1+$G$780)^$P$781</f>
        <v>0</v>
      </c>
      <c r="AL804" s="67" t="n">
        <f aca="false">AL$779/(1+$G$780)^$Q$781</f>
        <v>0</v>
      </c>
      <c r="AM804" s="67" t="n">
        <f aca="false">AM$779/(1+$G$780)^$R$781</f>
        <v>0</v>
      </c>
      <c r="AN804" s="67" t="n">
        <f aca="false">AN$779/(1+$G$780)^$S$781</f>
        <v>0</v>
      </c>
      <c r="AO804" s="67" t="n">
        <f aca="false">AO$779/(1+$G$780)^$T$781</f>
        <v>0</v>
      </c>
      <c r="AP804" s="67" t="n">
        <f aca="false">AP$779/(1+$G$780)^$U$781</f>
        <v>0</v>
      </c>
      <c r="AQ804" s="67" t="n">
        <f aca="false">AQ$779/(1+$G$780)^$V$781</f>
        <v>0</v>
      </c>
    </row>
    <row r="805" customFormat="false" ht="11.25" hidden="false" customHeight="false" outlineLevel="0" collapsed="false">
      <c r="G805" s="311" t="n">
        <f aca="false">+G804+1</f>
        <v>2021</v>
      </c>
      <c r="H805" s="67" t="n">
        <f aca="false">MAX(SUM(I805:AQ805),0)</f>
        <v>0</v>
      </c>
      <c r="AE805" s="67" t="n">
        <f aca="false">AE$779/(1+$G$780)^$I$781</f>
        <v>0</v>
      </c>
      <c r="AF805" s="67" t="n">
        <f aca="false">AF$779/(1+$G$780)^$J$781</f>
        <v>0</v>
      </c>
      <c r="AG805" s="67" t="n">
        <f aca="false">AG$779/(1+$G$780)^$K$781</f>
        <v>0</v>
      </c>
      <c r="AH805" s="67" t="n">
        <f aca="false">AH$779/(1+$G$780)^$L$781</f>
        <v>0</v>
      </c>
      <c r="AI805" s="67" t="n">
        <f aca="false">AI$779/(1+$G$780)^$M$781</f>
        <v>0</v>
      </c>
      <c r="AJ805" s="67" t="n">
        <f aca="false">AJ$779/(1+$G$780)^$N$781</f>
        <v>0</v>
      </c>
      <c r="AK805" s="67" t="n">
        <f aca="false">AK$779/(1+$G$780)^$O$781</f>
        <v>0</v>
      </c>
      <c r="AL805" s="67" t="n">
        <f aca="false">AL$779/(1+$G$780)^$P$781</f>
        <v>0</v>
      </c>
      <c r="AM805" s="67" t="n">
        <f aca="false">AM$779/(1+$G$780)^$Q$781</f>
        <v>0</v>
      </c>
      <c r="AN805" s="67" t="n">
        <f aca="false">AN$779/(1+$G$780)^$R$781</f>
        <v>0</v>
      </c>
      <c r="AO805" s="67" t="n">
        <f aca="false">AO$779/(1+$G$780)^$S$781</f>
        <v>0</v>
      </c>
      <c r="AP805" s="67" t="n">
        <f aca="false">AP$779/(1+$G$780)^$T$781</f>
        <v>0</v>
      </c>
      <c r="AQ805" s="67" t="n">
        <f aca="false">AQ$779/(1+$G$780)^$U$781</f>
        <v>0</v>
      </c>
    </row>
    <row r="806" customFormat="false" ht="11.25" hidden="false" customHeight="false" outlineLevel="0" collapsed="false">
      <c r="G806" s="311" t="n">
        <f aca="false">+G805+1</f>
        <v>2022</v>
      </c>
      <c r="H806" s="67" t="n">
        <f aca="false">MAX(SUM(I806:AQ806),0)</f>
        <v>0</v>
      </c>
      <c r="AF806" s="67" t="n">
        <f aca="false">AF$779/(1+$G$780)^$I$781</f>
        <v>0</v>
      </c>
      <c r="AG806" s="67" t="n">
        <f aca="false">AG$779/(1+$G$780)^$J$781</f>
        <v>0</v>
      </c>
      <c r="AH806" s="67" t="n">
        <f aca="false">AH$779/(1+$G$780)^$K$781</f>
        <v>0</v>
      </c>
      <c r="AI806" s="67" t="n">
        <f aca="false">AI$779/(1+$G$780)^$L$781</f>
        <v>0</v>
      </c>
      <c r="AJ806" s="67" t="n">
        <f aca="false">AJ$779/(1+$G$780)^$M$781</f>
        <v>0</v>
      </c>
      <c r="AK806" s="67" t="n">
        <f aca="false">AK$779/(1+$G$780)^$N$781</f>
        <v>0</v>
      </c>
      <c r="AL806" s="67" t="n">
        <f aca="false">AL$779/(1+$G$780)^$O$781</f>
        <v>0</v>
      </c>
      <c r="AM806" s="67" t="n">
        <f aca="false">AM$779/(1+$G$780)^$P$781</f>
        <v>0</v>
      </c>
      <c r="AN806" s="67" t="n">
        <f aca="false">AN$779/(1+$G$780)^$Q$781</f>
        <v>0</v>
      </c>
      <c r="AO806" s="67" t="n">
        <f aca="false">AO$779/(1+$G$780)^$R$781</f>
        <v>0</v>
      </c>
      <c r="AP806" s="67" t="n">
        <f aca="false">AP$779/(1+$G$780)^$S$781</f>
        <v>0</v>
      </c>
      <c r="AQ806" s="67" t="n">
        <f aca="false">AQ$779/(1+$G$780)^$T$781</f>
        <v>0</v>
      </c>
    </row>
    <row r="807" customFormat="false" ht="11.25" hidden="false" customHeight="false" outlineLevel="0" collapsed="false">
      <c r="G807" s="311" t="n">
        <f aca="false">+G806+1</f>
        <v>2023</v>
      </c>
      <c r="H807" s="67" t="n">
        <f aca="false">MAX(SUM(I807:AQ807),0)</f>
        <v>0</v>
      </c>
      <c r="AG807" s="67" t="n">
        <f aca="false">AG$779/(1+$G$780)^$I$781</f>
        <v>0</v>
      </c>
      <c r="AH807" s="67" t="n">
        <f aca="false">AH$779/(1+$G$780)^$J$781</f>
        <v>0</v>
      </c>
      <c r="AI807" s="67" t="n">
        <f aca="false">AI$779/(1+$G$780)^$K$781</f>
        <v>0</v>
      </c>
      <c r="AJ807" s="67" t="n">
        <f aca="false">AJ$779/(1+$G$780)^$L$781</f>
        <v>0</v>
      </c>
      <c r="AK807" s="67" t="n">
        <f aca="false">AK$779/(1+$G$780)^$M$781</f>
        <v>0</v>
      </c>
      <c r="AL807" s="67" t="n">
        <f aca="false">AL$779/(1+$G$780)^$N$781</f>
        <v>0</v>
      </c>
      <c r="AM807" s="67" t="n">
        <f aca="false">AM$779/(1+$G$780)^$O$781</f>
        <v>0</v>
      </c>
      <c r="AN807" s="67" t="n">
        <f aca="false">AN$779/(1+$G$780)^$P$781</f>
        <v>0</v>
      </c>
      <c r="AO807" s="67" t="n">
        <f aca="false">AO$779/(1+$G$780)^$Q$781</f>
        <v>0</v>
      </c>
      <c r="AP807" s="67" t="n">
        <f aca="false">AP$779/(1+$G$780)^$R$781</f>
        <v>0</v>
      </c>
      <c r="AQ807" s="67" t="n">
        <f aca="false">AQ$779/(1+$G$780)^$S$781</f>
        <v>0</v>
      </c>
    </row>
    <row r="808" customFormat="false" ht="11.25" hidden="false" customHeight="false" outlineLevel="0" collapsed="false">
      <c r="G808" s="311" t="n">
        <f aca="false">+G807+1</f>
        <v>2024</v>
      </c>
      <c r="H808" s="67" t="n">
        <f aca="false">MAX(SUM(I808:AQ808),0)</f>
        <v>0</v>
      </c>
      <c r="AH808" s="67" t="n">
        <f aca="false">AH$779/(1+$G$780)^$I$781</f>
        <v>0</v>
      </c>
      <c r="AI808" s="67" t="n">
        <f aca="false">AI$779/(1+$G$780)^$J$781</f>
        <v>0</v>
      </c>
      <c r="AJ808" s="67" t="n">
        <f aca="false">AJ$779/(1+$G$780)^$K$781</f>
        <v>0</v>
      </c>
      <c r="AK808" s="67" t="n">
        <f aca="false">AK$779/(1+$G$780)^$L$781</f>
        <v>0</v>
      </c>
      <c r="AL808" s="67" t="n">
        <f aca="false">AL$779/(1+$G$780)^$M$781</f>
        <v>0</v>
      </c>
      <c r="AM808" s="67" t="n">
        <f aca="false">AM$779/(1+$G$780)^$N$781</f>
        <v>0</v>
      </c>
      <c r="AN808" s="67" t="n">
        <f aca="false">AN$779/(1+$G$780)^$O$781</f>
        <v>0</v>
      </c>
      <c r="AO808" s="67" t="n">
        <f aca="false">AO$779/(1+$G$780)^$P$781</f>
        <v>0</v>
      </c>
      <c r="AP808" s="67" t="n">
        <f aca="false">AP$779/(1+$G$780)^$Q$781</f>
        <v>0</v>
      </c>
      <c r="AQ808" s="67" t="n">
        <f aca="false">AQ$779/(1+$G$780)^$R$781</f>
        <v>0</v>
      </c>
    </row>
    <row r="809" customFormat="false" ht="11.25" hidden="false" customHeight="false" outlineLevel="0" collapsed="false">
      <c r="G809" s="311" t="n">
        <f aca="false">+G808+1</f>
        <v>2025</v>
      </c>
      <c r="H809" s="67" t="n">
        <f aca="false">MAX(SUM(I809:AQ809),0)</f>
        <v>0</v>
      </c>
      <c r="AI809" s="67" t="n">
        <f aca="false">AI$779/(1+$G$780)^$I$781</f>
        <v>0</v>
      </c>
      <c r="AJ809" s="67" t="n">
        <f aca="false">AJ$779/(1+$G$780)^$J$781</f>
        <v>0</v>
      </c>
      <c r="AK809" s="67" t="n">
        <f aca="false">AK$779/(1+$G$780)^$K$781</f>
        <v>0</v>
      </c>
      <c r="AL809" s="67" t="n">
        <f aca="false">AL$779/(1+$G$780)^$L$781</f>
        <v>0</v>
      </c>
      <c r="AM809" s="67" t="n">
        <f aca="false">AM$779/(1+$G$780)^$M$781</f>
        <v>0</v>
      </c>
      <c r="AN809" s="67" t="n">
        <f aca="false">AN$779/(1+$G$780)^$N$781</f>
        <v>0</v>
      </c>
      <c r="AO809" s="67" t="n">
        <f aca="false">AO$779/(1+$G$780)^$O$781</f>
        <v>0</v>
      </c>
      <c r="AP809" s="67" t="n">
        <f aca="false">AP$779/(1+$G$780)^$P$781</f>
        <v>0</v>
      </c>
      <c r="AQ809" s="67" t="n">
        <f aca="false">AQ$779/(1+$G$780)^$Q$781</f>
        <v>0</v>
      </c>
    </row>
    <row r="810" customFormat="false" ht="11.25" hidden="false" customHeight="false" outlineLevel="0" collapsed="false">
      <c r="G810" s="311" t="n">
        <f aca="false">+G809+1</f>
        <v>2026</v>
      </c>
      <c r="H810" s="67" t="n">
        <f aca="false">MAX(SUM(I810:AQ810),0)</f>
        <v>0</v>
      </c>
      <c r="AJ810" s="67" t="n">
        <f aca="false">AJ$779/(1+$G$780)^$I$781</f>
        <v>0</v>
      </c>
      <c r="AK810" s="67" t="n">
        <f aca="false">AK$779/(1+$G$780)^$J$781</f>
        <v>0</v>
      </c>
      <c r="AL810" s="67" t="n">
        <f aca="false">AL$779/(1+$G$780)^$K$781</f>
        <v>0</v>
      </c>
      <c r="AM810" s="67" t="n">
        <f aca="false">AM$779/(1+$G$780)^$L$781</f>
        <v>0</v>
      </c>
      <c r="AN810" s="67" t="n">
        <f aca="false">AN$779/(1+$G$780)^$M$781</f>
        <v>0</v>
      </c>
      <c r="AO810" s="67" t="n">
        <f aca="false">AO$779/(1+$G$780)^$N$781</f>
        <v>0</v>
      </c>
      <c r="AP810" s="67" t="n">
        <f aca="false">AP$779/(1+$G$780)^$O$781</f>
        <v>0</v>
      </c>
      <c r="AQ810" s="67" t="n">
        <f aca="false">AQ$779/(1+$G$780)^$P$781</f>
        <v>0</v>
      </c>
    </row>
    <row r="811" customFormat="false" ht="11.25" hidden="false" customHeight="false" outlineLevel="0" collapsed="false">
      <c r="G811" s="311" t="n">
        <f aca="false">+G810+1</f>
        <v>2027</v>
      </c>
      <c r="H811" s="67" t="n">
        <f aca="false">MAX(SUM(I811:AQ811),0)</f>
        <v>0</v>
      </c>
      <c r="AK811" s="67" t="n">
        <f aca="false">AK$779/(1+$G$780)^$I$781</f>
        <v>0</v>
      </c>
      <c r="AL811" s="67" t="n">
        <f aca="false">AL$779/(1+$G$780)^$J$781</f>
        <v>0</v>
      </c>
      <c r="AM811" s="67" t="n">
        <f aca="false">AM$779/(1+$G$780)^$K$781</f>
        <v>0</v>
      </c>
      <c r="AN811" s="67" t="n">
        <f aca="false">AN$779/(1+$G$780)^$L$781</f>
        <v>0</v>
      </c>
      <c r="AO811" s="67" t="n">
        <f aca="false">AO$779/(1+$G$780)^$M$781</f>
        <v>0</v>
      </c>
      <c r="AP811" s="67" t="n">
        <f aca="false">AP$779/(1+$G$780)^$N$781</f>
        <v>0</v>
      </c>
      <c r="AQ811" s="67" t="n">
        <f aca="false">AQ$779/(1+$G$780)^$O$781</f>
        <v>0</v>
      </c>
    </row>
    <row r="812" customFormat="false" ht="11.25" hidden="false" customHeight="false" outlineLevel="0" collapsed="false">
      <c r="G812" s="311" t="n">
        <f aca="false">+G811+1</f>
        <v>2028</v>
      </c>
      <c r="H812" s="67" t="n">
        <f aca="false">MAX(SUM(I812:AQ812),0)</f>
        <v>0</v>
      </c>
      <c r="AL812" s="67" t="n">
        <f aca="false">AL$779/(1+$G$780)^$I$781</f>
        <v>0</v>
      </c>
      <c r="AM812" s="67" t="n">
        <f aca="false">AM$779/(1+$G$780)^$J$781</f>
        <v>0</v>
      </c>
      <c r="AN812" s="67" t="n">
        <f aca="false">AN$779/(1+$G$780)^$K$781</f>
        <v>0</v>
      </c>
      <c r="AO812" s="67" t="n">
        <f aca="false">AO$779/(1+$G$780)^$L$781</f>
        <v>0</v>
      </c>
      <c r="AP812" s="67" t="n">
        <f aca="false">AP$779/(1+$G$780)^$M$781</f>
        <v>0</v>
      </c>
      <c r="AQ812" s="67" t="n">
        <f aca="false">AQ$779/(1+$G$780)^$N$781</f>
        <v>0</v>
      </c>
    </row>
    <row r="813" customFormat="false" ht="11.25" hidden="false" customHeight="false" outlineLevel="0" collapsed="false">
      <c r="G813" s="311" t="n">
        <f aca="false">+G812+1</f>
        <v>2029</v>
      </c>
      <c r="H813" s="67" t="n">
        <f aca="false">MAX(SUM(I813:AQ813),0)</f>
        <v>0</v>
      </c>
      <c r="AM813" s="67" t="n">
        <f aca="false">AM$779/(1+$G$780)^$I$781</f>
        <v>0</v>
      </c>
      <c r="AN813" s="67" t="n">
        <f aca="false">AN$779/(1+$G$780)^$J$781</f>
        <v>0</v>
      </c>
      <c r="AO813" s="67" t="n">
        <f aca="false">AO$779/(1+$G$780)^$K$781</f>
        <v>0</v>
      </c>
      <c r="AP813" s="67" t="n">
        <f aca="false">AP$779/(1+$G$780)^$L$781</f>
        <v>0</v>
      </c>
      <c r="AQ813" s="67" t="n">
        <f aca="false">AQ$779/(1+$G$780)^$M$781</f>
        <v>0</v>
      </c>
    </row>
    <row r="814" customFormat="false" ht="11.25" hidden="false" customHeight="false" outlineLevel="0" collapsed="false">
      <c r="G814" s="311" t="n">
        <f aca="false">+G813+1</f>
        <v>2030</v>
      </c>
      <c r="H814" s="67" t="n">
        <f aca="false">MAX(SUM(I814:AQ814),0)</f>
        <v>0</v>
      </c>
      <c r="AN814" s="67" t="n">
        <f aca="false">AN$779/(1+$G$780)^$I$781</f>
        <v>0</v>
      </c>
      <c r="AO814" s="67" t="n">
        <f aca="false">AO$779/(1+$G$780)^$J$781</f>
        <v>0</v>
      </c>
      <c r="AP814" s="67" t="n">
        <f aca="false">AP$779/(1+$G$780)^$K$781</f>
        <v>0</v>
      </c>
      <c r="AQ814" s="67" t="n">
        <f aca="false">AQ$779/(1+$G$780)^$L$781</f>
        <v>0</v>
      </c>
    </row>
    <row r="815" customFormat="false" ht="11.25" hidden="false" customHeight="false" outlineLevel="0" collapsed="false">
      <c r="G815" s="311" t="n">
        <f aca="false">+G814+1</f>
        <v>2031</v>
      </c>
      <c r="H815" s="67" t="n">
        <f aca="false">MAX(SUM(I815:AQ815),0)</f>
        <v>0</v>
      </c>
      <c r="AO815" s="67" t="n">
        <f aca="false">AO$779/(1+$G$780)^$I$781</f>
        <v>0</v>
      </c>
      <c r="AP815" s="67" t="n">
        <f aca="false">AP$779/(1+$G$780)^$J$781</f>
        <v>0</v>
      </c>
      <c r="AQ815" s="67" t="n">
        <f aca="false">AQ$779/(1+$G$780)^$K$781</f>
        <v>0</v>
      </c>
    </row>
    <row r="816" customFormat="false" ht="11.25" hidden="false" customHeight="false" outlineLevel="0" collapsed="false">
      <c r="G816" s="311" t="n">
        <f aca="false">+G815+1</f>
        <v>2032</v>
      </c>
      <c r="H816" s="67" t="n">
        <f aca="false">MAX(SUM(I816:AQ816),0)</f>
        <v>0</v>
      </c>
      <c r="AP816" s="67" t="n">
        <f aca="false">AP$779/(1+$G$780)^$I$781</f>
        <v>0</v>
      </c>
      <c r="AQ816" s="67" t="n">
        <f aca="false">AQ$779/(1+$G$780)^$J$781</f>
        <v>0</v>
      </c>
    </row>
    <row r="817" customFormat="false" ht="11.25" hidden="false" customHeight="false" outlineLevel="0" collapsed="false">
      <c r="G817" s="311" t="n">
        <f aca="false">+G816+1</f>
        <v>2033</v>
      </c>
      <c r="H817" s="67" t="n">
        <f aca="false">MAX(SUM(I817:AQ817),0)</f>
        <v>0</v>
      </c>
      <c r="AQ817" s="67" t="n">
        <f aca="false">AQ$779/(1+$G$780)^$I$781</f>
        <v>0</v>
      </c>
    </row>
    <row r="818" customFormat="false" ht="11.25" hidden="false" customHeight="false" outlineLevel="0" collapsed="false">
      <c r="G818" s="153" t="s">
        <v>151</v>
      </c>
      <c r="I818" s="67" t="n">
        <f aca="false" t="array" ref="I818:AQ818">TRANSPOSE(H783:H817)</f>
        <v>0</v>
      </c>
      <c r="J818" s="67" t="n">
        <v>0</v>
      </c>
      <c r="K818" s="67" t="n">
        <v>0</v>
      </c>
      <c r="L818" s="67" t="n">
        <v>0</v>
      </c>
      <c r="M818" s="67" t="n">
        <v>0</v>
      </c>
      <c r="N818" s="67" t="n">
        <v>0</v>
      </c>
      <c r="O818" s="67" t="n">
        <v>0</v>
      </c>
      <c r="P818" s="67" t="n">
        <v>0</v>
      </c>
      <c r="Q818" s="67" t="n">
        <v>0</v>
      </c>
      <c r="R818" s="67" t="n">
        <v>0</v>
      </c>
      <c r="S818" s="67" t="n">
        <v>0</v>
      </c>
      <c r="T818" s="67" t="n">
        <v>0</v>
      </c>
      <c r="U818" s="67" t="n">
        <v>0</v>
      </c>
      <c r="V818" s="67" t="n">
        <v>0</v>
      </c>
      <c r="W818" s="67" t="n">
        <v>0</v>
      </c>
      <c r="X818" s="67" t="n">
        <v>0</v>
      </c>
      <c r="Y818" s="67" t="n">
        <v>0</v>
      </c>
      <c r="Z818" s="67" t="n">
        <v>0</v>
      </c>
      <c r="AA818" s="67" t="n">
        <v>0</v>
      </c>
      <c r="AB818" s="67" t="n">
        <v>0</v>
      </c>
      <c r="AC818" s="67" t="n">
        <v>0</v>
      </c>
      <c r="AD818" s="67" t="n">
        <v>0</v>
      </c>
      <c r="AE818" s="67" t="n">
        <v>0</v>
      </c>
      <c r="AF818" s="67" t="n">
        <v>0</v>
      </c>
      <c r="AG818" s="67" t="n">
        <v>0</v>
      </c>
      <c r="AH818" s="67" t="n">
        <v>0</v>
      </c>
      <c r="AI818" s="67" t="n">
        <v>0</v>
      </c>
      <c r="AJ818" s="67" t="n">
        <v>0</v>
      </c>
      <c r="AK818" s="67" t="n">
        <v>0</v>
      </c>
      <c r="AL818" s="67" t="n">
        <v>0</v>
      </c>
      <c r="AM818" s="67" t="n">
        <v>0</v>
      </c>
      <c r="AN818" s="67" t="n">
        <v>0</v>
      </c>
      <c r="AO818" s="67" t="n">
        <v>0</v>
      </c>
      <c r="AP818" s="67" t="n">
        <v>0</v>
      </c>
      <c r="AQ818" s="67" t="n">
        <v>0</v>
      </c>
    </row>
    <row r="819" customFormat="false" ht="11.25" hidden="false" customHeight="false" outlineLevel="0" collapsed="false">
      <c r="G819" s="312" t="s">
        <v>578</v>
      </c>
      <c r="I819" s="67" t="e">
        <f aca="false">+GC!I343</f>
        <v>#N/A</v>
      </c>
      <c r="J819" s="67" t="e">
        <f aca="false">+GC!J343</f>
        <v>#N/A</v>
      </c>
      <c r="K819" s="67" t="e">
        <f aca="false">+GC!K343</f>
        <v>#N/A</v>
      </c>
      <c r="L819" s="67" t="e">
        <f aca="false">+GC!L343</f>
        <v>#N/A</v>
      </c>
      <c r="M819" s="67" t="e">
        <f aca="false">+GC!M343</f>
        <v>#N/A</v>
      </c>
      <c r="N819" s="67" t="e">
        <f aca="false">+GC!N343</f>
        <v>#N/A</v>
      </c>
      <c r="O819" s="67" t="e">
        <f aca="false">+GC!O343</f>
        <v>#N/A</v>
      </c>
      <c r="P819" s="67" t="e">
        <f aca="false">+GC!P343</f>
        <v>#N/A</v>
      </c>
      <c r="Q819" s="67" t="e">
        <f aca="false">+GC!Q343</f>
        <v>#N/A</v>
      </c>
      <c r="R819" s="67" t="e">
        <f aca="false">+GC!R343</f>
        <v>#N/A</v>
      </c>
      <c r="S819" s="67" t="e">
        <f aca="false">+GC!S343</f>
        <v>#N/A</v>
      </c>
      <c r="T819" s="67" t="e">
        <f aca="false">+GC!T343</f>
        <v>#N/A</v>
      </c>
      <c r="U819" s="67" t="e">
        <f aca="false">+GC!U343</f>
        <v>#N/A</v>
      </c>
      <c r="V819" s="67" t="e">
        <f aca="false">+GC!V343</f>
        <v>#N/A</v>
      </c>
      <c r="W819" s="67" t="e">
        <f aca="false">+GC!W343</f>
        <v>#N/A</v>
      </c>
      <c r="X819" s="67" t="e">
        <f aca="false">+GC!X343</f>
        <v>#N/A</v>
      </c>
      <c r="Y819" s="67" t="e">
        <f aca="false">+GC!Y343</f>
        <v>#N/A</v>
      </c>
      <c r="Z819" s="67" t="e">
        <f aca="false">+GC!Z343</f>
        <v>#N/A</v>
      </c>
      <c r="AA819" s="67" t="e">
        <f aca="false">+GC!AA343</f>
        <v>#N/A</v>
      </c>
      <c r="AB819" s="67" t="e">
        <f aca="false">+GC!AB343</f>
        <v>#N/A</v>
      </c>
      <c r="AC819" s="67" t="e">
        <f aca="false">+GC!AC343</f>
        <v>#N/A</v>
      </c>
      <c r="AD819" s="67" t="n">
        <f aca="false">+GC!AD343</f>
        <v>0</v>
      </c>
      <c r="AE819" s="67" t="n">
        <f aca="false">+GC!AE343</f>
        <v>0</v>
      </c>
      <c r="AF819" s="67" t="n">
        <f aca="false">+GC!AF343</f>
        <v>0</v>
      </c>
      <c r="AG819" s="67" t="n">
        <f aca="false">+GC!AG343</f>
        <v>0</v>
      </c>
      <c r="AH819" s="67" t="n">
        <f aca="false">+GC!AH343</f>
        <v>0</v>
      </c>
      <c r="AI819" s="67" t="n">
        <f aca="false">+GC!AI343</f>
        <v>0</v>
      </c>
      <c r="AJ819" s="67" t="n">
        <f aca="false">+GC!AJ343</f>
        <v>0</v>
      </c>
      <c r="AK819" s="67" t="n">
        <f aca="false">+GC!AK343</f>
        <v>0</v>
      </c>
      <c r="AL819" s="67" t="n">
        <f aca="false">+GC!AL343</f>
        <v>0</v>
      </c>
      <c r="AM819" s="67" t="n">
        <f aca="false">+GC!AM343</f>
        <v>0</v>
      </c>
      <c r="AN819" s="67" t="n">
        <f aca="false">+GC!AN343</f>
        <v>0</v>
      </c>
      <c r="AO819" s="67" t="n">
        <f aca="false">+GC!AO343</f>
        <v>0</v>
      </c>
      <c r="AP819" s="67" t="n">
        <f aca="false">+GC!AP343</f>
        <v>0</v>
      </c>
      <c r="AQ819" s="67" t="n">
        <f aca="false">+GC!AQ343</f>
        <v>0</v>
      </c>
    </row>
    <row r="820" customFormat="false" ht="12" hidden="false" customHeight="false" outlineLevel="0" collapsed="false">
      <c r="G820" s="4" t="s">
        <v>341</v>
      </c>
      <c r="I820" s="313" t="e">
        <f aca="false">+I819+I818</f>
        <v>#N/A</v>
      </c>
      <c r="J820" s="313" t="e">
        <f aca="false">+J819+J818</f>
        <v>#N/A</v>
      </c>
      <c r="K820" s="313" t="e">
        <f aca="false">+K819+K818</f>
        <v>#N/A</v>
      </c>
      <c r="L820" s="313" t="e">
        <f aca="false">+L819+L818</f>
        <v>#N/A</v>
      </c>
      <c r="M820" s="313" t="e">
        <f aca="false">+M819+M818</f>
        <v>#N/A</v>
      </c>
      <c r="N820" s="313" t="e">
        <f aca="false">+N819+N818</f>
        <v>#N/A</v>
      </c>
      <c r="O820" s="313" t="e">
        <f aca="false">+O819+O818</f>
        <v>#N/A</v>
      </c>
      <c r="P820" s="313" t="e">
        <f aca="false">+P819+P818</f>
        <v>#N/A</v>
      </c>
      <c r="Q820" s="313" t="e">
        <f aca="false">+Q819+Q818</f>
        <v>#N/A</v>
      </c>
      <c r="R820" s="313" t="e">
        <f aca="false">+R819+R818</f>
        <v>#N/A</v>
      </c>
      <c r="S820" s="313" t="e">
        <f aca="false">+S819+S818</f>
        <v>#N/A</v>
      </c>
      <c r="T820" s="313" t="e">
        <f aca="false">+T819+T818</f>
        <v>#N/A</v>
      </c>
      <c r="U820" s="313" t="e">
        <f aca="false">+U819+U818</f>
        <v>#N/A</v>
      </c>
      <c r="V820" s="313" t="e">
        <f aca="false">+V819+V818</f>
        <v>#N/A</v>
      </c>
      <c r="W820" s="313" t="e">
        <f aca="false">+W819+W818</f>
        <v>#N/A</v>
      </c>
      <c r="X820" s="313" t="e">
        <f aca="false">+X819+X818</f>
        <v>#N/A</v>
      </c>
      <c r="Y820" s="313" t="e">
        <f aca="false">+Y819+Y818</f>
        <v>#N/A</v>
      </c>
      <c r="Z820" s="313" t="e">
        <f aca="false">+Z819+Z818</f>
        <v>#N/A</v>
      </c>
      <c r="AA820" s="313" t="e">
        <f aca="false">+AA819+AA818</f>
        <v>#N/A</v>
      </c>
      <c r="AB820" s="313" t="e">
        <f aca="false">+AB819+AB818</f>
        <v>#N/A</v>
      </c>
      <c r="AC820" s="313" t="e">
        <f aca="false">+AC819+AC818</f>
        <v>#N/A</v>
      </c>
      <c r="AD820" s="313" t="n">
        <f aca="false">+AD819+AD818</f>
        <v>0</v>
      </c>
      <c r="AE820" s="313" t="n">
        <f aca="false">+AE819+AE818</f>
        <v>0</v>
      </c>
      <c r="AF820" s="313" t="n">
        <f aca="false">+AF819+AF818</f>
        <v>0</v>
      </c>
      <c r="AG820" s="313" t="n">
        <f aca="false">+AG819+AG818</f>
        <v>0</v>
      </c>
      <c r="AH820" s="313" t="n">
        <f aca="false">+AH819+AH818</f>
        <v>0</v>
      </c>
      <c r="AI820" s="313" t="n">
        <f aca="false">+AI819+AI818</f>
        <v>0</v>
      </c>
      <c r="AJ820" s="313" t="n">
        <f aca="false">+AJ819+AJ818</f>
        <v>0</v>
      </c>
      <c r="AK820" s="313" t="n">
        <f aca="false">+AK819+AK818</f>
        <v>0</v>
      </c>
      <c r="AL820" s="313" t="n">
        <f aca="false">+AL819+AL818</f>
        <v>0</v>
      </c>
      <c r="AM820" s="313" t="n">
        <f aca="false">+AM819+AM818</f>
        <v>0</v>
      </c>
      <c r="AN820" s="313" t="n">
        <f aca="false">+AN819+AN818</f>
        <v>0</v>
      </c>
      <c r="AO820" s="313" t="n">
        <f aca="false">+AO819+AO818</f>
        <v>0</v>
      </c>
      <c r="AP820" s="313" t="n">
        <f aca="false">+AP819+AP818</f>
        <v>0</v>
      </c>
      <c r="AQ820" s="313" t="n">
        <f aca="false">+AQ819+AQ818</f>
        <v>0</v>
      </c>
    </row>
    <row r="821" customFormat="false" ht="12" hidden="false" customHeight="false" outlineLevel="0" collapsed="false"/>
    <row r="822" customFormat="false" ht="12" hidden="false" customHeight="false" outlineLevel="0" collapsed="false">
      <c r="A822" s="105"/>
      <c r="B822" s="105"/>
      <c r="C822" s="105"/>
      <c r="D822" s="105"/>
      <c r="E822" s="105"/>
      <c r="F822" s="105"/>
      <c r="G822" s="105"/>
      <c r="H822" s="105"/>
      <c r="I822" s="105"/>
      <c r="J822" s="105"/>
      <c r="K822" s="105"/>
      <c r="L822" s="105"/>
      <c r="M822" s="105"/>
      <c r="N822" s="105"/>
      <c r="O822" s="105"/>
      <c r="P822" s="105"/>
      <c r="Q822" s="105"/>
      <c r="R822" s="105"/>
      <c r="S822" s="105"/>
      <c r="T822" s="105"/>
      <c r="U822" s="105"/>
      <c r="V822" s="105"/>
      <c r="W822" s="105"/>
      <c r="X822" s="105"/>
      <c r="Y822" s="105"/>
      <c r="Z822" s="105"/>
      <c r="AA822" s="105"/>
      <c r="AB822" s="105"/>
      <c r="AC822" s="105"/>
    </row>
    <row r="823" customFormat="false" ht="12" hidden="false" customHeight="false" outlineLevel="0" collapsed="false"/>
    <row r="824" customFormat="false" ht="11.25" hidden="false" customHeight="false" outlineLevel="0" collapsed="false">
      <c r="A824" s="4" t="s">
        <v>579</v>
      </c>
      <c r="E824" s="43" t="s">
        <v>580</v>
      </c>
      <c r="G824" s="102" t="n">
        <v>2000</v>
      </c>
    </row>
    <row r="825" customFormat="false" ht="11.25" hidden="false" customHeight="false" outlineLevel="0" collapsed="false">
      <c r="E825" s="43" t="s">
        <v>581</v>
      </c>
      <c r="I825" s="314" t="n">
        <v>1</v>
      </c>
      <c r="J825" s="314" t="n">
        <v>2</v>
      </c>
      <c r="K825" s="314" t="n">
        <v>3</v>
      </c>
      <c r="L825" s="314" t="n">
        <v>4</v>
      </c>
      <c r="M825" s="314" t="n">
        <v>5</v>
      </c>
      <c r="N825" s="314" t="n">
        <v>6</v>
      </c>
      <c r="O825" s="314" t="n">
        <v>7</v>
      </c>
      <c r="P825" s="314" t="n">
        <v>8</v>
      </c>
      <c r="Q825" s="314" t="n">
        <v>9</v>
      </c>
      <c r="R825" s="314" t="n">
        <v>10</v>
      </c>
      <c r="S825" s="314" t="n">
        <v>11</v>
      </c>
      <c r="T825" s="314" t="n">
        <v>12</v>
      </c>
      <c r="U825" s="314" t="n">
        <v>13</v>
      </c>
      <c r="V825" s="314" t="n">
        <v>14</v>
      </c>
      <c r="W825" s="314" t="n">
        <v>15</v>
      </c>
      <c r="X825" s="314" t="n">
        <v>16</v>
      </c>
      <c r="Y825" s="314" t="n">
        <v>17</v>
      </c>
      <c r="Z825" s="314" t="n">
        <v>18</v>
      </c>
      <c r="AA825" s="314" t="n">
        <v>19</v>
      </c>
      <c r="AB825" s="314" t="n">
        <v>20</v>
      </c>
      <c r="AC825" s="314" t="n">
        <v>21</v>
      </c>
    </row>
    <row r="826" customFormat="false" ht="11.25" hidden="false" customHeight="false" outlineLevel="0" collapsed="false">
      <c r="E826" s="43" t="s">
        <v>582</v>
      </c>
      <c r="G826" s="315" t="n">
        <v>0</v>
      </c>
      <c r="I826" s="43" t="s">
        <v>583</v>
      </c>
    </row>
    <row r="829" customFormat="false" ht="12" hidden="false" customHeight="false" outlineLevel="0" collapsed="false">
      <c r="A829" s="105"/>
      <c r="B829" s="105"/>
      <c r="C829" s="105"/>
      <c r="D829" s="105"/>
      <c r="E829" s="105"/>
      <c r="F829" s="105"/>
      <c r="G829" s="105"/>
      <c r="H829" s="105"/>
      <c r="I829" s="105"/>
      <c r="J829" s="105"/>
      <c r="K829" s="105"/>
      <c r="L829" s="105"/>
      <c r="M829" s="105"/>
      <c r="N829" s="105"/>
      <c r="O829" s="105"/>
      <c r="P829" s="105"/>
      <c r="Q829" s="105"/>
      <c r="R829" s="105"/>
      <c r="S829" s="105"/>
      <c r="T829" s="105"/>
      <c r="U829" s="105"/>
      <c r="V829" s="105"/>
      <c r="W829" s="105"/>
      <c r="X829" s="105"/>
      <c r="Y829" s="105"/>
      <c r="Z829" s="105"/>
      <c r="AA829" s="105"/>
      <c r="AB829" s="105"/>
      <c r="AC829" s="105"/>
    </row>
    <row r="830" customFormat="false" ht="12" hidden="false" customHeight="false" outlineLevel="0" collapsed="false">
      <c r="A830" s="314"/>
      <c r="B830" s="314"/>
      <c r="C830" s="314"/>
      <c r="D830" s="314"/>
      <c r="E830" s="314"/>
      <c r="F830" s="316"/>
      <c r="G830" s="314"/>
      <c r="H830" s="314"/>
      <c r="I830" s="314"/>
      <c r="J830" s="314"/>
      <c r="K830" s="314"/>
      <c r="L830" s="314"/>
      <c r="M830" s="314"/>
      <c r="N830" s="314"/>
      <c r="O830" s="314"/>
      <c r="P830" s="314"/>
      <c r="Q830" s="314"/>
      <c r="R830" s="314"/>
      <c r="S830" s="314"/>
      <c r="T830" s="314"/>
      <c r="U830" s="314"/>
      <c r="V830" s="314"/>
      <c r="W830" s="314"/>
      <c r="X830" s="314"/>
      <c r="Y830" s="314"/>
      <c r="Z830" s="314"/>
      <c r="AA830" s="314"/>
      <c r="AB830" s="314"/>
      <c r="AC830" s="314"/>
    </row>
    <row r="831" customFormat="false" ht="11.25" hidden="false" customHeight="false" outlineLevel="0" collapsed="false">
      <c r="A831" s="317" t="s">
        <v>342</v>
      </c>
      <c r="B831" s="314"/>
      <c r="C831" s="314"/>
      <c r="D831" s="314"/>
      <c r="E831" s="314"/>
      <c r="F831" s="314"/>
      <c r="G831" s="314"/>
      <c r="H831" s="314"/>
      <c r="I831" s="314"/>
      <c r="J831" s="314"/>
      <c r="K831" s="314"/>
      <c r="L831" s="314"/>
      <c r="M831" s="314"/>
      <c r="N831" s="314"/>
      <c r="O831" s="314"/>
      <c r="P831" s="314"/>
      <c r="Q831" s="314"/>
      <c r="R831" s="314"/>
      <c r="S831" s="314"/>
      <c r="T831" s="314"/>
      <c r="U831" s="314"/>
      <c r="V831" s="314"/>
      <c r="W831" s="314"/>
      <c r="X831" s="314"/>
      <c r="Y831" s="314"/>
      <c r="Z831" s="314"/>
      <c r="AA831" s="314"/>
      <c r="AB831" s="314"/>
      <c r="AC831" s="314"/>
    </row>
    <row r="832" customFormat="false" ht="11.25" hidden="false" customHeight="false" outlineLevel="0" collapsed="false">
      <c r="A832" s="314"/>
      <c r="B832" s="316" t="s">
        <v>343</v>
      </c>
      <c r="C832" s="314"/>
      <c r="D832" s="314"/>
      <c r="E832" s="314" t="n">
        <f aca="false">+E718</f>
        <v>0</v>
      </c>
      <c r="F832" s="314" t="n">
        <f aca="false">+F718</f>
        <v>0</v>
      </c>
      <c r="G832" s="314" t="n">
        <f aca="false">+G718</f>
        <v>0</v>
      </c>
      <c r="H832" s="314" t="n">
        <f aca="false">+H718</f>
        <v>0</v>
      </c>
      <c r="I832" s="314" t="n">
        <f aca="false">IF($A$2=TRUE(),+I718+GC!I348,+I718)</f>
        <v>-515.877565773314</v>
      </c>
      <c r="J832" s="314" t="n">
        <f aca="false">IF($A$2=TRUE(),+J718+GC!J348,+J718)</f>
        <v>-1162.54350654663</v>
      </c>
      <c r="K832" s="314" t="n">
        <f aca="false">IF($A$2=TRUE(),+K718+GC!K348,+K718)</f>
        <v>-1085.45950212042</v>
      </c>
      <c r="L832" s="314" t="n">
        <f aca="false">IF($A$2=TRUE(),+L718+GC!L348,+L718)</f>
        <v>-1027.41601890568</v>
      </c>
      <c r="M832" s="314" t="n">
        <f aca="false">IF($A$2=TRUE(),+M718+GC!M348,+M718)</f>
        <v>-963.056539564255</v>
      </c>
      <c r="N832" s="314" t="n">
        <f aca="false">IF($A$2=TRUE(),+N718+GC!N348,+N718)</f>
        <v>-883.410575541736</v>
      </c>
      <c r="O832" s="314" t="n">
        <f aca="false">IF($A$2=TRUE(),+O718+GC!O348,+O718)</f>
        <v>-772.930292818879</v>
      </c>
      <c r="P832" s="314" t="n">
        <f aca="false">IF($A$2=TRUE(),+P718+GC!P348,+P718)</f>
        <v>-663.985585352189</v>
      </c>
      <c r="Q832" s="314" t="n">
        <f aca="false">IF($A$2=TRUE(),+Q718+GC!Q348,+Q718)</f>
        <v>-575.554802621274</v>
      </c>
      <c r="R832" s="314" t="n">
        <f aca="false">IF($A$2=TRUE(),+R718+GC!R348,+R718)</f>
        <v>-490.942886245924</v>
      </c>
      <c r="S832" s="314" t="n">
        <f aca="false">IF($A$2=TRUE(),+S718+GC!S348,+S718)</f>
        <v>-415.810547775154</v>
      </c>
      <c r="T832" s="314" t="n">
        <f aca="false">IF($A$2=TRUE(),+T718+GC!T348,+T718)</f>
        <v>-349.231262706301</v>
      </c>
      <c r="U832" s="314" t="n">
        <f aca="false">IF($A$2=TRUE(),+U718+GC!U348,+U718)</f>
        <v>-292.675688653077</v>
      </c>
      <c r="V832" s="314" t="n">
        <f aca="false">IF($A$2=TRUE(),+V718+GC!V348,+V718)</f>
        <v>-240.26942708397</v>
      </c>
      <c r="W832" s="314" t="n">
        <f aca="false">IF($A$2=TRUE(),+W718+GC!W348,+W718)</f>
        <v>-197.011743773664</v>
      </c>
      <c r="X832" s="314" t="n">
        <f aca="false">IF($A$2=TRUE(),+X718+GC!X348,+X718)</f>
        <v>-159.804967193502</v>
      </c>
      <c r="Y832" s="314" t="n">
        <f aca="false">IF($A$2=TRUE(),+Y718+GC!Y348,+Y718)</f>
        <v>-125.942690582738</v>
      </c>
      <c r="Z832" s="314" t="n">
        <f aca="false">IF($A$2=TRUE(),+Z718+GC!Z348,+Z718)</f>
        <v>-92.5136274585116</v>
      </c>
      <c r="AA832" s="314" t="n">
        <f aca="false">IF($A$2=TRUE(),+AA718+GC!AA348,+AA718)</f>
        <v>-70.7513987503899</v>
      </c>
      <c r="AB832" s="314" t="n">
        <f aca="false">IF($A$2=TRUE(),+AB718+GC!AB348,+AB718)</f>
        <v>-54.431797004145</v>
      </c>
      <c r="AC832" s="314" t="n">
        <f aca="false">IF($A$2=TRUE(),+AC718+GC!AC348,+AC718)</f>
        <v>-44.9810616418182</v>
      </c>
    </row>
    <row r="833" customFormat="false" ht="11.25" hidden="false" customHeight="false" outlineLevel="0" collapsed="false">
      <c r="A833" s="314"/>
      <c r="B833" s="314" t="s">
        <v>344</v>
      </c>
      <c r="C833" s="314"/>
      <c r="D833" s="314"/>
      <c r="E833" s="314" t="n">
        <f aca="false">+E745</f>
        <v>0</v>
      </c>
      <c r="F833" s="314" t="n">
        <f aca="false">+F745</f>
        <v>0</v>
      </c>
      <c r="G833" s="314" t="n">
        <f aca="false">+G745</f>
        <v>0</v>
      </c>
      <c r="H833" s="314" t="n">
        <f aca="false">+H745</f>
        <v>0</v>
      </c>
      <c r="I833" s="314" t="n">
        <f aca="false">IF($A$2=TRUE(),+I745+GC!I349,+I745)</f>
        <v>-37.4717360511448</v>
      </c>
      <c r="J833" s="314" t="n">
        <f aca="false">IF($A$2=TRUE(),+J745+GC!J349,+J745)</f>
        <v>-63.3560026022897</v>
      </c>
      <c r="K833" s="314" t="n">
        <f aca="false">IF($A$2=TRUE(),+K745+GC!K349,+K745)</f>
        <v>-56.2642741950787</v>
      </c>
      <c r="L833" s="314" t="n">
        <f aca="false">IF($A$2=TRUE(),+L745+GC!L349,+L745)</f>
        <v>-50.9242737393223</v>
      </c>
      <c r="M833" s="314" t="n">
        <f aca="false">IF($A$2=TRUE(),+M745+GC!M349,+M745)</f>
        <v>-45.0032016399115</v>
      </c>
      <c r="N833" s="314" t="n">
        <f aca="false">IF($A$2=TRUE(),+N745+GC!N349,+N745)</f>
        <v>-37.6757729498397</v>
      </c>
      <c r="O833" s="314" t="n">
        <f aca="false">IF($A$2=TRUE(),+O745+GC!O349,+O745)</f>
        <v>-27.5115869393369</v>
      </c>
      <c r="P833" s="314" t="n">
        <f aca="false">IF($A$2=TRUE(),+P745+GC!P349,+P745)</f>
        <v>-17.4886738524014</v>
      </c>
      <c r="Q833" s="314" t="n">
        <f aca="false">IF($A$2=TRUE(),+Q745+GC!Q349,+Q745)</f>
        <v>2.88895815884282</v>
      </c>
      <c r="R833" s="314" t="n">
        <f aca="false">IF($A$2=TRUE(),+R745+GC!R349,+R745)</f>
        <v>13.128254465375</v>
      </c>
      <c r="S833" s="314" t="n">
        <f aca="false">IF($A$2=TRUE(),+S745+GC!S349,+S745)</f>
        <v>1.62142960468582</v>
      </c>
      <c r="T833" s="314" t="n">
        <f aca="false">IF($A$2=TRUE(),+T745+GC!T349,+T745)</f>
        <v>7.74672383102027</v>
      </c>
      <c r="U833" s="314" t="n">
        <f aca="false">IF($A$2=TRUE(),+U745+GC!U349,+U745)</f>
        <v>12.949836643917</v>
      </c>
      <c r="V833" s="314" t="n">
        <f aca="false">IF($A$2=TRUE(),+V745+GC!V349,+V745)</f>
        <v>17.7712127082748</v>
      </c>
      <c r="W833" s="314" t="n">
        <f aca="false">IF($A$2=TRUE(),+W745+GC!W349,+W745)</f>
        <v>1.43191957282293</v>
      </c>
      <c r="X833" s="314" t="n">
        <f aca="false">IF($A$2=TRUE(),+X745+GC!X349,+X745)</f>
        <v>4.85494301819779</v>
      </c>
      <c r="Y833" s="314" t="n">
        <f aca="false">IF($A$2=TRUE(),+Y745+GC!Y349,+Y745)</f>
        <v>-6.72672753361186</v>
      </c>
      <c r="Z833" s="314" t="n">
        <f aca="false">IF($A$2=TRUE(),+Z745+GC!Z349,+Z745)</f>
        <v>-8.51125372618306</v>
      </c>
      <c r="AA833" s="314" t="n">
        <f aca="false">IF($A$2=TRUE(),+AA745+GC!AA349,+AA745)</f>
        <v>-6.50912868503587</v>
      </c>
      <c r="AB833" s="314" t="n">
        <f aca="false">IF($A$2=TRUE(),+AB745+GC!AB349,+AB745)</f>
        <v>-5.00772532438134</v>
      </c>
      <c r="AC833" s="314" t="n">
        <f aca="false">IF($A$2=TRUE(),+AC745+GC!AC349,+AC745)</f>
        <v>-4.13825767104727</v>
      </c>
    </row>
    <row r="834" customFormat="false" ht="11.25" hidden="false" customHeight="false" outlineLevel="0" collapsed="false">
      <c r="A834" s="314"/>
      <c r="B834" s="316" t="s">
        <v>345</v>
      </c>
      <c r="C834" s="314"/>
      <c r="D834" s="314"/>
      <c r="E834" s="314" t="n">
        <f aca="false">+E766</f>
        <v>0</v>
      </c>
      <c r="F834" s="314" t="n">
        <f aca="false">+F766</f>
        <v>0</v>
      </c>
      <c r="G834" s="314" t="n">
        <f aca="false">+G766</f>
        <v>0</v>
      </c>
      <c r="H834" s="314" t="n">
        <f aca="false">+H766</f>
        <v>0</v>
      </c>
      <c r="I834" s="314" t="n">
        <f aca="false">IF($A$2=TRUE(),+I766+GC!I350,+I766)</f>
        <v>0</v>
      </c>
      <c r="J834" s="314" t="n">
        <f aca="false">IF($A$2=TRUE(),+J766+GC!J350,+J766)</f>
        <v>0</v>
      </c>
      <c r="K834" s="314" t="n">
        <f aca="false">IF($A$2=TRUE(),+K766+GC!K350,+K766)</f>
        <v>0</v>
      </c>
      <c r="L834" s="314" t="n">
        <f aca="false">IF($A$2=TRUE(),+L766+GC!L350,+L766)</f>
        <v>0</v>
      </c>
      <c r="M834" s="314" t="n">
        <f aca="false">IF($A$2=TRUE(),+M766+GC!M350,+M766)</f>
        <v>0</v>
      </c>
      <c r="N834" s="314" t="n">
        <f aca="false">IF($A$2=TRUE(),+N766+GC!N350,+N766)</f>
        <v>0</v>
      </c>
      <c r="O834" s="314" t="n">
        <f aca="false">IF($A$2=TRUE(),+O766+GC!O350,+O766)</f>
        <v>0</v>
      </c>
      <c r="P834" s="314" t="n">
        <f aca="false">IF($A$2=TRUE(),+P766+GC!P350,+P766)</f>
        <v>0</v>
      </c>
      <c r="Q834" s="314" t="n">
        <f aca="false">IF($A$2=TRUE(),+Q766+GC!Q350,+Q766)</f>
        <v>0</v>
      </c>
      <c r="R834" s="314" t="n">
        <f aca="false">IF($A$2=TRUE(),+R766+GC!R350,+R766)</f>
        <v>0</v>
      </c>
      <c r="S834" s="314" t="n">
        <f aca="false">IF($A$2=TRUE(),+S766+GC!S350,+S766)</f>
        <v>0</v>
      </c>
      <c r="T834" s="314" t="n">
        <f aca="false">IF($A$2=TRUE(),+T766+GC!T350,+T766)</f>
        <v>0</v>
      </c>
      <c r="U834" s="314" t="n">
        <f aca="false">IF($A$2=TRUE(),+U766+GC!U350,+U766)</f>
        <v>0</v>
      </c>
      <c r="V834" s="314" t="n">
        <f aca="false">IF($A$2=TRUE(),+V766+GC!V350,+V766)</f>
        <v>0</v>
      </c>
      <c r="W834" s="314" t="n">
        <f aca="false">IF($A$2=TRUE(),+W766+GC!W350,+W766)</f>
        <v>0</v>
      </c>
      <c r="X834" s="314" t="n">
        <f aca="false">IF($A$2=TRUE(),+X766+GC!X350,+X766)</f>
        <v>0</v>
      </c>
      <c r="Y834" s="314" t="n">
        <f aca="false">IF($A$2=TRUE(),+Y766+GC!Y350,+Y766)</f>
        <v>0</v>
      </c>
      <c r="Z834" s="314" t="n">
        <f aca="false">IF($A$2=TRUE(),+Z766+GC!Z350,+Z766)</f>
        <v>0</v>
      </c>
      <c r="AA834" s="314" t="n">
        <f aca="false">IF($A$2=TRUE(),+AA766+GC!AA350,+AA766)</f>
        <v>0</v>
      </c>
      <c r="AB834" s="314" t="n">
        <f aca="false">IF($A$2=TRUE(),+AB766+GC!AB350,+AB766)</f>
        <v>0</v>
      </c>
      <c r="AC834" s="314" t="n">
        <f aca="false">IF($A$2=TRUE(),+AC766+GC!AC350,+AC766)</f>
        <v>0</v>
      </c>
    </row>
    <row r="835" customFormat="false" ht="11.25" hidden="false" customHeight="false" outlineLevel="0" collapsed="false">
      <c r="A835" s="314"/>
      <c r="B835" s="318" t="s">
        <v>346</v>
      </c>
      <c r="C835" s="319"/>
      <c r="D835" s="314"/>
      <c r="E835" s="314"/>
      <c r="F835" s="314"/>
      <c r="G835" s="314"/>
      <c r="H835" s="314"/>
      <c r="I835" s="314" t="n">
        <f aca="false">IF($A$2=TRUE(),+I159+GC!I351,+I159)</f>
        <v>0</v>
      </c>
      <c r="J835" s="314" t="n">
        <f aca="false">IF($A$2=TRUE(),+J159+GC!J351,+J159)</f>
        <v>0</v>
      </c>
      <c r="K835" s="314" t="n">
        <f aca="false">IF($A$2=TRUE(),+K159+GC!K351,+K159)</f>
        <v>0</v>
      </c>
      <c r="L835" s="314" t="n">
        <f aca="false">IF($A$2=TRUE(),+L159+GC!L351,+L159)</f>
        <v>0</v>
      </c>
      <c r="M835" s="314" t="n">
        <f aca="false">IF($A$2=TRUE(),+M159+GC!M351,+M159)</f>
        <v>0</v>
      </c>
      <c r="N835" s="314" t="n">
        <f aca="false">IF($A$2=TRUE(),+N159+GC!N351,+N159)</f>
        <v>0</v>
      </c>
      <c r="O835" s="314" t="n">
        <f aca="false">IF($A$2=TRUE(),+O159+GC!O351,+O159)</f>
        <v>25.811</v>
      </c>
      <c r="P835" s="314" t="n">
        <f aca="false">IF($A$2=TRUE(),+P159+GC!P351,+P159)</f>
        <v>5.512</v>
      </c>
      <c r="Q835" s="314" t="n">
        <f aca="false">IF($A$2=TRUE(),+Q159+GC!Q351,+Q159)</f>
        <v>16.2</v>
      </c>
      <c r="R835" s="314" t="n">
        <f aca="false">IF($A$2=TRUE(),+R159+GC!R351,+R159)</f>
        <v>0</v>
      </c>
      <c r="S835" s="314" t="n">
        <f aca="false">IF($A$2=TRUE(),+S159+GC!S351,+S159)</f>
        <v>0</v>
      </c>
      <c r="T835" s="314" t="n">
        <f aca="false">IF($A$2=TRUE(),+T159+GC!T351,+T159)</f>
        <v>0</v>
      </c>
      <c r="U835" s="314" t="n">
        <f aca="false">IF($A$2=TRUE(),+U159+GC!U351,+U159)</f>
        <v>0</v>
      </c>
      <c r="V835" s="314" t="n">
        <f aca="false">IF($A$2=TRUE(),+V159+GC!V351,+V159)</f>
        <v>0</v>
      </c>
      <c r="W835" s="314" t="n">
        <f aca="false">IF($A$2=TRUE(),+W159+GC!W351,+W159)</f>
        <v>0</v>
      </c>
      <c r="X835" s="314" t="n">
        <f aca="false">IF($A$2=TRUE(),+X159+GC!X351,+X159)</f>
        <v>0</v>
      </c>
      <c r="Y835" s="314" t="n">
        <f aca="false">IF($A$2=TRUE(),+Y159+GC!Y351,+Y159)</f>
        <v>0</v>
      </c>
      <c r="Z835" s="314" t="n">
        <f aca="false">IF($A$2=TRUE(),+Z159+GC!Z351,+Z159)</f>
        <v>0</v>
      </c>
      <c r="AA835" s="314" t="n">
        <f aca="false">IF($A$2=TRUE(),+AA159+GC!AA351,+AA159)</f>
        <v>0</v>
      </c>
      <c r="AB835" s="314" t="n">
        <f aca="false">IF($A$2=TRUE(),+AB159+GC!AB351,+AB159)</f>
        <v>0</v>
      </c>
      <c r="AC835" s="314" t="n">
        <f aca="false">IF($A$2=TRUE(),+AC159+GC!AC351,+AC159)</f>
        <v>0</v>
      </c>
    </row>
    <row r="836" customFormat="false" ht="11.25" hidden="false" customHeight="false" outlineLevel="0" collapsed="false">
      <c r="A836" s="314"/>
      <c r="B836" s="316" t="s">
        <v>347</v>
      </c>
      <c r="C836" s="314"/>
      <c r="D836" s="314"/>
      <c r="E836" s="314"/>
      <c r="F836" s="314"/>
      <c r="G836" s="314"/>
      <c r="H836" s="314"/>
      <c r="I836" s="314" t="n">
        <f aca="false">IF($A$2=TRUE(),+I153+GC!I352,+I153)</f>
        <v>0</v>
      </c>
      <c r="J836" s="314" t="n">
        <f aca="false">IF($A$2=TRUE(),+J153+GC!J352,+J153)</f>
        <v>0</v>
      </c>
      <c r="K836" s="314" t="n">
        <f aca="false">IF($A$2=TRUE(),+K153+GC!K352,+K153)</f>
        <v>0</v>
      </c>
      <c r="L836" s="314" t="n">
        <f aca="false">IF($A$2=TRUE(),+L153+GC!L352,+L153)</f>
        <v>0</v>
      </c>
      <c r="M836" s="314" t="n">
        <f aca="false">IF($A$2=TRUE(),+M153+GC!M352,+M153)</f>
        <v>0</v>
      </c>
      <c r="N836" s="314" t="n">
        <f aca="false">IF($A$2=TRUE(),+N153+GC!N352,+N153)</f>
        <v>0</v>
      </c>
      <c r="O836" s="314" t="n">
        <f aca="false">IF($A$2=TRUE(),+O153+GC!O352,+O153)</f>
        <v>0</v>
      </c>
      <c r="P836" s="314" t="n">
        <f aca="false">IF($A$2=TRUE(),+P153+GC!P352,+P153)</f>
        <v>0</v>
      </c>
      <c r="Q836" s="314" t="n">
        <f aca="false">IF($A$2=TRUE(),+Q153+GC!Q352,+Q153)</f>
        <v>0</v>
      </c>
      <c r="R836" s="314" t="n">
        <f aca="false">IF($A$2=TRUE(),+R153+GC!R352,+R153)</f>
        <v>0</v>
      </c>
      <c r="S836" s="314" t="n">
        <f aca="false">IF($A$2=TRUE(),+S153+GC!S352,+S153)</f>
        <v>0</v>
      </c>
      <c r="T836" s="314" t="n">
        <f aca="false">IF($A$2=TRUE(),+T153+GC!T352,+T153)</f>
        <v>0</v>
      </c>
      <c r="U836" s="314" t="n">
        <f aca="false">IF($A$2=TRUE(),+U153+GC!U352,+U153)</f>
        <v>0</v>
      </c>
      <c r="V836" s="314" t="n">
        <f aca="false">IF($A$2=TRUE(),+V153+GC!V352,+V153)</f>
        <v>0</v>
      </c>
      <c r="W836" s="314" t="n">
        <f aca="false">IF($A$2=TRUE(),+W153+GC!W352,+W153)</f>
        <v>0</v>
      </c>
      <c r="X836" s="314" t="n">
        <f aca="false">IF($A$2=TRUE(),+X153+GC!X352,+X153)</f>
        <v>0</v>
      </c>
      <c r="Y836" s="314" t="n">
        <f aca="false">IF($A$2=TRUE(),+Y153+GC!Y352,+Y153)</f>
        <v>0</v>
      </c>
      <c r="Z836" s="314" t="n">
        <f aca="false">IF($A$2=TRUE(),+Z153+GC!Z352,+Z153)</f>
        <v>0</v>
      </c>
      <c r="AA836" s="314" t="n">
        <f aca="false">IF($A$2=TRUE(),+AA153+GC!AA352,+AA153)</f>
        <v>0</v>
      </c>
      <c r="AB836" s="314" t="n">
        <f aca="false">IF($A$2=TRUE(),+AB153+GC!AB352,+AB153)</f>
        <v>0</v>
      </c>
      <c r="AC836" s="314" t="n">
        <f aca="false">IF($A$2=TRUE(),+AC153+GC!AC352,+AC153)</f>
        <v>0</v>
      </c>
    </row>
    <row r="837" customFormat="false" ht="11.25" hidden="false" customHeight="false" outlineLevel="0" collapsed="false">
      <c r="A837" s="314"/>
      <c r="B837" s="316" t="s">
        <v>348</v>
      </c>
      <c r="C837" s="314"/>
      <c r="D837" s="314"/>
      <c r="E837" s="314"/>
      <c r="F837" s="314"/>
      <c r="G837" s="314"/>
      <c r="H837" s="314"/>
      <c r="I837" s="314" t="n">
        <f aca="false">IF($A$2=TRUE(),+I158+GC!I353,+I158)</f>
        <v>0</v>
      </c>
      <c r="J837" s="314" t="n">
        <f aca="false">IF($A$2=TRUE(),+J158+GC!J353,+J158)</f>
        <v>0</v>
      </c>
      <c r="K837" s="314" t="n">
        <f aca="false">IF($A$2=TRUE(),+K158+GC!K353,+K158)</f>
        <v>0</v>
      </c>
      <c r="L837" s="314" t="n">
        <f aca="false">IF($A$2=TRUE(),+L158+GC!L353,+L158)</f>
        <v>0</v>
      </c>
      <c r="M837" s="314" t="n">
        <f aca="false">IF($A$2=TRUE(),+M158+GC!M353,+M158)</f>
        <v>0</v>
      </c>
      <c r="N837" s="314" t="n">
        <f aca="false">IF($A$2=TRUE(),+N158+GC!N353,+N158)</f>
        <v>0</v>
      </c>
      <c r="O837" s="314" t="n">
        <f aca="false">IF($A$2=TRUE(),+O158+GC!O353,+O158)</f>
        <v>0</v>
      </c>
      <c r="P837" s="314" t="n">
        <f aca="false">IF($A$2=TRUE(),+P158+GC!P353,+P158)</f>
        <v>0</v>
      </c>
      <c r="Q837" s="314" t="n">
        <f aca="false">IF($A$2=TRUE(),+Q158+GC!Q353,+Q158)</f>
        <v>0</v>
      </c>
      <c r="R837" s="314" t="n">
        <f aca="false">IF($A$2=TRUE(),+R158+GC!R353,+R158)</f>
        <v>0</v>
      </c>
      <c r="S837" s="314" t="n">
        <f aca="false">IF($A$2=TRUE(),+S158+GC!S353,+S158)</f>
        <v>0</v>
      </c>
      <c r="T837" s="314" t="n">
        <f aca="false">IF($A$2=TRUE(),+T158+GC!T353,+T158)</f>
        <v>0</v>
      </c>
      <c r="U837" s="314" t="n">
        <f aca="false">IF($A$2=TRUE(),+U158+GC!U353,+U158)</f>
        <v>0</v>
      </c>
      <c r="V837" s="314" t="n">
        <f aca="false">IF($A$2=TRUE(),+V158+GC!V353,+V158)</f>
        <v>0</v>
      </c>
      <c r="W837" s="314" t="n">
        <f aca="false">IF($A$2=TRUE(),+W158+GC!W353,+W158)</f>
        <v>0</v>
      </c>
      <c r="X837" s="314" t="n">
        <f aca="false">IF($A$2=TRUE(),+X158+GC!X353,+X158)</f>
        <v>0</v>
      </c>
      <c r="Y837" s="314" t="n">
        <f aca="false">IF($A$2=TRUE(),+Y158+GC!Y353,+Y158)</f>
        <v>0</v>
      </c>
      <c r="Z837" s="314" t="n">
        <f aca="false">IF($A$2=TRUE(),+Z158+GC!Z353,+Z158)</f>
        <v>0</v>
      </c>
      <c r="AA837" s="314" t="n">
        <f aca="false">IF($A$2=TRUE(),+AA158+GC!AA353,+AA158)</f>
        <v>0</v>
      </c>
      <c r="AB837" s="314" t="n">
        <f aca="false">IF($A$2=TRUE(),+AB158+GC!AB353,+AB158)</f>
        <v>0</v>
      </c>
      <c r="AC837" s="314" t="n">
        <f aca="false">IF($A$2=TRUE(),+AC158+GC!AC353,+AC158)</f>
        <v>0</v>
      </c>
    </row>
    <row r="838" customFormat="false" ht="11.25" hidden="false" customHeight="false" outlineLevel="0" collapsed="false">
      <c r="A838" s="314"/>
      <c r="B838" s="320" t="s">
        <v>349</v>
      </c>
      <c r="C838" s="320"/>
      <c r="D838" s="314"/>
      <c r="E838" s="314"/>
      <c r="F838" s="314"/>
      <c r="G838" s="314"/>
      <c r="H838" s="314"/>
      <c r="I838" s="314" t="n">
        <f aca="false">IF($A$2=TRUE(),+I157+GC!I354,+I157)</f>
        <v>0</v>
      </c>
      <c r="J838" s="314" t="n">
        <f aca="false">IF($A$2=TRUE(),+J157+GC!J354,+J157)</f>
        <v>0</v>
      </c>
      <c r="K838" s="314" t="n">
        <f aca="false">IF($A$2=TRUE(),+K157+GC!K354,+K157)</f>
        <v>0</v>
      </c>
      <c r="L838" s="314" t="n">
        <f aca="false">IF($A$2=TRUE(),+L157+GC!L354,+L157)</f>
        <v>0</v>
      </c>
      <c r="M838" s="314" t="n">
        <f aca="false">IF($A$2=TRUE(),+M157+GC!M354,+M157)</f>
        <v>0</v>
      </c>
      <c r="N838" s="314" t="n">
        <f aca="false">IF($A$2=TRUE(),+N157+GC!N354,+N157)</f>
        <v>0</v>
      </c>
      <c r="O838" s="314" t="n">
        <f aca="false">IF($A$2=TRUE(),+O157+GC!O354,+O157)</f>
        <v>0</v>
      </c>
      <c r="P838" s="314" t="n">
        <f aca="false">IF($A$2=TRUE(),+P157+GC!P354,+P157)</f>
        <v>0</v>
      </c>
      <c r="Q838" s="314" t="n">
        <f aca="false">IF($A$2=TRUE(),+Q157+GC!Q354,+Q157)</f>
        <v>0</v>
      </c>
      <c r="R838" s="314" t="n">
        <f aca="false">IF($A$2=TRUE(),+R157+GC!R354,+R157)</f>
        <v>0</v>
      </c>
      <c r="S838" s="314" t="n">
        <f aca="false">IF($A$2=TRUE(),+S157+GC!S354,+S157)</f>
        <v>0</v>
      </c>
      <c r="T838" s="314" t="n">
        <f aca="false">IF($A$2=TRUE(),+T157+GC!T354,+T157)</f>
        <v>0</v>
      </c>
      <c r="U838" s="314" t="n">
        <f aca="false">IF($A$2=TRUE(),+U157+GC!U354,+U157)</f>
        <v>0</v>
      </c>
      <c r="V838" s="314" t="n">
        <f aca="false">IF($A$2=TRUE(),+V157+GC!V354,+V157)</f>
        <v>0</v>
      </c>
      <c r="W838" s="314" t="n">
        <f aca="false">IF($A$2=TRUE(),+W157+GC!W354,+W157)</f>
        <v>0</v>
      </c>
      <c r="X838" s="314" t="n">
        <f aca="false">IF($A$2=TRUE(),+X157+GC!X354,+X157)</f>
        <v>0</v>
      </c>
      <c r="Y838" s="314" t="n">
        <f aca="false">IF($A$2=TRUE(),+Y157+GC!Y354,+Y157)</f>
        <v>0</v>
      </c>
      <c r="Z838" s="314" t="n">
        <f aca="false">IF($A$2=TRUE(),+Z157+GC!Z354,+Z157)</f>
        <v>0</v>
      </c>
      <c r="AA838" s="314" t="n">
        <f aca="false">IF($A$2=TRUE(),+AA157+GC!AA354,+AA157)</f>
        <v>0</v>
      </c>
      <c r="AB838" s="314" t="n">
        <f aca="false">IF($A$2=TRUE(),+AB157+GC!AB354,+AB157)</f>
        <v>0</v>
      </c>
      <c r="AC838" s="314" t="n">
        <f aca="false">IF($A$2=TRUE(),+AC157+GC!AC354,+AC157)</f>
        <v>0</v>
      </c>
    </row>
    <row r="839" customFormat="false" ht="11.25" hidden="false" customHeight="false" outlineLevel="0" collapsed="false">
      <c r="A839" s="314"/>
      <c r="B839" s="314" t="s">
        <v>350</v>
      </c>
      <c r="C839" s="314"/>
      <c r="D839" s="314"/>
      <c r="E839" s="314" t="n">
        <f aca="false">+E165</f>
        <v>0</v>
      </c>
      <c r="F839" s="314" t="n">
        <f aca="false">+F165</f>
        <v>0</v>
      </c>
      <c r="G839" s="314" t="n">
        <f aca="false">+G165</f>
        <v>0</v>
      </c>
      <c r="H839" s="314" t="n">
        <f aca="false">+H165</f>
        <v>0</v>
      </c>
      <c r="I839" s="314" t="n">
        <f aca="false">IF($A$2=TRUE(),+I165+GC!I355,+I165)</f>
        <v>0</v>
      </c>
      <c r="J839" s="314" t="n">
        <f aca="false">IF($A$2=TRUE(),+J165+GC!J355,+J165)</f>
        <v>0</v>
      </c>
      <c r="K839" s="314" t="n">
        <f aca="false">IF($A$2=TRUE(),+K165+GC!K355,+K165)</f>
        <v>0</v>
      </c>
      <c r="L839" s="314" t="n">
        <f aca="false">IF($A$2=TRUE(),+L165+GC!L355,+L165)</f>
        <v>0</v>
      </c>
      <c r="M839" s="314" t="n">
        <f aca="false">IF($A$2=TRUE(),+M165+GC!M355,+M165)</f>
        <v>0</v>
      </c>
      <c r="N839" s="314" t="n">
        <f aca="false">IF($A$2=TRUE(),+N165+GC!N355,+N165)</f>
        <v>0</v>
      </c>
      <c r="O839" s="314" t="n">
        <f aca="false">IF($A$2=TRUE(),+O165+GC!O355,+O165)</f>
        <v>0</v>
      </c>
      <c r="P839" s="314" t="n">
        <f aca="false">IF($A$2=TRUE(),+P165+GC!P355,+P165)</f>
        <v>0</v>
      </c>
      <c r="Q839" s="314" t="n">
        <f aca="false">IF($A$2=TRUE(),+Q165+GC!Q355,+Q165)</f>
        <v>0</v>
      </c>
      <c r="R839" s="314" t="n">
        <f aca="false">IF($A$2=TRUE(),+R165+GC!R355,+R165)</f>
        <v>0</v>
      </c>
      <c r="S839" s="314" t="n">
        <f aca="false">IF($A$2=TRUE(),+S165+GC!S355,+S165)</f>
        <v>0</v>
      </c>
      <c r="T839" s="314" t="n">
        <f aca="false">IF($A$2=TRUE(),+T165+GC!T355,+T165)</f>
        <v>0</v>
      </c>
      <c r="U839" s="314" t="n">
        <f aca="false">IF($A$2=TRUE(),+U165+GC!U355,+U165)</f>
        <v>0</v>
      </c>
      <c r="V839" s="314" t="n">
        <f aca="false">IF($A$2=TRUE(),+V165+GC!V355,+V165)</f>
        <v>0</v>
      </c>
      <c r="W839" s="314" t="n">
        <f aca="false">IF($A$2=TRUE(),+W165+GC!W355,+W165)</f>
        <v>0</v>
      </c>
      <c r="X839" s="314" t="n">
        <f aca="false">IF($A$2=TRUE(),+X165+GC!X355,+X165)</f>
        <v>0</v>
      </c>
      <c r="Y839" s="314" t="n">
        <f aca="false">IF($A$2=TRUE(),+Y165+GC!Y355,+Y165)</f>
        <v>0</v>
      </c>
      <c r="Z839" s="314" t="n">
        <f aca="false">IF($A$2=TRUE(),+Z165+GC!Z355,+Z165)</f>
        <v>0</v>
      </c>
      <c r="AA839" s="314" t="n">
        <f aca="false">IF($A$2=TRUE(),+AA165+GC!AA355,+AA165)</f>
        <v>0</v>
      </c>
      <c r="AB839" s="314" t="n">
        <f aca="false">IF($A$2=TRUE(),+AB165+GC!AB355,+AB165)</f>
        <v>0</v>
      </c>
      <c r="AC839" s="314" t="n">
        <f aca="false">IF($A$2=TRUE(),+AC165+GC!AC355,+AC165)</f>
        <v>0</v>
      </c>
    </row>
    <row r="840" customFormat="false" ht="11.25" hidden="false" customHeight="false" outlineLevel="0" collapsed="false">
      <c r="A840" s="314"/>
      <c r="B840" s="314" t="s">
        <v>351</v>
      </c>
      <c r="C840" s="314"/>
      <c r="D840" s="314"/>
      <c r="E840" s="314" t="n">
        <f aca="false">+E172</f>
        <v>0</v>
      </c>
      <c r="F840" s="314" t="n">
        <f aca="false">+F172</f>
        <v>0</v>
      </c>
      <c r="G840" s="314" t="n">
        <f aca="false">+G172</f>
        <v>0</v>
      </c>
      <c r="H840" s="314" t="n">
        <f aca="false">+H172</f>
        <v>0</v>
      </c>
      <c r="I840" s="314" t="n">
        <f aca="false">IF($A$2=TRUE(),+I172+GC!I356,+I172)</f>
        <v>0</v>
      </c>
      <c r="J840" s="314" t="n">
        <f aca="false">IF($A$2=TRUE(),+J172+GC!J356,+J172)</f>
        <v>0</v>
      </c>
      <c r="K840" s="314" t="n">
        <f aca="false">IF($A$2=TRUE(),+K172+GC!K356,+K172)</f>
        <v>0</v>
      </c>
      <c r="L840" s="314" t="n">
        <f aca="false">IF($A$2=TRUE(),+L172+GC!L356,+L172)</f>
        <v>0</v>
      </c>
      <c r="M840" s="314" t="n">
        <f aca="false">IF($A$2=TRUE(),+M172+GC!M356,+M172)</f>
        <v>0</v>
      </c>
      <c r="N840" s="314" t="n">
        <f aca="false">IF($A$2=TRUE(),+N172+GC!N356,+N172)</f>
        <v>0</v>
      </c>
      <c r="O840" s="314" t="n">
        <f aca="false">IF($A$2=TRUE(),+O172+GC!O356,+O172)</f>
        <v>0</v>
      </c>
      <c r="P840" s="314" t="n">
        <f aca="false">IF($A$2=TRUE(),+P172+GC!P356,+P172)</f>
        <v>0</v>
      </c>
      <c r="Q840" s="314" t="n">
        <f aca="false">IF($A$2=TRUE(),+Q172+GC!Q356,+Q172)</f>
        <v>0</v>
      </c>
      <c r="R840" s="314" t="n">
        <f aca="false">IF($A$2=TRUE(),+R172+GC!R356,+R172)</f>
        <v>0</v>
      </c>
      <c r="S840" s="314" t="n">
        <f aca="false">IF($A$2=TRUE(),+S172+GC!S356,+S172)</f>
        <v>0</v>
      </c>
      <c r="T840" s="314" t="n">
        <f aca="false">IF($A$2=TRUE(),+T172+GC!T356,+T172)</f>
        <v>0</v>
      </c>
      <c r="U840" s="314" t="n">
        <f aca="false">IF($A$2=TRUE(),+U172+GC!U356,+U172)</f>
        <v>0</v>
      </c>
      <c r="V840" s="314" t="n">
        <f aca="false">IF($A$2=TRUE(),+V172+GC!V356,+V172)</f>
        <v>0</v>
      </c>
      <c r="W840" s="314" t="n">
        <f aca="false">IF($A$2=TRUE(),+W172+GC!W356,+W172)</f>
        <v>0</v>
      </c>
      <c r="X840" s="314" t="n">
        <f aca="false">IF($A$2=TRUE(),+X172+GC!X356,+X172)</f>
        <v>0</v>
      </c>
      <c r="Y840" s="314" t="n">
        <f aca="false">IF($A$2=TRUE(),+Y172+GC!Y356,+Y172)</f>
        <v>0</v>
      </c>
      <c r="Z840" s="314" t="n">
        <f aca="false">IF($A$2=TRUE(),+Z172+GC!Z356,+Z172)</f>
        <v>0</v>
      </c>
      <c r="AA840" s="314" t="n">
        <f aca="false">IF($A$2=TRUE(),+AA172+GC!AA356,+AA172)</f>
        <v>0</v>
      </c>
      <c r="AB840" s="314" t="n">
        <f aca="false">IF($A$2=TRUE(),+AB172+GC!AB356,+AB172)</f>
        <v>0</v>
      </c>
      <c r="AC840" s="314" t="n">
        <f aca="false">IF($A$2=TRUE(),+AC172+GC!AC356,+AC172)</f>
        <v>0</v>
      </c>
    </row>
    <row r="841" customFormat="false" ht="11.25" hidden="false" customHeight="false" outlineLevel="0" collapsed="false">
      <c r="A841" s="314"/>
      <c r="B841" s="314" t="s">
        <v>352</v>
      </c>
      <c r="C841" s="314"/>
      <c r="D841" s="314"/>
      <c r="E841" s="314" t="n">
        <f aca="false">+E840</f>
        <v>0</v>
      </c>
      <c r="F841" s="314" t="n">
        <f aca="false">+F840</f>
        <v>0</v>
      </c>
      <c r="G841" s="314" t="n">
        <f aca="false">+G840</f>
        <v>0</v>
      </c>
      <c r="H841" s="314" t="n">
        <f aca="false">+H840</f>
        <v>0</v>
      </c>
      <c r="I841" s="314" t="n">
        <f aca="false">IF($A$2=TRUE(),+I840+GC!I357,+I840)</f>
        <v>0</v>
      </c>
      <c r="J841" s="314" t="n">
        <f aca="false">IF($A$2=TRUE(),+J840+GC!J357,+J840)</f>
        <v>0</v>
      </c>
      <c r="K841" s="314" t="n">
        <f aca="false">IF($A$2=TRUE(),+K840+GC!K357,+K840)</f>
        <v>0</v>
      </c>
      <c r="L841" s="314" t="n">
        <f aca="false">IF($A$2=TRUE(),+L840+GC!L357,+L840)</f>
        <v>0</v>
      </c>
      <c r="M841" s="314" t="n">
        <f aca="false">IF($A$2=TRUE(),+M840+GC!M357,+M840)</f>
        <v>0</v>
      </c>
      <c r="N841" s="314" t="n">
        <f aca="false">IF($A$2=TRUE(),+N840+GC!N357,+N840)</f>
        <v>0</v>
      </c>
      <c r="O841" s="314" t="n">
        <f aca="false">IF($A$2=TRUE(),+O840+GC!O357,+O840)</f>
        <v>0</v>
      </c>
      <c r="P841" s="314" t="n">
        <f aca="false">IF($A$2=TRUE(),+P840+GC!P357,+P840)</f>
        <v>0</v>
      </c>
      <c r="Q841" s="314" t="n">
        <f aca="false">IF($A$2=TRUE(),+Q840+GC!Q357,+Q840)</f>
        <v>0</v>
      </c>
      <c r="R841" s="314" t="n">
        <f aca="false">IF($A$2=TRUE(),+R840+GC!R357,+R840)</f>
        <v>0</v>
      </c>
      <c r="S841" s="314" t="n">
        <f aca="false">IF($A$2=TRUE(),+S840+GC!S357,+S840)</f>
        <v>0</v>
      </c>
      <c r="T841" s="314" t="n">
        <f aca="false">IF($A$2=TRUE(),+T840+GC!T357,+T840)</f>
        <v>0</v>
      </c>
      <c r="U841" s="314" t="n">
        <f aca="false">IF($A$2=TRUE(),+U840+GC!U357,+U840)</f>
        <v>0</v>
      </c>
      <c r="V841" s="314" t="n">
        <f aca="false">IF($A$2=TRUE(),+V840+GC!V357,+V840)</f>
        <v>0</v>
      </c>
      <c r="W841" s="314" t="n">
        <f aca="false">IF($A$2=TRUE(),+W840+GC!W357,+W840)</f>
        <v>0</v>
      </c>
      <c r="X841" s="314" t="n">
        <f aca="false">IF($A$2=TRUE(),+X840+GC!X357,+X840)</f>
        <v>0</v>
      </c>
      <c r="Y841" s="314" t="n">
        <f aca="false">IF($A$2=TRUE(),+Y840+GC!Y357,+Y840)</f>
        <v>0</v>
      </c>
      <c r="Z841" s="314" t="n">
        <f aca="false">IF($A$2=TRUE(),+Z840+GC!Z357,+Z840)</f>
        <v>0</v>
      </c>
      <c r="AA841" s="314" t="n">
        <f aca="false">IF($A$2=TRUE(),+AA840+GC!AA357,+AA840)</f>
        <v>0</v>
      </c>
      <c r="AB841" s="314" t="n">
        <f aca="false">IF($A$2=TRUE(),+AB840+GC!AB357,+AB840)</f>
        <v>0</v>
      </c>
      <c r="AC841" s="314" t="n">
        <f aca="false">IF($A$2=TRUE(),+AC840+GC!AC357,+AC840)</f>
        <v>0</v>
      </c>
    </row>
    <row r="842" customFormat="false" ht="11.25" hidden="false" customHeight="false" outlineLevel="0" collapsed="false">
      <c r="A842" s="314"/>
      <c r="B842" s="321" t="s">
        <v>353</v>
      </c>
      <c r="C842" s="314"/>
      <c r="D842" s="314"/>
      <c r="E842" s="314" t="n">
        <f aca="false">+E167</f>
        <v>0</v>
      </c>
      <c r="F842" s="314" t="n">
        <f aca="false">+F167</f>
        <v>0</v>
      </c>
      <c r="G842" s="314" t="n">
        <f aca="false">+G167</f>
        <v>0</v>
      </c>
      <c r="H842" s="314" t="n">
        <f aca="false">+H167</f>
        <v>0</v>
      </c>
      <c r="I842" s="314" t="n">
        <f aca="false">IF($A$2=TRUE(),+I167+GC!I358,+I167)</f>
        <v>0</v>
      </c>
      <c r="J842" s="314" t="n">
        <f aca="false">IF($A$2=TRUE(),+J167+GC!J358,+J167)</f>
        <v>0</v>
      </c>
      <c r="K842" s="314" t="n">
        <f aca="false">IF($A$2=TRUE(),+K167+GC!K358,+K167)</f>
        <v>0</v>
      </c>
      <c r="L842" s="314" t="n">
        <f aca="false">IF($A$2=TRUE(),+L167+GC!L358,+L167)</f>
        <v>0</v>
      </c>
      <c r="M842" s="314" t="n">
        <f aca="false">IF($A$2=TRUE(),+M167+GC!M358,+M167)</f>
        <v>0</v>
      </c>
      <c r="N842" s="314" t="n">
        <f aca="false">IF($A$2=TRUE(),+N167+GC!N358,+N167)</f>
        <v>0</v>
      </c>
      <c r="O842" s="314" t="n">
        <f aca="false">IF($A$2=TRUE(),+O167+GC!O358,+O167)</f>
        <v>0</v>
      </c>
      <c r="P842" s="314" t="n">
        <f aca="false">IF($A$2=TRUE(),+P167+GC!P358,+P167)</f>
        <v>0</v>
      </c>
      <c r="Q842" s="314" t="n">
        <f aca="false">IF($A$2=TRUE(),+Q167+GC!Q358,+Q167)</f>
        <v>0</v>
      </c>
      <c r="R842" s="314" t="n">
        <f aca="false">IF($A$2=TRUE(),+R167+GC!R358,+R167)</f>
        <v>0</v>
      </c>
      <c r="S842" s="314" t="n">
        <f aca="false">IF($A$2=TRUE(),+S167+GC!S358,+S167)</f>
        <v>0</v>
      </c>
      <c r="T842" s="314" t="n">
        <f aca="false">IF($A$2=TRUE(),+T167+GC!T358,+T167)</f>
        <v>0</v>
      </c>
      <c r="U842" s="314" t="n">
        <f aca="false">IF($A$2=TRUE(),+U167+GC!U358,+U167)</f>
        <v>0</v>
      </c>
      <c r="V842" s="314" t="n">
        <f aca="false">IF($A$2=TRUE(),+V167+GC!V358,+V167)</f>
        <v>0</v>
      </c>
      <c r="W842" s="314" t="n">
        <f aca="false">IF($A$2=TRUE(),+W167+GC!W358,+W167)</f>
        <v>0</v>
      </c>
      <c r="X842" s="314" t="n">
        <f aca="false">IF($A$2=TRUE(),+X167+GC!X358,+X167)</f>
        <v>0</v>
      </c>
      <c r="Y842" s="314" t="n">
        <f aca="false">IF($A$2=TRUE(),+Y167+GC!Y358,+Y167)</f>
        <v>0</v>
      </c>
      <c r="Z842" s="314" t="n">
        <f aca="false">IF($A$2=TRUE(),+Z167+GC!Z358,+Z167)</f>
        <v>0</v>
      </c>
      <c r="AA842" s="314" t="n">
        <f aca="false">IF($A$2=TRUE(),+AA167+GC!AA358,+AA167)</f>
        <v>0</v>
      </c>
      <c r="AB842" s="314" t="n">
        <f aca="false">IF($A$2=TRUE(),+AB167+GC!AB358,+AB167)</f>
        <v>0</v>
      </c>
      <c r="AC842" s="314" t="n">
        <f aca="false">IF($A$2=TRUE(),+AC167+GC!AC358,+AC167)</f>
        <v>0</v>
      </c>
    </row>
    <row r="843" customFormat="false" ht="11.25" hidden="false" customHeight="false" outlineLevel="0" collapsed="false">
      <c r="A843" s="314"/>
      <c r="B843" s="316" t="s">
        <v>354</v>
      </c>
      <c r="C843" s="314"/>
      <c r="D843" s="314"/>
      <c r="E843" s="314" t="n">
        <f aca="false">+E174</f>
        <v>0</v>
      </c>
      <c r="F843" s="314" t="n">
        <f aca="false">+F174</f>
        <v>0</v>
      </c>
      <c r="G843" s="314" t="n">
        <f aca="false">+G174</f>
        <v>0</v>
      </c>
      <c r="H843" s="314" t="n">
        <f aca="false">+H174</f>
        <v>0</v>
      </c>
      <c r="I843" s="314" t="n">
        <f aca="false">IF($A$2=TRUE(),+I174+GC!I359,+I174)</f>
        <v>0</v>
      </c>
      <c r="J843" s="314" t="n">
        <f aca="false">IF($A$2=TRUE(),+J174+GC!J359,+J174)</f>
        <v>0</v>
      </c>
      <c r="K843" s="314" t="n">
        <f aca="false">IF($A$2=TRUE(),+K174+GC!K359,+K174)</f>
        <v>0</v>
      </c>
      <c r="L843" s="314" t="n">
        <f aca="false">IF($A$2=TRUE(),+L174+GC!L359,+L174)</f>
        <v>0</v>
      </c>
      <c r="M843" s="314" t="n">
        <f aca="false">IF($A$2=TRUE(),+M174+GC!M359,+M174)</f>
        <v>0</v>
      </c>
      <c r="N843" s="314" t="n">
        <f aca="false">IF($A$2=TRUE(),+N174+GC!N359,+N174)</f>
        <v>0</v>
      </c>
      <c r="O843" s="314" t="n">
        <f aca="false">IF($A$2=TRUE(),+O174+GC!O359,+O174)</f>
        <v>0</v>
      </c>
      <c r="P843" s="314" t="n">
        <f aca="false">IF($A$2=TRUE(),+P174+GC!P359,+P174)</f>
        <v>0</v>
      </c>
      <c r="Q843" s="314" t="n">
        <f aca="false">IF($A$2=TRUE(),+Q174+GC!Q359,+Q174)</f>
        <v>0</v>
      </c>
      <c r="R843" s="314" t="n">
        <f aca="false">IF($A$2=TRUE(),+R174+GC!R359,+R174)</f>
        <v>0</v>
      </c>
      <c r="S843" s="314" t="n">
        <f aca="false">IF($A$2=TRUE(),+S174+GC!S359,+S174)</f>
        <v>0</v>
      </c>
      <c r="T843" s="314" t="n">
        <f aca="false">IF($A$2=TRUE(),+T174+GC!T359,+T174)</f>
        <v>0</v>
      </c>
      <c r="U843" s="314" t="n">
        <f aca="false">IF($A$2=TRUE(),+U174+GC!U359,+U174)</f>
        <v>0</v>
      </c>
      <c r="V843" s="314" t="n">
        <f aca="false">IF($A$2=TRUE(),+V174+GC!V359,+V174)</f>
        <v>0</v>
      </c>
      <c r="W843" s="314" t="n">
        <f aca="false">IF($A$2=TRUE(),+W174+GC!W359,+W174)</f>
        <v>0</v>
      </c>
      <c r="X843" s="314" t="n">
        <f aca="false">IF($A$2=TRUE(),+X174+GC!X359,+X174)</f>
        <v>0</v>
      </c>
      <c r="Y843" s="314" t="n">
        <f aca="false">IF($A$2=TRUE(),+Y174+GC!Y359,+Y174)</f>
        <v>0</v>
      </c>
      <c r="Z843" s="314" t="n">
        <f aca="false">IF($A$2=TRUE(),+Z174+GC!Z359,+Z174)</f>
        <v>0</v>
      </c>
      <c r="AA843" s="314" t="n">
        <f aca="false">IF($A$2=TRUE(),+AA174+GC!AA359,+AA174)</f>
        <v>0</v>
      </c>
      <c r="AB843" s="314" t="n">
        <f aca="false">IF($A$2=TRUE(),+AB174+GC!AB359,+AB174)</f>
        <v>0</v>
      </c>
      <c r="AC843" s="314" t="n">
        <f aca="false">IF($A$2=TRUE(),+AC174+GC!AC359,+AC174)</f>
        <v>0</v>
      </c>
    </row>
    <row r="844" customFormat="false" ht="11.25" hidden="false" customHeight="false" outlineLevel="0" collapsed="false">
      <c r="A844" s="314"/>
      <c r="B844" s="316"/>
      <c r="C844" s="314"/>
      <c r="D844" s="314"/>
      <c r="E844" s="314"/>
      <c r="F844" s="314"/>
      <c r="G844" s="314"/>
      <c r="H844" s="314"/>
      <c r="I844" s="314"/>
      <c r="J844" s="314"/>
      <c r="K844" s="314"/>
      <c r="L844" s="314"/>
      <c r="M844" s="314"/>
      <c r="N844" s="314"/>
      <c r="O844" s="314"/>
      <c r="P844" s="314"/>
      <c r="Q844" s="314"/>
      <c r="R844" s="314"/>
      <c r="S844" s="314"/>
      <c r="T844" s="314"/>
      <c r="U844" s="314"/>
      <c r="V844" s="314"/>
      <c r="W844" s="314"/>
      <c r="X844" s="314"/>
      <c r="Y844" s="314"/>
      <c r="Z844" s="314"/>
      <c r="AA844" s="314"/>
      <c r="AB844" s="314"/>
      <c r="AC844" s="314"/>
    </row>
    <row r="845" customFormat="false" ht="11.25" hidden="false" customHeight="false" outlineLevel="0" collapsed="false">
      <c r="A845" s="314"/>
      <c r="B845" s="322" t="s">
        <v>355</v>
      </c>
      <c r="C845" s="314"/>
      <c r="D845" s="314"/>
      <c r="E845" s="314"/>
      <c r="F845" s="314"/>
      <c r="G845" s="314"/>
      <c r="H845" s="314"/>
      <c r="I845" s="314"/>
      <c r="J845" s="314"/>
      <c r="K845" s="314"/>
      <c r="L845" s="314"/>
      <c r="M845" s="314"/>
      <c r="N845" s="314"/>
      <c r="O845" s="314"/>
      <c r="P845" s="314"/>
      <c r="Q845" s="314"/>
      <c r="R845" s="314"/>
      <c r="S845" s="314"/>
      <c r="T845" s="314"/>
      <c r="U845" s="314"/>
      <c r="V845" s="314"/>
      <c r="W845" s="314"/>
      <c r="X845" s="314"/>
      <c r="Y845" s="314"/>
      <c r="Z845" s="314"/>
      <c r="AA845" s="314"/>
      <c r="AB845" s="314"/>
      <c r="AC845" s="314"/>
    </row>
    <row r="846" customFormat="false" ht="11.25" hidden="false" customHeight="false" outlineLevel="0" collapsed="false">
      <c r="A846" s="314"/>
      <c r="B846" s="316" t="s">
        <v>356</v>
      </c>
      <c r="C846" s="314"/>
      <c r="D846" s="314"/>
      <c r="E846" s="314" t="n">
        <f aca="false">+E155</f>
        <v>0</v>
      </c>
      <c r="F846" s="314" t="n">
        <f aca="false">+F155</f>
        <v>0</v>
      </c>
      <c r="G846" s="314" t="n">
        <f aca="false">+G155</f>
        <v>0</v>
      </c>
      <c r="H846" s="314" t="n">
        <f aca="false">+H155</f>
        <v>0</v>
      </c>
      <c r="I846" s="314" t="n">
        <f aca="false">IF($A$2=TRUE(),+I155+GC!I362,+I155)</f>
        <v>0</v>
      </c>
      <c r="J846" s="314" t="n">
        <f aca="false">IF($A$2=TRUE(),+J155+GC!J362,+J155)</f>
        <v>0</v>
      </c>
      <c r="K846" s="314" t="n">
        <f aca="false">IF($A$2=TRUE(),+K155+GC!K362,+K155)</f>
        <v>0</v>
      </c>
      <c r="L846" s="314" t="n">
        <f aca="false">IF($A$2=TRUE(),+L155+GC!L362,+L155)</f>
        <v>0</v>
      </c>
      <c r="M846" s="314" t="n">
        <f aca="false">IF($A$2=TRUE(),+M155+GC!M362,+M155)</f>
        <v>0</v>
      </c>
      <c r="N846" s="314" t="n">
        <f aca="false">IF($A$2=TRUE(),+N155+GC!N362,+N155)</f>
        <v>0</v>
      </c>
      <c r="O846" s="314" t="n">
        <f aca="false">IF($A$2=TRUE(),+O155+GC!O362,+O155)</f>
        <v>25.811</v>
      </c>
      <c r="P846" s="314" t="n">
        <f aca="false">IF($A$2=TRUE(),+P155+GC!P362,+P155)</f>
        <v>5.512</v>
      </c>
      <c r="Q846" s="314" t="n">
        <f aca="false">IF($A$2=TRUE(),+Q155+GC!Q362,+Q155)</f>
        <v>16.2</v>
      </c>
      <c r="R846" s="314" t="n">
        <f aca="false">IF($A$2=TRUE(),+R155+GC!R362,+R155)</f>
        <v>0</v>
      </c>
      <c r="S846" s="314" t="n">
        <f aca="false">IF($A$2=TRUE(),+S155+GC!S362,+S155)</f>
        <v>0</v>
      </c>
      <c r="T846" s="314" t="n">
        <f aca="false">IF($A$2=TRUE(),+T155+GC!T362,+T155)</f>
        <v>0</v>
      </c>
      <c r="U846" s="314" t="n">
        <f aca="false">IF($A$2=TRUE(),+U155+GC!U362,+U155)</f>
        <v>0</v>
      </c>
      <c r="V846" s="314" t="n">
        <f aca="false">IF($A$2=TRUE(),+V155+GC!V362,+V155)</f>
        <v>0</v>
      </c>
      <c r="W846" s="314" t="n">
        <f aca="false">IF($A$2=TRUE(),+W155+GC!W362,+W155)</f>
        <v>0</v>
      </c>
      <c r="X846" s="314" t="n">
        <f aca="false">IF($A$2=TRUE(),+X155+GC!X362,+X155)</f>
        <v>0</v>
      </c>
      <c r="Y846" s="314" t="n">
        <f aca="false">IF($A$2=TRUE(),+Y155+GC!Y362,+Y155)</f>
        <v>0</v>
      </c>
      <c r="Z846" s="314" t="n">
        <f aca="false">IF($A$2=TRUE(),+Z155+GC!Z362,+Z155)</f>
        <v>0</v>
      </c>
      <c r="AA846" s="314" t="n">
        <f aca="false">IF($A$2=TRUE(),+AA155+GC!AA362,+AA155)</f>
        <v>0</v>
      </c>
      <c r="AB846" s="314" t="n">
        <f aca="false">IF($A$2=TRUE(),+AB155+GC!AB362,+AB155)</f>
        <v>0</v>
      </c>
      <c r="AC846" s="314" t="n">
        <f aca="false">IF($A$2=TRUE(),+AC155+GC!AC362,+AC155)</f>
        <v>0</v>
      </c>
    </row>
    <row r="847" customFormat="false" ht="11.25" hidden="false" customHeight="false" outlineLevel="0" collapsed="false">
      <c r="A847" s="314"/>
      <c r="B847" s="316" t="s">
        <v>357</v>
      </c>
      <c r="C847" s="314"/>
      <c r="D847" s="314"/>
      <c r="E847" s="314" t="n">
        <f aca="false">+E152</f>
        <v>0</v>
      </c>
      <c r="F847" s="314" t="n">
        <f aca="false">+F152</f>
        <v>0</v>
      </c>
      <c r="G847" s="314" t="n">
        <f aca="false">+G152</f>
        <v>0</v>
      </c>
      <c r="H847" s="314" t="n">
        <f aca="false">+H152</f>
        <v>0</v>
      </c>
      <c r="I847" s="314" t="n">
        <f aca="false">IF($A$2=TRUE(),+I152+GC!I363,+I152)</f>
        <v>0</v>
      </c>
      <c r="J847" s="314" t="n">
        <f aca="false">IF($A$2=TRUE(),+J152+GC!J363,+J152)</f>
        <v>0</v>
      </c>
      <c r="K847" s="314" t="n">
        <f aca="false">IF($A$2=TRUE(),+K152+GC!K363,+K152)</f>
        <v>0</v>
      </c>
      <c r="L847" s="314" t="n">
        <f aca="false">IF($A$2=TRUE(),+L152+GC!L363,+L152)</f>
        <v>0</v>
      </c>
      <c r="M847" s="314" t="n">
        <f aca="false">IF($A$2=TRUE(),+M152+GC!M363,+M152)</f>
        <v>0</v>
      </c>
      <c r="N847" s="314" t="n">
        <f aca="false">IF($A$2=TRUE(),+N152+GC!N363,+N152)</f>
        <v>0</v>
      </c>
      <c r="O847" s="314" t="n">
        <f aca="false">IF($A$2=TRUE(),+O152+GC!O363,+O152)</f>
        <v>0</v>
      </c>
      <c r="P847" s="314" t="n">
        <f aca="false">IF($A$2=TRUE(),+P152+GC!P363,+P152)</f>
        <v>0</v>
      </c>
      <c r="Q847" s="314" t="n">
        <f aca="false">IF($A$2=TRUE(),+Q152+GC!Q363,+Q152)</f>
        <v>0</v>
      </c>
      <c r="R847" s="314" t="n">
        <f aca="false">IF($A$2=TRUE(),+R152+GC!R363,+R152)</f>
        <v>0</v>
      </c>
      <c r="S847" s="314" t="n">
        <f aca="false">IF($A$2=TRUE(),+S152+GC!S363,+S152)</f>
        <v>0</v>
      </c>
      <c r="T847" s="314" t="n">
        <f aca="false">IF($A$2=TRUE(),+T152+GC!T363,+T152)</f>
        <v>0</v>
      </c>
      <c r="U847" s="314" t="n">
        <f aca="false">IF($A$2=TRUE(),+U152+GC!U363,+U152)</f>
        <v>0</v>
      </c>
      <c r="V847" s="314" t="n">
        <f aca="false">IF($A$2=TRUE(),+V152+GC!V363,+V152)</f>
        <v>0</v>
      </c>
      <c r="W847" s="314" t="n">
        <f aca="false">IF($A$2=TRUE(),+W152+GC!W363,+W152)</f>
        <v>0</v>
      </c>
      <c r="X847" s="314" t="n">
        <f aca="false">IF($A$2=TRUE(),+X152+GC!X363,+X152)</f>
        <v>0</v>
      </c>
      <c r="Y847" s="314" t="n">
        <f aca="false">IF($A$2=TRUE(),+Y152+GC!Y363,+Y152)</f>
        <v>0</v>
      </c>
      <c r="Z847" s="314" t="n">
        <f aca="false">IF($A$2=TRUE(),+Z152+GC!Z363,+Z152)</f>
        <v>0</v>
      </c>
      <c r="AA847" s="314" t="n">
        <f aca="false">IF($A$2=TRUE(),+AA152+GC!AA363,+AA152)</f>
        <v>0</v>
      </c>
      <c r="AB847" s="314" t="n">
        <f aca="false">IF($A$2=TRUE(),+AB152+GC!AB363,+AB152)</f>
        <v>0</v>
      </c>
      <c r="AC847" s="314" t="n">
        <f aca="false">IF($A$2=TRUE(),+AC152+GC!AC363,+AC152)</f>
        <v>0</v>
      </c>
    </row>
    <row r="848" customFormat="false" ht="11.25" hidden="false" customHeight="false" outlineLevel="0" collapsed="false">
      <c r="A848" s="314"/>
      <c r="B848" s="316" t="s">
        <v>358</v>
      </c>
      <c r="C848" s="314"/>
      <c r="D848" s="314"/>
      <c r="E848" s="314" t="n">
        <f aca="false">+E166</f>
        <v>0</v>
      </c>
      <c r="F848" s="314" t="n">
        <f aca="false">+F166</f>
        <v>0</v>
      </c>
      <c r="G848" s="314" t="n">
        <f aca="false">+G166</f>
        <v>0</v>
      </c>
      <c r="H848" s="314" t="n">
        <f aca="false">+H166</f>
        <v>0</v>
      </c>
      <c r="I848" s="314" t="n">
        <f aca="false">IF($A$2=TRUE(),+I166+GC!I364,+I166)</f>
        <v>0</v>
      </c>
      <c r="J848" s="314" t="n">
        <f aca="false">IF($A$2=TRUE(),+J166+GC!J364,+J166)</f>
        <v>0</v>
      </c>
      <c r="K848" s="314" t="n">
        <f aca="false">IF($A$2=TRUE(),+K166+GC!K364,+K166)</f>
        <v>0</v>
      </c>
      <c r="L848" s="314" t="n">
        <f aca="false">IF($A$2=TRUE(),+L166+GC!L364,+L166)</f>
        <v>0</v>
      </c>
      <c r="M848" s="314" t="n">
        <f aca="false">IF($A$2=TRUE(),+M166+GC!M364,+M166)</f>
        <v>0</v>
      </c>
      <c r="N848" s="314" t="n">
        <f aca="false">IF($A$2=TRUE(),+N166+GC!N364,+N166)</f>
        <v>0</v>
      </c>
      <c r="O848" s="314" t="n">
        <f aca="false">IF($A$2=TRUE(),+O166+GC!O364,+O166)</f>
        <v>4.37940610692124</v>
      </c>
      <c r="P848" s="314" t="n">
        <f aca="false">IF($A$2=TRUE(),+P166+GC!P364,+P166)</f>
        <v>4.73479130132525</v>
      </c>
      <c r="Q848" s="314" t="n">
        <f aca="false">IF($A$2=TRUE(),+Q166+GC!Q364,+Q166)</f>
        <v>7.10183406065871</v>
      </c>
      <c r="R848" s="314" t="n">
        <f aca="false">IF($A$2=TRUE(),+R166+GC!R364,+R166)</f>
        <v>6.06029350365411</v>
      </c>
      <c r="S848" s="314" t="n">
        <f aca="false">IF($A$2=TRUE(),+S166+GC!S364,+S166)</f>
        <v>5.13462160166333</v>
      </c>
      <c r="T848" s="314" t="n">
        <f aca="false">IF($A$2=TRUE(),+T166+GC!T364,+T166)</f>
        <v>4.31369340045704</v>
      </c>
      <c r="U848" s="314" t="n">
        <f aca="false">IF($A$2=TRUE(),+U166+GC!U364,+U166)</f>
        <v>3.61604708594512</v>
      </c>
      <c r="V848" s="314" t="n">
        <f aca="false">IF($A$2=TRUE(),+V166+GC!V364,+V166)</f>
        <v>2.96902765639283</v>
      </c>
      <c r="W848" s="314" t="n">
        <f aca="false">IF($A$2=TRUE(),+W166+GC!W364,+W166)</f>
        <v>2.43484435655219</v>
      </c>
      <c r="X848" s="314" t="n">
        <f aca="false">IF($A$2=TRUE(),+X166+GC!X364,+X166)</f>
        <v>1.9752031273748</v>
      </c>
      <c r="Y848" s="314" t="n">
        <f aca="false">IF($A$2=TRUE(),+Y166+GC!Y364,+Y166)</f>
        <v>1.55663930896327</v>
      </c>
      <c r="Z848" s="314" t="n">
        <f aca="false">IF($A$2=TRUE(),+Z166+GC!Z364,+Z166)</f>
        <v>1.14351365103143</v>
      </c>
      <c r="AA848" s="314" t="n">
        <f aca="false">IF($A$2=TRUE(),+AA166+GC!AA364,+AA166)</f>
        <v>0.874427280159617</v>
      </c>
      <c r="AB848" s="314" t="n">
        <f aca="false">IF($A$2=TRUE(),+AB166+GC!AB364,+AB166)</f>
        <v>0.672671998471635</v>
      </c>
      <c r="AC848" s="314" t="n">
        <f aca="false">IF($A$2=TRUE(),+AC166+GC!AC364,+AC166)</f>
        <v>0.555985560429433</v>
      </c>
    </row>
    <row r="849" customFormat="false" ht="11.25" hidden="false" customHeight="false" outlineLevel="0" collapsed="false">
      <c r="A849" s="323"/>
      <c r="B849" s="314" t="s">
        <v>359</v>
      </c>
      <c r="C849" s="323"/>
      <c r="D849" s="314"/>
      <c r="E849" s="314" t="n">
        <f aca="false">+E173</f>
        <v>0</v>
      </c>
      <c r="F849" s="314" t="n">
        <f aca="false">+F173</f>
        <v>0</v>
      </c>
      <c r="G849" s="314" t="n">
        <f aca="false">+G173</f>
        <v>0</v>
      </c>
      <c r="H849" s="314" t="n">
        <f aca="false">+H173</f>
        <v>0</v>
      </c>
      <c r="I849" s="314" t="n">
        <f aca="false">IF($A$2=TRUE(),+I173+GC!I365,+I173)</f>
        <v>0</v>
      </c>
      <c r="J849" s="314" t="n">
        <f aca="false">IF($A$2=TRUE(),+J173+GC!J365,+J173)</f>
        <v>0</v>
      </c>
      <c r="K849" s="314" t="n">
        <f aca="false">IF($A$2=TRUE(),+K173+GC!K365,+K173)</f>
        <v>0</v>
      </c>
      <c r="L849" s="314" t="n">
        <f aca="false">IF($A$2=TRUE(),+L173+GC!L365,+L173)</f>
        <v>0</v>
      </c>
      <c r="M849" s="314" t="n">
        <f aca="false">IF($A$2=TRUE(),+M173+GC!M365,+M173)</f>
        <v>0</v>
      </c>
      <c r="N849" s="314" t="n">
        <f aca="false">IF($A$2=TRUE(),+N173+GC!N365,+N173)</f>
        <v>0</v>
      </c>
      <c r="O849" s="314" t="n">
        <f aca="false">IF($A$2=TRUE(),+O173+GC!O365,+O173)</f>
        <v>4.37940610692124</v>
      </c>
      <c r="P849" s="314" t="n">
        <f aca="false">IF($A$2=TRUE(),+P173+GC!P365,+P173)</f>
        <v>4.73479130132525</v>
      </c>
      <c r="Q849" s="314" t="n">
        <f aca="false">IF($A$2=TRUE(),+Q173+GC!Q365,+Q173)</f>
        <v>7.10183406065871</v>
      </c>
      <c r="R849" s="314" t="n">
        <f aca="false">IF($A$2=TRUE(),+R173+GC!R365,+R173)</f>
        <v>6.06029350365411</v>
      </c>
      <c r="S849" s="314" t="n">
        <f aca="false">IF($A$2=TRUE(),+S173+GC!S365,+S173)</f>
        <v>5.13462160166333</v>
      </c>
      <c r="T849" s="314" t="n">
        <f aca="false">IF($A$2=TRUE(),+T173+GC!T365,+T173)</f>
        <v>4.31369340045704</v>
      </c>
      <c r="U849" s="314" t="n">
        <f aca="false">IF($A$2=TRUE(),+U173+GC!U365,+U173)</f>
        <v>3.61604708594512</v>
      </c>
      <c r="V849" s="314" t="n">
        <f aca="false">IF($A$2=TRUE(),+V173+GC!V365,+V173)</f>
        <v>2.96902765639283</v>
      </c>
      <c r="W849" s="314" t="n">
        <f aca="false">IF($A$2=TRUE(),+W173+GC!W365,+W173)</f>
        <v>2.43484435655219</v>
      </c>
      <c r="X849" s="314" t="n">
        <f aca="false">IF($A$2=TRUE(),+X173+GC!X365,+X173)</f>
        <v>1.9752031273748</v>
      </c>
      <c r="Y849" s="314" t="n">
        <f aca="false">IF($A$2=TRUE(),+Y173+GC!Y365,+Y173)</f>
        <v>1.55663930896327</v>
      </c>
      <c r="Z849" s="314" t="n">
        <f aca="false">IF($A$2=TRUE(),+Z173+GC!Z365,+Z173)</f>
        <v>1.14351365103143</v>
      </c>
      <c r="AA849" s="314" t="n">
        <f aca="false">IF($A$2=TRUE(),+AA173+GC!AA365,+AA173)</f>
        <v>0.874427280159617</v>
      </c>
      <c r="AB849" s="314" t="n">
        <f aca="false">IF($A$2=TRUE(),+AB173+GC!AB365,+AB173)</f>
        <v>0.672671998471635</v>
      </c>
      <c r="AC849" s="314" t="n">
        <f aca="false">IF($A$2=TRUE(),+AC173+GC!AC365,+AC173)</f>
        <v>0.555985560429433</v>
      </c>
    </row>
    <row r="850" customFormat="false" ht="11.25" hidden="false" customHeight="false" outlineLevel="0" collapsed="false">
      <c r="A850" s="323"/>
      <c r="B850" s="314" t="s">
        <v>360</v>
      </c>
      <c r="C850" s="323"/>
      <c r="D850" s="314"/>
      <c r="E850" s="314" t="n">
        <f aca="false">+E374</f>
        <v>0</v>
      </c>
      <c r="F850" s="314" t="n">
        <f aca="false">+F374</f>
        <v>0</v>
      </c>
      <c r="G850" s="314" t="n">
        <f aca="false">+G374</f>
        <v>0</v>
      </c>
      <c r="H850" s="314" t="n">
        <f aca="false">+H374</f>
        <v>0</v>
      </c>
      <c r="I850" s="314" t="n">
        <f aca="false">IF($A$2=TRUE(),+I374+GC!I366,+I374)</f>
        <v>-15.5721785</v>
      </c>
      <c r="J850" s="314" t="n">
        <f aca="false">IF($A$2=TRUE(),+J374+GC!J366,+J374)</f>
        <v>-61.1626925</v>
      </c>
      <c r="K850" s="314" t="n">
        <f aca="false">IF($A$2=TRUE(),+K374+GC!K366,+K374)</f>
        <v>-54.3481525</v>
      </c>
      <c r="L850" s="314" t="n">
        <f aca="false">IF($A$2=TRUE(),+L374+GC!L366,+L374)</f>
        <v>-59.534535</v>
      </c>
      <c r="M850" s="314" t="n">
        <f aca="false">IF($A$2=TRUE(),+M374+GC!M366,+M374)</f>
        <v>-74.487706</v>
      </c>
      <c r="N850" s="314" t="n">
        <f aca="false">IF($A$2=TRUE(),+N374+GC!N366,+N374)</f>
        <v>-60.177172</v>
      </c>
      <c r="O850" s="314" t="n">
        <f aca="false">IF($A$2=TRUE(),+O374+GC!O366,+O374)</f>
        <v>-53.957826</v>
      </c>
      <c r="P850" s="314" t="n">
        <f aca="false">IF($A$2=TRUE(),+P374+GC!P366,+P374)</f>
        <v>-46.3863545</v>
      </c>
      <c r="Q850" s="314" t="n">
        <f aca="false">IF($A$2=TRUE(),+Q374+GC!Q366,+Q374)</f>
        <v>-58.2099935</v>
      </c>
      <c r="R850" s="314" t="n">
        <f aca="false">IF($A$2=TRUE(),+R374+GC!R366,+R374)</f>
        <v>-60.309171</v>
      </c>
      <c r="S850" s="314" t="n">
        <f aca="false">IF($A$2=TRUE(),+S374+GC!S366,+S374)</f>
        <v>-41.588261</v>
      </c>
      <c r="T850" s="314" t="n">
        <f aca="false">IF($A$2=TRUE(),+T374+GC!T366,+T374)</f>
        <v>-41.3316375</v>
      </c>
      <c r="U850" s="314" t="n">
        <f aca="false">IF($A$2=TRUE(),+U374+GC!U366,+U374)</f>
        <v>-41.113831</v>
      </c>
      <c r="V850" s="314" t="n">
        <f aca="false">IF($A$2=TRUE(),+V374+GC!V366,+V374)</f>
        <v>-40.928372</v>
      </c>
      <c r="W850" s="314" t="n">
        <f aca="false">IF($A$2=TRUE(),+W374+GC!W366,+W374)</f>
        <v>-20.449791</v>
      </c>
      <c r="X850" s="314" t="n">
        <f aca="false">IF($A$2=TRUE(),+X374+GC!X366,+X374)</f>
        <v>-20.316088</v>
      </c>
      <c r="Y850" s="314" t="n">
        <f aca="false">IF($A$2=TRUE(),+Y374+GC!Y366,+Y374)</f>
        <v>-5.5047935</v>
      </c>
      <c r="Z850" s="314" t="n">
        <f aca="false">IF($A$2=TRUE(),+Z374+GC!Z366,+Z374)</f>
        <v>0</v>
      </c>
      <c r="AA850" s="314" t="n">
        <f aca="false">IF($A$2=TRUE(),+AA374+GC!AA366,+AA374)</f>
        <v>0</v>
      </c>
      <c r="AB850" s="314" t="n">
        <f aca="false">IF($A$2=TRUE(),+AB374+GC!AB366,+AB374)</f>
        <v>0</v>
      </c>
      <c r="AC850" s="314" t="n">
        <f aca="false">IF($A$2=TRUE(),+AC374+GC!AC366,+AC374)</f>
        <v>0</v>
      </c>
    </row>
    <row r="851" customFormat="false" ht="11.25" hidden="false" customHeight="false" outlineLevel="0" collapsed="false">
      <c r="A851" s="323"/>
      <c r="B851" s="316" t="s">
        <v>361</v>
      </c>
      <c r="C851" s="323"/>
      <c r="D851" s="314"/>
      <c r="E851" s="314" t="n">
        <f aca="false">+E685</f>
        <v>0</v>
      </c>
      <c r="F851" s="314" t="n">
        <f aca="false">+F685</f>
        <v>0</v>
      </c>
      <c r="G851" s="314" t="n">
        <f aca="false">+G685</f>
        <v>0</v>
      </c>
      <c r="H851" s="314" t="n">
        <f aca="false">+H685</f>
        <v>0</v>
      </c>
      <c r="I851" s="314" t="n">
        <f aca="false">IF($A$2=TRUE(),+I685+GC!I367,+I685)</f>
        <v>0</v>
      </c>
      <c r="J851" s="314" t="n">
        <f aca="false">IF($A$2=TRUE(),+J685+GC!J367,+J685)</f>
        <v>0</v>
      </c>
      <c r="K851" s="314" t="n">
        <f aca="false">IF($A$2=TRUE(),+K685+GC!K367,+K685)</f>
        <v>0</v>
      </c>
      <c r="L851" s="314" t="n">
        <f aca="false">IF($A$2=TRUE(),+L685+GC!L367,+L685)</f>
        <v>0</v>
      </c>
      <c r="M851" s="314" t="n">
        <f aca="false">IF($A$2=TRUE(),+M685+GC!M367,+M685)</f>
        <v>0</v>
      </c>
      <c r="N851" s="314" t="n">
        <f aca="false">IF($A$2=TRUE(),+N685+GC!N367,+N685)</f>
        <v>0</v>
      </c>
      <c r="O851" s="314" t="n">
        <f aca="false">IF($A$2=TRUE(),+O685+GC!O367,+O685)</f>
        <v>0</v>
      </c>
      <c r="P851" s="314" t="n">
        <f aca="false">IF($A$2=TRUE(),+P685+GC!P367,+P685)</f>
        <v>0</v>
      </c>
      <c r="Q851" s="314" t="n">
        <f aca="false">IF($A$2=TRUE(),+Q685+GC!Q367,+Q685)</f>
        <v>0</v>
      </c>
      <c r="R851" s="314" t="n">
        <f aca="false">IF($A$2=TRUE(),+R685+GC!R367,+R685)</f>
        <v>0</v>
      </c>
      <c r="S851" s="314" t="n">
        <f aca="false">IF($A$2=TRUE(),+S685+GC!S367,+S685)</f>
        <v>0</v>
      </c>
      <c r="T851" s="314" t="n">
        <f aca="false">IF($A$2=TRUE(),+T685+GC!T367,+T685)</f>
        <v>0</v>
      </c>
      <c r="U851" s="314" t="n">
        <f aca="false">IF($A$2=TRUE(),+U685+GC!U367,+U685)</f>
        <v>0</v>
      </c>
      <c r="V851" s="314" t="n">
        <f aca="false">IF($A$2=TRUE(),+V685+GC!V367,+V685)</f>
        <v>0</v>
      </c>
      <c r="W851" s="314" t="n">
        <f aca="false">IF($A$2=TRUE(),+W685+GC!W367,+W685)</f>
        <v>0</v>
      </c>
      <c r="X851" s="314" t="n">
        <f aca="false">IF($A$2=TRUE(),+X685+GC!X367,+X685)</f>
        <v>0</v>
      </c>
      <c r="Y851" s="314" t="n">
        <f aca="false">IF($A$2=TRUE(),+Y685+GC!Y367,+Y685)</f>
        <v>0</v>
      </c>
      <c r="Z851" s="314" t="n">
        <f aca="false">IF($A$2=TRUE(),+Z685+GC!Z367,+Z685)</f>
        <v>0</v>
      </c>
      <c r="AA851" s="314" t="n">
        <f aca="false">IF($A$2=TRUE(),+AA685+GC!AA367,+AA685)</f>
        <v>0</v>
      </c>
      <c r="AB851" s="314" t="n">
        <f aca="false">IF($A$2=TRUE(),+AB685+GC!AB367,+AB685)</f>
        <v>0</v>
      </c>
      <c r="AC851" s="314" t="n">
        <f aca="false">IF($A$2=TRUE(),+AC685+GC!AC367,+AC685)</f>
        <v>0</v>
      </c>
    </row>
    <row r="852" customFormat="false" ht="11.25" hidden="false" customHeight="false" outlineLevel="0" collapsed="false">
      <c r="A852" s="323"/>
      <c r="B852" s="316" t="s">
        <v>362</v>
      </c>
      <c r="C852" s="323"/>
      <c r="D852" s="314"/>
      <c r="E852" s="314" t="n">
        <f aca="false">+E670</f>
        <v>0</v>
      </c>
      <c r="F852" s="314" t="n">
        <f aca="false">+F670</f>
        <v>0</v>
      </c>
      <c r="G852" s="314" t="n">
        <f aca="false">+G670</f>
        <v>0</v>
      </c>
      <c r="H852" s="314" t="n">
        <f aca="false">+H670</f>
        <v>0</v>
      </c>
      <c r="I852" s="314" t="n">
        <f aca="false">IF($A$2=TRUE(),+I670+GC!I368,+I670)</f>
        <v>0</v>
      </c>
      <c r="J852" s="314" t="n">
        <f aca="false">IF($A$2=TRUE(),+J670+GC!J368,+J670)</f>
        <v>0</v>
      </c>
      <c r="K852" s="314" t="n">
        <f aca="false">IF($A$2=TRUE(),+K670+GC!K368,+K670)</f>
        <v>0</v>
      </c>
      <c r="L852" s="314" t="n">
        <f aca="false">IF($A$2=TRUE(),+L670+GC!L368,+L670)</f>
        <v>0</v>
      </c>
      <c r="M852" s="314" t="n">
        <f aca="false">IF($A$2=TRUE(),+M670+GC!M368,+M670)</f>
        <v>0</v>
      </c>
      <c r="N852" s="314" t="n">
        <f aca="false">IF($A$2=TRUE(),+N670+GC!N368,+N670)</f>
        <v>0</v>
      </c>
      <c r="O852" s="314" t="n">
        <f aca="false">IF($A$2=TRUE(),+O670+GC!O368,+O670)</f>
        <v>0</v>
      </c>
      <c r="P852" s="314" t="n">
        <f aca="false">IF($A$2=TRUE(),+P670+GC!P368,+P670)</f>
        <v>0</v>
      </c>
      <c r="Q852" s="314" t="n">
        <f aca="false">IF($A$2=TRUE(),+Q670+GC!Q368,+Q670)</f>
        <v>0</v>
      </c>
      <c r="R852" s="314" t="n">
        <f aca="false">IF($A$2=TRUE(),+R670+GC!R368,+R670)</f>
        <v>0</v>
      </c>
      <c r="S852" s="314" t="n">
        <f aca="false">IF($A$2=TRUE(),+S670+GC!S368,+S670)</f>
        <v>0</v>
      </c>
      <c r="T852" s="314" t="n">
        <f aca="false">IF($A$2=TRUE(),+T670+GC!T368,+T670)</f>
        <v>0</v>
      </c>
      <c r="U852" s="314" t="n">
        <f aca="false">IF($A$2=TRUE(),+U670+GC!U368,+U670)</f>
        <v>0</v>
      </c>
      <c r="V852" s="314" t="n">
        <f aca="false">IF($A$2=TRUE(),+V670+GC!V368,+V670)</f>
        <v>0</v>
      </c>
      <c r="W852" s="314" t="n">
        <f aca="false">IF($A$2=TRUE(),+W670+GC!W368,+W670)</f>
        <v>0</v>
      </c>
      <c r="X852" s="314" t="n">
        <f aca="false">IF($A$2=TRUE(),+X670+GC!X368,+X670)</f>
        <v>0</v>
      </c>
      <c r="Y852" s="314" t="n">
        <f aca="false">IF($A$2=TRUE(),+Y670+GC!Y368,+Y670)</f>
        <v>0</v>
      </c>
      <c r="Z852" s="314" t="n">
        <f aca="false">IF($A$2=TRUE(),+Z670+GC!Z368,+Z670)</f>
        <v>0</v>
      </c>
      <c r="AA852" s="314" t="n">
        <f aca="false">IF($A$2=TRUE(),+AA670+GC!AA368,+AA670)</f>
        <v>0</v>
      </c>
      <c r="AB852" s="314" t="n">
        <f aca="false">IF($A$2=TRUE(),+AB670+GC!AB368,+AB670)</f>
        <v>0</v>
      </c>
      <c r="AC852" s="314" t="n">
        <f aca="false">IF($A$2=TRUE(),+AC670+GC!AC368,+AC670)</f>
        <v>0</v>
      </c>
    </row>
    <row r="853" customFormat="false" ht="11.25" hidden="false" customHeight="false" outlineLevel="0" collapsed="false">
      <c r="A853" s="324" t="s">
        <v>363</v>
      </c>
      <c r="B853" s="323"/>
      <c r="C853" s="321"/>
      <c r="D853" s="323"/>
      <c r="E853" s="323"/>
      <c r="F853" s="323"/>
      <c r="G853" s="323"/>
      <c r="H853" s="325"/>
      <c r="I853" s="326" t="n">
        <f aca="false">+I267</f>
        <v>-0.375</v>
      </c>
      <c r="J853" s="326" t="n">
        <f aca="false">+J267</f>
        <v>-0.375</v>
      </c>
      <c r="K853" s="326" t="n">
        <f aca="false">+K267</f>
        <v>-0.375</v>
      </c>
      <c r="L853" s="326" t="n">
        <f aca="false">+L267</f>
        <v>-0.375</v>
      </c>
      <c r="M853" s="326" t="n">
        <f aca="false">+M267</f>
        <v>-0.375</v>
      </c>
      <c r="N853" s="326" t="n">
        <f aca="false">+N267</f>
        <v>-0.375</v>
      </c>
      <c r="O853" s="326" t="n">
        <f aca="false">+O267</f>
        <v>-0.375</v>
      </c>
      <c r="P853" s="326" t="n">
        <f aca="false">+P267</f>
        <v>-0.375</v>
      </c>
      <c r="Q853" s="326" t="n">
        <f aca="false">+Q267</f>
        <v>-0.375</v>
      </c>
      <c r="R853" s="326" t="n">
        <f aca="false">+R267</f>
        <v>-0.375</v>
      </c>
      <c r="S853" s="326" t="n">
        <f aca="false">+S267</f>
        <v>-0.375</v>
      </c>
      <c r="T853" s="326" t="n">
        <f aca="false">+T267</f>
        <v>-0.375</v>
      </c>
      <c r="U853" s="326" t="n">
        <f aca="false">+U267</f>
        <v>-0.375</v>
      </c>
      <c r="V853" s="326" t="n">
        <f aca="false">+V267</f>
        <v>-0.375</v>
      </c>
      <c r="W853" s="326" t="n">
        <f aca="false">+W267</f>
        <v>-0.375</v>
      </c>
      <c r="X853" s="326" t="n">
        <f aca="false">+X267</f>
        <v>-0.375</v>
      </c>
      <c r="Y853" s="326" t="n">
        <f aca="false">+Y267</f>
        <v>-0.375</v>
      </c>
      <c r="Z853" s="326" t="n">
        <f aca="false">+Z267</f>
        <v>-0.375</v>
      </c>
      <c r="AA853" s="326" t="n">
        <f aca="false">+AA267</f>
        <v>-0.375</v>
      </c>
      <c r="AB853" s="326" t="n">
        <f aca="false">+AB267</f>
        <v>-0.375</v>
      </c>
      <c r="AC853" s="326" t="n">
        <f aca="false">+AC267</f>
        <v>-0.375</v>
      </c>
    </row>
    <row r="854" customFormat="false" ht="11.25" hidden="false" customHeight="false" outlineLevel="0" collapsed="false">
      <c r="A854" s="324" t="s">
        <v>364</v>
      </c>
      <c r="B854" s="323"/>
      <c r="C854" s="321"/>
      <c r="D854" s="323"/>
      <c r="E854" s="323"/>
      <c r="F854" s="323"/>
      <c r="G854" s="323"/>
      <c r="H854" s="325"/>
      <c r="I854" s="326" t="n">
        <f aca="false">+I251</f>
        <v>-2.375</v>
      </c>
      <c r="J854" s="326" t="n">
        <f aca="false">+J251</f>
        <v>-2.375</v>
      </c>
      <c r="K854" s="326" t="n">
        <f aca="false">+K251</f>
        <v>-2.375</v>
      </c>
      <c r="L854" s="326" t="n">
        <f aca="false">+L251</f>
        <v>-2.375</v>
      </c>
      <c r="M854" s="326" t="n">
        <f aca="false">+M251</f>
        <v>-2.375</v>
      </c>
      <c r="N854" s="326" t="n">
        <f aca="false">+N251</f>
        <v>-2.375</v>
      </c>
      <c r="O854" s="326" t="n">
        <f aca="false">+O251</f>
        <v>-2.375</v>
      </c>
      <c r="P854" s="326" t="n">
        <f aca="false">+P251</f>
        <v>-2.375</v>
      </c>
      <c r="Q854" s="326" t="n">
        <f aca="false">+Q251</f>
        <v>-2.375</v>
      </c>
      <c r="R854" s="326" t="n">
        <f aca="false">+R251</f>
        <v>-2.375</v>
      </c>
      <c r="S854" s="326" t="n">
        <f aca="false">+S251</f>
        <v>-2.375</v>
      </c>
      <c r="T854" s="326" t="n">
        <f aca="false">+T251</f>
        <v>-2.375</v>
      </c>
      <c r="U854" s="326" t="n">
        <f aca="false">+U251</f>
        <v>-2.375</v>
      </c>
      <c r="V854" s="326" t="n">
        <f aca="false">+V251</f>
        <v>-2.375</v>
      </c>
      <c r="W854" s="326" t="n">
        <f aca="false">+W251</f>
        <v>-2.375</v>
      </c>
      <c r="X854" s="326" t="n">
        <f aca="false">+X251</f>
        <v>-2.375</v>
      </c>
      <c r="Y854" s="326" t="n">
        <f aca="false">+Y251</f>
        <v>-2.375</v>
      </c>
      <c r="Z854" s="326" t="n">
        <f aca="false">+Z251</f>
        <v>-2.375</v>
      </c>
      <c r="AA854" s="326" t="n">
        <f aca="false">+AA251</f>
        <v>-2.375</v>
      </c>
      <c r="AB854" s="326" t="n">
        <f aca="false">+AB251</f>
        <v>-2.375</v>
      </c>
      <c r="AC854" s="326" t="n">
        <f aca="false">+AC251</f>
        <v>-2.375</v>
      </c>
    </row>
    <row r="855" customFormat="false" ht="11.25" hidden="false" customHeight="false" outlineLevel="0" collapsed="false">
      <c r="A855" s="327" t="s">
        <v>365</v>
      </c>
      <c r="B855" s="323" t="s">
        <v>149</v>
      </c>
      <c r="C855" s="321"/>
      <c r="D855" s="323"/>
      <c r="E855" s="323"/>
      <c r="F855" s="323"/>
      <c r="G855" s="323"/>
      <c r="H855" s="323"/>
      <c r="I855" s="328"/>
      <c r="J855" s="328"/>
      <c r="K855" s="328"/>
      <c r="L855" s="328"/>
      <c r="M855" s="328"/>
      <c r="N855" s="328"/>
      <c r="O855" s="328"/>
      <c r="P855" s="328"/>
      <c r="Q855" s="328"/>
      <c r="R855" s="328"/>
      <c r="S855" s="328"/>
      <c r="T855" s="328"/>
      <c r="U855" s="328"/>
      <c r="V855" s="328"/>
      <c r="W855" s="328"/>
      <c r="X855" s="328"/>
      <c r="Y855" s="328"/>
      <c r="Z855" s="328"/>
      <c r="AA855" s="328"/>
      <c r="AB855" s="328"/>
      <c r="AC855" s="328"/>
    </row>
    <row r="856" customFormat="false" ht="11.25" hidden="false" customHeight="false" outlineLevel="0" collapsed="false">
      <c r="A856" s="327"/>
      <c r="B856" s="323" t="s">
        <v>584</v>
      </c>
      <c r="C856" s="321"/>
      <c r="D856" s="323"/>
      <c r="E856" s="323"/>
      <c r="F856" s="323"/>
      <c r="G856" s="323"/>
      <c r="H856" s="323"/>
      <c r="I856" s="328" t="e">
        <f aca="false">I820</f>
        <v>#N/A</v>
      </c>
      <c r="J856" s="328" t="e">
        <f aca="false">J820</f>
        <v>#N/A</v>
      </c>
      <c r="K856" s="328" t="e">
        <f aca="false">K820</f>
        <v>#N/A</v>
      </c>
      <c r="L856" s="328" t="e">
        <f aca="false">L820</f>
        <v>#N/A</v>
      </c>
      <c r="M856" s="328" t="e">
        <f aca="false">M820</f>
        <v>#N/A</v>
      </c>
      <c r="N856" s="328" t="e">
        <f aca="false">N820</f>
        <v>#N/A</v>
      </c>
      <c r="O856" s="328" t="e">
        <f aca="false">O820</f>
        <v>#N/A</v>
      </c>
      <c r="P856" s="328" t="e">
        <f aca="false">P820</f>
        <v>#N/A</v>
      </c>
      <c r="Q856" s="328" t="e">
        <f aca="false">Q820</f>
        <v>#N/A</v>
      </c>
      <c r="R856" s="328" t="e">
        <f aca="false">R820</f>
        <v>#N/A</v>
      </c>
      <c r="S856" s="328" t="e">
        <f aca="false">S820</f>
        <v>#N/A</v>
      </c>
      <c r="T856" s="328" t="e">
        <f aca="false">T820</f>
        <v>#N/A</v>
      </c>
      <c r="U856" s="328" t="e">
        <f aca="false">U820</f>
        <v>#N/A</v>
      </c>
      <c r="V856" s="328" t="e">
        <f aca="false">V820</f>
        <v>#N/A</v>
      </c>
      <c r="W856" s="328" t="e">
        <f aca="false">W820</f>
        <v>#N/A</v>
      </c>
      <c r="X856" s="328" t="e">
        <f aca="false">X820</f>
        <v>#N/A</v>
      </c>
      <c r="Y856" s="328" t="e">
        <f aca="false">Y820</f>
        <v>#N/A</v>
      </c>
      <c r="Z856" s="328" t="e">
        <f aca="false">Z820</f>
        <v>#N/A</v>
      </c>
      <c r="AA856" s="328" t="e">
        <f aca="false">AA820</f>
        <v>#N/A</v>
      </c>
      <c r="AB856" s="328" t="e">
        <f aca="false">AB820</f>
        <v>#N/A</v>
      </c>
      <c r="AC856" s="328" t="e">
        <f aca="false">AC820</f>
        <v>#N/A</v>
      </c>
      <c r="AD856" s="328" t="n">
        <f aca="false">+AD820</f>
        <v>0</v>
      </c>
    </row>
    <row r="857" customFormat="false" ht="12" hidden="false" customHeight="false" outlineLevel="0" collapsed="false">
      <c r="A857" s="329"/>
      <c r="B857" s="329"/>
      <c r="C857" s="329"/>
      <c r="D857" s="329"/>
      <c r="E857" s="329"/>
      <c r="F857" s="329"/>
      <c r="G857" s="329"/>
      <c r="H857" s="329"/>
      <c r="I857" s="329"/>
      <c r="J857" s="329"/>
      <c r="K857" s="329"/>
      <c r="L857" s="329"/>
      <c r="M857" s="329"/>
      <c r="N857" s="329"/>
      <c r="O857" s="329"/>
      <c r="P857" s="329"/>
      <c r="Q857" s="329"/>
      <c r="R857" s="329"/>
      <c r="S857" s="329"/>
      <c r="T857" s="329"/>
      <c r="U857" s="329"/>
      <c r="V857" s="329"/>
      <c r="W857" s="329"/>
      <c r="X857" s="329"/>
      <c r="Y857" s="329"/>
      <c r="Z857" s="329"/>
      <c r="AA857" s="329"/>
      <c r="AB857" s="329"/>
      <c r="AC857" s="329"/>
    </row>
    <row r="858" customFormat="false" ht="12" hidden="false" customHeight="false" outlineLevel="0" collapsed="false">
      <c r="A858" s="314"/>
      <c r="B858" s="314"/>
      <c r="C858" s="314"/>
      <c r="D858" s="314"/>
      <c r="E858" s="314"/>
      <c r="F858" s="314"/>
      <c r="G858" s="314"/>
      <c r="H858" s="314"/>
      <c r="I858" s="314"/>
      <c r="J858" s="314"/>
      <c r="K858" s="314"/>
      <c r="L858" s="314"/>
      <c r="M858" s="314"/>
      <c r="N858" s="314"/>
      <c r="O858" s="314"/>
      <c r="P858" s="314"/>
      <c r="Q858" s="314"/>
      <c r="R858" s="314"/>
      <c r="S858" s="314"/>
      <c r="T858" s="314"/>
      <c r="U858" s="314"/>
      <c r="V858" s="314"/>
      <c r="W858" s="314"/>
      <c r="X858" s="314"/>
      <c r="Y858" s="314"/>
      <c r="Z858" s="314"/>
      <c r="AA858" s="314"/>
      <c r="AB858" s="314"/>
      <c r="AC858" s="314"/>
    </row>
    <row r="859" customFormat="false" ht="11.25" hidden="false" customHeight="false" outlineLevel="0" collapsed="false">
      <c r="A859" s="317" t="s">
        <v>366</v>
      </c>
      <c r="B859" s="314"/>
      <c r="C859" s="314"/>
      <c r="D859" s="314"/>
      <c r="E859" s="314"/>
      <c r="F859" s="314"/>
      <c r="G859" s="314"/>
      <c r="H859" s="330"/>
      <c r="I859" s="314"/>
      <c r="J859" s="314"/>
      <c r="K859" s="314"/>
      <c r="L859" s="314"/>
      <c r="M859" s="314"/>
      <c r="N859" s="314"/>
      <c r="O859" s="314"/>
      <c r="P859" s="314"/>
      <c r="Q859" s="314"/>
      <c r="R859" s="314"/>
      <c r="S859" s="314"/>
      <c r="T859" s="314"/>
      <c r="U859" s="314"/>
      <c r="V859" s="314"/>
      <c r="W859" s="314"/>
      <c r="X859" s="314"/>
      <c r="Y859" s="314"/>
      <c r="Z859" s="314"/>
      <c r="AA859" s="314"/>
      <c r="AB859" s="314"/>
      <c r="AC859" s="314"/>
    </row>
    <row r="860" customFormat="false" ht="11.25" hidden="false" customHeight="false" outlineLevel="0" collapsed="false">
      <c r="A860" s="314"/>
      <c r="B860" s="314"/>
      <c r="C860" s="314"/>
      <c r="D860" s="314"/>
      <c r="E860" s="314" t="s">
        <v>367</v>
      </c>
      <c r="F860" s="314"/>
      <c r="G860" s="314"/>
      <c r="H860" s="330" t="n">
        <f aca="false">+CFMODEL!H966</f>
        <v>0.5</v>
      </c>
      <c r="I860" s="314"/>
      <c r="J860" s="314"/>
      <c r="K860" s="314"/>
      <c r="L860" s="314"/>
      <c r="M860" s="314"/>
      <c r="N860" s="314"/>
      <c r="O860" s="314"/>
      <c r="P860" s="314"/>
      <c r="Q860" s="314"/>
      <c r="R860" s="314"/>
      <c r="S860" s="314"/>
      <c r="T860" s="314"/>
      <c r="U860" s="314"/>
      <c r="V860" s="314"/>
      <c r="W860" s="314"/>
      <c r="X860" s="314"/>
      <c r="Y860" s="314"/>
      <c r="Z860" s="314"/>
      <c r="AA860" s="314"/>
      <c r="AB860" s="314"/>
      <c r="AC860" s="314"/>
    </row>
    <row r="861" customFormat="false" ht="11.25" hidden="false" customHeight="false" outlineLevel="0" collapsed="false">
      <c r="A861" s="314"/>
      <c r="B861" s="314"/>
      <c r="C861" s="314"/>
      <c r="D861" s="314"/>
      <c r="E861" s="316" t="s">
        <v>368</v>
      </c>
      <c r="F861" s="314"/>
      <c r="G861" s="331"/>
      <c r="H861" s="314" t="n">
        <f aca="false">+CFMODEL!H967</f>
        <v>1000</v>
      </c>
      <c r="I861" s="314"/>
      <c r="J861" s="314"/>
      <c r="K861" s="314"/>
      <c r="L861" s="314"/>
      <c r="M861" s="314"/>
      <c r="N861" s="314"/>
      <c r="O861" s="314"/>
      <c r="P861" s="314"/>
      <c r="Q861" s="314"/>
      <c r="R861" s="314"/>
      <c r="S861" s="314"/>
      <c r="T861" s="314"/>
      <c r="U861" s="314"/>
      <c r="V861" s="314"/>
      <c r="W861" s="314"/>
      <c r="X861" s="314"/>
      <c r="Y861" s="314"/>
      <c r="Z861" s="314"/>
      <c r="AA861" s="314"/>
      <c r="AB861" s="314"/>
      <c r="AC861" s="314"/>
    </row>
    <row r="862" customFormat="false" ht="11.25" hidden="false" customHeight="false" outlineLevel="0" collapsed="false">
      <c r="A862" s="314"/>
      <c r="B862" s="314"/>
      <c r="C862" s="314"/>
      <c r="D862" s="314"/>
      <c r="E862" s="314" t="s">
        <v>467</v>
      </c>
      <c r="F862" s="314"/>
      <c r="G862" s="331"/>
      <c r="H862" s="314"/>
      <c r="I862" s="314" t="n">
        <f aca="false">+CFMODEL!I968</f>
        <v>0</v>
      </c>
      <c r="J862" s="314" t="n">
        <f aca="false">+CFMODEL!J968</f>
        <v>0</v>
      </c>
      <c r="K862" s="314" t="n">
        <f aca="false">+CFMODEL!K968</f>
        <v>0</v>
      </c>
      <c r="L862" s="314" t="n">
        <f aca="false">+CFMODEL!L968</f>
        <v>0</v>
      </c>
      <c r="M862" s="314" t="n">
        <f aca="false">+CFMODEL!M968</f>
        <v>0</v>
      </c>
      <c r="N862" s="314" t="n">
        <f aca="false">+CFMODEL!N968</f>
        <v>0</v>
      </c>
      <c r="O862" s="314" t="n">
        <f aca="false">+CFMODEL!O968</f>
        <v>0</v>
      </c>
      <c r="P862" s="314" t="n">
        <f aca="false">+CFMODEL!P968</f>
        <v>21.4315938930788</v>
      </c>
      <c r="Q862" s="314" t="n">
        <f aca="false">+CFMODEL!Q968</f>
        <v>22.2088025917535</v>
      </c>
      <c r="R862" s="314" t="n">
        <f aca="false">+CFMODEL!R968</f>
        <v>31.3069685310948</v>
      </c>
      <c r="S862" s="314" t="n">
        <f aca="false">+CFMODEL!S968</f>
        <v>25.2466750274407</v>
      </c>
      <c r="T862" s="314" t="n">
        <f aca="false">+CFMODEL!T968</f>
        <v>20.1120534257774</v>
      </c>
      <c r="U862" s="314" t="n">
        <f aca="false">+CFMODEL!U968</f>
        <v>15.7983600253203</v>
      </c>
      <c r="V862" s="314" t="n">
        <f aca="false">+CFMODEL!V968</f>
        <v>12.1823129393752</v>
      </c>
      <c r="W862" s="314" t="n">
        <f aca="false">+CFMODEL!W968</f>
        <v>9.21328528298236</v>
      </c>
      <c r="X862" s="314" t="n">
        <f aca="false">+CFMODEL!X968</f>
        <v>6.77844092643017</v>
      </c>
      <c r="Y862" s="314" t="n">
        <f aca="false">+CFMODEL!Y968</f>
        <v>4.80323779905537</v>
      </c>
      <c r="Z862" s="314" t="n">
        <f aca="false">+CFMODEL!Z968</f>
        <v>3.2465984900921</v>
      </c>
      <c r="AA862" s="314" t="n">
        <f aca="false">+CFMODEL!AA968</f>
        <v>2.10308483906068</v>
      </c>
      <c r="AB862" s="314" t="n">
        <f aca="false">+CFMODEL!AB968</f>
        <v>1.22865755890106</v>
      </c>
      <c r="AC862" s="314" t="n">
        <f aca="false">+CFMODEL!AC968</f>
        <v>0.555985560429427</v>
      </c>
    </row>
    <row r="863" customFormat="false" ht="12" hidden="false" customHeight="false" outlineLevel="0" collapsed="false">
      <c r="A863" s="329"/>
      <c r="B863" s="329"/>
      <c r="C863" s="329"/>
      <c r="D863" s="329"/>
      <c r="E863" s="329"/>
      <c r="F863" s="329"/>
      <c r="G863" s="329"/>
      <c r="H863" s="329"/>
      <c r="I863" s="329"/>
      <c r="J863" s="329"/>
      <c r="K863" s="329"/>
      <c r="L863" s="329"/>
      <c r="M863" s="329"/>
      <c r="N863" s="329"/>
      <c r="O863" s="329"/>
      <c r="P863" s="329"/>
      <c r="Q863" s="329"/>
      <c r="R863" s="329"/>
      <c r="S863" s="329"/>
      <c r="T863" s="329"/>
      <c r="U863" s="329"/>
      <c r="V863" s="329"/>
      <c r="W863" s="329"/>
      <c r="X863" s="329"/>
      <c r="Y863" s="329"/>
      <c r="Z863" s="329"/>
      <c r="AA863" s="329"/>
      <c r="AB863" s="329"/>
      <c r="AC863" s="329"/>
    </row>
    <row r="864" customFormat="false" ht="12" hidden="false" customHeight="false" outlineLevel="0" collapsed="false"/>
    <row r="867" customFormat="false" ht="11.25" hidden="false" customHeight="false" outlineLevel="0" collapsed="false">
      <c r="A867" s="43" t="s">
        <v>585</v>
      </c>
    </row>
    <row r="868" customFormat="false" ht="11.25" hidden="false" customHeight="false" outlineLevel="0" collapsed="false">
      <c r="B868" s="67" t="s">
        <v>391</v>
      </c>
      <c r="I868" s="67" t="n">
        <f aca="false">+I247</f>
        <v>64.9006922589234</v>
      </c>
      <c r="J868" s="67" t="n">
        <f aca="false">+J247</f>
        <v>129.801384517847</v>
      </c>
      <c r="K868" s="67" t="n">
        <f aca="false">+K247</f>
        <v>102.105385466751</v>
      </c>
      <c r="L868" s="67" t="n">
        <f aca="false">+L247</f>
        <v>80.3189409730863</v>
      </c>
      <c r="M868" s="67" t="n">
        <f aca="false">+M247</f>
        <v>63.1811167407896</v>
      </c>
      <c r="N868" s="67" t="n">
        <f aca="false">+N247</f>
        <v>49.7000267216036</v>
      </c>
      <c r="O868" s="67" t="n">
        <f aca="false">+O247</f>
        <v>39.0954257149656</v>
      </c>
      <c r="P868" s="67" t="n">
        <f aca="false">+P247</f>
        <v>30.7535511076497</v>
      </c>
      <c r="Q868" s="67" t="n">
        <f aca="false">+Q247</f>
        <v>24.1916001280114</v>
      </c>
      <c r="R868" s="67" t="n">
        <f aca="false">+R247</f>
        <v>19.029786664475</v>
      </c>
      <c r="S868" s="67" t="n">
        <f aca="false">+S247</f>
        <v>14.9693603804288</v>
      </c>
      <c r="T868" s="67" t="n">
        <f aca="false">+T247</f>
        <v>11.7753159375911</v>
      </c>
      <c r="U868" s="67" t="n">
        <f aca="false">+U247</f>
        <v>9.26279158937017</v>
      </c>
      <c r="V868" s="67" t="n">
        <f aca="false">+V247</f>
        <v>7.28636993545152</v>
      </c>
      <c r="W868" s="67" t="n">
        <f aca="false">+W247</f>
        <v>5.73166159726387</v>
      </c>
      <c r="X868" s="67" t="n">
        <f aca="false">+X247</f>
        <v>4.50868470261298</v>
      </c>
      <c r="Y868" s="67" t="n">
        <f aca="false">+Y247</f>
        <v>3.54665700383994</v>
      </c>
      <c r="Z868" s="67" t="n">
        <f aca="false">+Z247</f>
        <v>2.78989921286732</v>
      </c>
      <c r="AA868" s="67" t="n">
        <f aca="false">+AA247</f>
        <v>2.19461245040908</v>
      </c>
      <c r="AB868" s="67" t="n">
        <f aca="false">+AB247</f>
        <v>1.72634329773532</v>
      </c>
      <c r="AC868" s="67" t="n">
        <f aca="false">+AC247</f>
        <v>1.35798973576412</v>
      </c>
      <c r="AD868" s="67" t="n">
        <f aca="false">SUM(I868:AC868)</f>
        <v>668.227596137436</v>
      </c>
    </row>
    <row r="869" customFormat="false" ht="11.25" hidden="false" customHeight="false" outlineLevel="0" collapsed="false">
      <c r="B869" s="67" t="s">
        <v>392</v>
      </c>
      <c r="I869" s="67" t="n">
        <f aca="false">+I317</f>
        <v>2.589</v>
      </c>
      <c r="J869" s="67" t="n">
        <f aca="false">+J317</f>
        <v>8.145</v>
      </c>
      <c r="K869" s="67" t="n">
        <f aca="false">+K317</f>
        <v>4.985</v>
      </c>
      <c r="L869" s="67" t="n">
        <f aca="false">+L317</f>
        <v>7.39</v>
      </c>
      <c r="M869" s="67" t="n">
        <f aca="false">+M317</f>
        <v>14.324</v>
      </c>
      <c r="N869" s="67" t="n">
        <f aca="false">+N317</f>
        <v>7.688</v>
      </c>
      <c r="O869" s="67" t="n">
        <f aca="false">+O317</f>
        <v>4.804</v>
      </c>
      <c r="P869" s="67" t="n">
        <f aca="false">+P317</f>
        <v>1.293</v>
      </c>
      <c r="Q869" s="67" t="n">
        <f aca="false">+Q317</f>
        <v>1.099</v>
      </c>
      <c r="R869" s="67" t="n">
        <f aca="false">+R317</f>
        <v>0.934</v>
      </c>
      <c r="S869" s="67" t="n">
        <f aca="false">+S317</f>
        <v>0.794</v>
      </c>
      <c r="T869" s="67" t="n">
        <f aca="false">+T317</f>
        <v>0.675</v>
      </c>
      <c r="U869" s="67" t="n">
        <f aca="false">+U317</f>
        <v>0.574</v>
      </c>
      <c r="V869" s="67" t="n">
        <f aca="false">+V317</f>
        <v>0.488</v>
      </c>
      <c r="W869" s="67" t="n">
        <f aca="false">+W317</f>
        <v>0.414</v>
      </c>
      <c r="X869" s="67" t="n">
        <f aca="false">+X317</f>
        <v>0.352</v>
      </c>
      <c r="Y869" s="67" t="n">
        <f aca="false">+Y317</f>
        <v>0.299</v>
      </c>
      <c r="Z869" s="67" t="n">
        <f aca="false">+Z317</f>
        <v>0</v>
      </c>
      <c r="AA869" s="67" t="n">
        <f aca="false">+AA317</f>
        <v>0</v>
      </c>
      <c r="AB869" s="67" t="n">
        <f aca="false">+AB317</f>
        <v>0</v>
      </c>
      <c r="AC869" s="67" t="n">
        <f aca="false">+AC317</f>
        <v>0</v>
      </c>
      <c r="AD869" s="67" t="n">
        <f aca="false">SUM(I869:AC869)</f>
        <v>56.847</v>
      </c>
    </row>
    <row r="870" customFormat="false" ht="11.25" hidden="false" customHeight="false" outlineLevel="0" collapsed="false">
      <c r="B870" s="67" t="s">
        <v>393</v>
      </c>
      <c r="I870" s="67" t="n">
        <f aca="false">+I390</f>
        <v>0</v>
      </c>
      <c r="J870" s="67" t="n">
        <f aca="false">+J390</f>
        <v>0</v>
      </c>
      <c r="K870" s="67" t="n">
        <f aca="false">+K390</f>
        <v>0</v>
      </c>
      <c r="L870" s="67" t="n">
        <f aca="false">+L390</f>
        <v>0</v>
      </c>
      <c r="M870" s="67" t="n">
        <f aca="false">+M390</f>
        <v>0</v>
      </c>
      <c r="N870" s="67" t="n">
        <f aca="false">+N390</f>
        <v>0</v>
      </c>
      <c r="O870" s="67" t="n">
        <f aca="false">+O390</f>
        <v>0</v>
      </c>
      <c r="P870" s="67" t="n">
        <f aca="false">+P390</f>
        <v>0</v>
      </c>
      <c r="Q870" s="67" t="n">
        <f aca="false">+Q390</f>
        <v>0</v>
      </c>
      <c r="R870" s="67" t="n">
        <f aca="false">+R390</f>
        <v>0</v>
      </c>
      <c r="S870" s="67" t="n">
        <f aca="false">+S390</f>
        <v>0</v>
      </c>
      <c r="T870" s="67" t="n">
        <f aca="false">+T390</f>
        <v>0</v>
      </c>
      <c r="U870" s="67" t="n">
        <f aca="false">+U390</f>
        <v>0</v>
      </c>
      <c r="V870" s="67" t="n">
        <f aca="false">+V390</f>
        <v>0</v>
      </c>
      <c r="W870" s="67" t="n">
        <f aca="false">+W390</f>
        <v>0</v>
      </c>
      <c r="X870" s="67" t="n">
        <f aca="false">+X390</f>
        <v>0</v>
      </c>
      <c r="Y870" s="67" t="n">
        <f aca="false">+Y390</f>
        <v>0</v>
      </c>
      <c r="Z870" s="67" t="n">
        <f aca="false">+Z390</f>
        <v>0</v>
      </c>
      <c r="AA870" s="67" t="n">
        <f aca="false">+AA390</f>
        <v>0</v>
      </c>
      <c r="AB870" s="67" t="n">
        <f aca="false">+AB390</f>
        <v>0</v>
      </c>
      <c r="AC870" s="67" t="n">
        <f aca="false">+AC390</f>
        <v>0</v>
      </c>
      <c r="AD870" s="67" t="n">
        <f aca="false">SUM(I870:AC870)</f>
        <v>0</v>
      </c>
    </row>
    <row r="871" customFormat="false" ht="11.25" hidden="false" customHeight="false" outlineLevel="0" collapsed="false">
      <c r="B871" s="67" t="s">
        <v>586</v>
      </c>
      <c r="I871" s="67" t="n">
        <f aca="false">+I460</f>
        <v>0</v>
      </c>
      <c r="J871" s="67" t="n">
        <f aca="false">+J460</f>
        <v>0</v>
      </c>
      <c r="K871" s="67" t="n">
        <f aca="false">+K460</f>
        <v>0</v>
      </c>
      <c r="L871" s="67" t="n">
        <f aca="false">+L460</f>
        <v>0</v>
      </c>
      <c r="M871" s="67" t="n">
        <f aca="false">+M460</f>
        <v>0</v>
      </c>
      <c r="N871" s="67" t="n">
        <f aca="false">+N460</f>
        <v>0</v>
      </c>
      <c r="O871" s="67" t="n">
        <f aca="false">+O460</f>
        <v>0</v>
      </c>
      <c r="P871" s="67" t="n">
        <f aca="false">+P460</f>
        <v>0</v>
      </c>
      <c r="Q871" s="67" t="n">
        <f aca="false">+Q460</f>
        <v>0</v>
      </c>
      <c r="R871" s="67" t="n">
        <f aca="false">+R460</f>
        <v>0</v>
      </c>
      <c r="S871" s="67" t="n">
        <f aca="false">+S460</f>
        <v>0</v>
      </c>
      <c r="T871" s="67" t="n">
        <f aca="false">+T460</f>
        <v>0</v>
      </c>
      <c r="U871" s="67" t="n">
        <f aca="false">+U460</f>
        <v>0</v>
      </c>
      <c r="V871" s="67" t="n">
        <f aca="false">+V460</f>
        <v>0</v>
      </c>
      <c r="W871" s="67" t="n">
        <f aca="false">+W460</f>
        <v>0</v>
      </c>
      <c r="X871" s="67" t="n">
        <f aca="false">+X460</f>
        <v>0</v>
      </c>
      <c r="Y871" s="67" t="n">
        <f aca="false">+Y460</f>
        <v>0</v>
      </c>
      <c r="Z871" s="67" t="n">
        <f aca="false">+Z460</f>
        <v>0</v>
      </c>
      <c r="AA871" s="67" t="n">
        <f aca="false">+AA460</f>
        <v>0</v>
      </c>
      <c r="AB871" s="67" t="n">
        <f aca="false">+AB460</f>
        <v>0</v>
      </c>
      <c r="AC871" s="67" t="n">
        <f aca="false">+AC460</f>
        <v>0</v>
      </c>
      <c r="AD871" s="67" t="n">
        <f aca="false">SUM(I871:AC871)</f>
        <v>0</v>
      </c>
    </row>
    <row r="872" customFormat="false" ht="11.25" hidden="false" customHeight="false" outlineLevel="0" collapsed="false">
      <c r="B872" s="67" t="s">
        <v>587</v>
      </c>
      <c r="I872" s="67" t="n">
        <f aca="false">+I530</f>
        <v>0</v>
      </c>
      <c r="J872" s="67" t="n">
        <f aca="false">+J530</f>
        <v>0</v>
      </c>
      <c r="K872" s="67" t="n">
        <f aca="false">+K530</f>
        <v>0</v>
      </c>
      <c r="L872" s="67" t="n">
        <f aca="false">+L530</f>
        <v>0</v>
      </c>
      <c r="M872" s="67" t="n">
        <f aca="false">+M530</f>
        <v>0</v>
      </c>
      <c r="N872" s="67" t="n">
        <f aca="false">+N530</f>
        <v>0</v>
      </c>
      <c r="O872" s="67" t="n">
        <f aca="false">+O530</f>
        <v>0</v>
      </c>
      <c r="P872" s="67" t="n">
        <f aca="false">+P530</f>
        <v>0</v>
      </c>
      <c r="Q872" s="67" t="n">
        <f aca="false">+Q530</f>
        <v>0</v>
      </c>
      <c r="R872" s="67" t="n">
        <f aca="false">+R530</f>
        <v>0</v>
      </c>
      <c r="S872" s="67" t="n">
        <f aca="false">+S530</f>
        <v>0</v>
      </c>
      <c r="T872" s="67" t="n">
        <f aca="false">+T530</f>
        <v>0</v>
      </c>
      <c r="U872" s="67" t="n">
        <f aca="false">+U530</f>
        <v>0</v>
      </c>
      <c r="V872" s="67" t="n">
        <f aca="false">+V530</f>
        <v>0</v>
      </c>
      <c r="W872" s="67" t="n">
        <f aca="false">+W530</f>
        <v>0</v>
      </c>
      <c r="X872" s="67" t="n">
        <f aca="false">+X530</f>
        <v>0</v>
      </c>
      <c r="Y872" s="67" t="n">
        <f aca="false">+Y530</f>
        <v>0</v>
      </c>
      <c r="Z872" s="67" t="n">
        <f aca="false">+Z530</f>
        <v>0</v>
      </c>
      <c r="AA872" s="67" t="n">
        <f aca="false">+AA530</f>
        <v>0</v>
      </c>
      <c r="AB872" s="67" t="n">
        <f aca="false">+AB530</f>
        <v>0</v>
      </c>
      <c r="AC872" s="67" t="n">
        <f aca="false">+AC530</f>
        <v>0</v>
      </c>
      <c r="AD872" s="67" t="n">
        <f aca="false">SUM(I872:AC872)</f>
        <v>0</v>
      </c>
    </row>
    <row r="873" customFormat="false" ht="11.25" hidden="false" customHeight="false" outlineLevel="0" collapsed="false">
      <c r="B873" s="65" t="s">
        <v>588</v>
      </c>
      <c r="I873" s="68" t="n">
        <f aca="false">SUM(I868:I872)</f>
        <v>67.4896922589234</v>
      </c>
      <c r="J873" s="68" t="n">
        <f aca="false">SUM(J868:J872)</f>
        <v>137.946384517847</v>
      </c>
      <c r="K873" s="68" t="n">
        <f aca="false">SUM(K868:K872)</f>
        <v>107.090385466751</v>
      </c>
      <c r="L873" s="68" t="n">
        <f aca="false">SUM(L868:L872)</f>
        <v>87.7089409730863</v>
      </c>
      <c r="M873" s="68" t="n">
        <f aca="false">SUM(M868:M872)</f>
        <v>77.5051167407896</v>
      </c>
      <c r="N873" s="68" t="n">
        <f aca="false">SUM(N868:N872)</f>
        <v>57.3880267216036</v>
      </c>
      <c r="O873" s="68" t="n">
        <f aca="false">SUM(O868:O872)</f>
        <v>43.8994257149656</v>
      </c>
      <c r="P873" s="68" t="n">
        <f aca="false">SUM(P868:P872)</f>
        <v>32.0465511076497</v>
      </c>
      <c r="Q873" s="68" t="n">
        <f aca="false">SUM(Q868:Q872)</f>
        <v>25.2906001280114</v>
      </c>
      <c r="R873" s="68" t="n">
        <f aca="false">SUM(R868:R872)</f>
        <v>19.963786664475</v>
      </c>
      <c r="S873" s="68" t="n">
        <f aca="false">SUM(S868:S872)</f>
        <v>15.7633603804288</v>
      </c>
      <c r="T873" s="68" t="n">
        <f aca="false">SUM(T868:T872)</f>
        <v>12.4503159375911</v>
      </c>
      <c r="U873" s="68" t="n">
        <f aca="false">SUM(U868:U872)</f>
        <v>9.83679158937017</v>
      </c>
      <c r="V873" s="68" t="n">
        <f aca="false">SUM(V868:V872)</f>
        <v>7.77436993545152</v>
      </c>
      <c r="W873" s="68" t="n">
        <f aca="false">SUM(W868:W872)</f>
        <v>6.14566159726387</v>
      </c>
      <c r="X873" s="68" t="n">
        <f aca="false">SUM(X868:X872)</f>
        <v>4.86068470261298</v>
      </c>
      <c r="Y873" s="68" t="n">
        <f aca="false">SUM(Y868:Y872)</f>
        <v>3.84565700383994</v>
      </c>
      <c r="Z873" s="68" t="n">
        <f aca="false">SUM(Z868:Z872)</f>
        <v>2.78989921286732</v>
      </c>
      <c r="AA873" s="68" t="n">
        <f aca="false">SUM(AA868:AA872)</f>
        <v>2.19461245040908</v>
      </c>
      <c r="AB873" s="68" t="n">
        <f aca="false">SUM(AB868:AB872)</f>
        <v>1.72634329773532</v>
      </c>
      <c r="AC873" s="68" t="n">
        <f aca="false">SUM(AC868:AC872)</f>
        <v>1.35798973576412</v>
      </c>
      <c r="AD873" s="68" t="n">
        <f aca="false">SUM(AD868:AD872)</f>
        <v>725.074596137436</v>
      </c>
    </row>
    <row r="874" customFormat="false" ht="11.25" hidden="false" customHeight="false" outlineLevel="0" collapsed="false">
      <c r="B874" s="12" t="s">
        <v>589</v>
      </c>
      <c r="I874" s="80" t="n">
        <f aca="false">SUM(I868:I870)</f>
        <v>67.4896922589234</v>
      </c>
      <c r="J874" s="80" t="n">
        <f aca="false">SUM(J868:J870)</f>
        <v>137.946384517847</v>
      </c>
      <c r="K874" s="80" t="n">
        <f aca="false">SUM(K868:K870)</f>
        <v>107.090385466751</v>
      </c>
      <c r="L874" s="80" t="n">
        <f aca="false">SUM(L868:L870)</f>
        <v>87.7089409730863</v>
      </c>
      <c r="M874" s="80" t="n">
        <f aca="false">SUM(M868:M870)</f>
        <v>77.5051167407896</v>
      </c>
      <c r="N874" s="80" t="n">
        <f aca="false">SUM(N868:N870)</f>
        <v>57.3880267216036</v>
      </c>
      <c r="O874" s="80" t="n">
        <f aca="false">SUM(O868:O870)</f>
        <v>43.8994257149656</v>
      </c>
      <c r="P874" s="80" t="n">
        <f aca="false">SUM(P868:P870)</f>
        <v>32.0465511076497</v>
      </c>
      <c r="Q874" s="80" t="n">
        <f aca="false">SUM(Q868:Q870)</f>
        <v>25.2906001280114</v>
      </c>
      <c r="R874" s="80" t="n">
        <f aca="false">SUM(R868:R870)</f>
        <v>19.963786664475</v>
      </c>
      <c r="S874" s="80" t="n">
        <f aca="false">SUM(S868:S870)</f>
        <v>15.7633603804288</v>
      </c>
      <c r="T874" s="80" t="n">
        <f aca="false">SUM(T868:T870)</f>
        <v>12.4503159375911</v>
      </c>
      <c r="U874" s="80" t="n">
        <f aca="false">SUM(U868:U870)</f>
        <v>9.83679158937017</v>
      </c>
      <c r="V874" s="80" t="n">
        <f aca="false">SUM(V868:V870)</f>
        <v>7.77436993545152</v>
      </c>
      <c r="W874" s="80" t="n">
        <f aca="false">SUM(W868:W870)</f>
        <v>6.14566159726387</v>
      </c>
      <c r="X874" s="80" t="n">
        <f aca="false">SUM(X868:X870)</f>
        <v>4.86068470261298</v>
      </c>
      <c r="Y874" s="80" t="n">
        <f aca="false">SUM(Y868:Y870)</f>
        <v>3.84565700383994</v>
      </c>
      <c r="Z874" s="80" t="n">
        <f aca="false">SUM(Z868:Z870)</f>
        <v>2.78989921286732</v>
      </c>
      <c r="AA874" s="80" t="n">
        <f aca="false">SUM(AA868:AA870)</f>
        <v>2.19461245040908</v>
      </c>
      <c r="AB874" s="80" t="n">
        <f aca="false">SUM(AB868:AB870)</f>
        <v>1.72634329773532</v>
      </c>
      <c r="AC874" s="80" t="n">
        <f aca="false">SUM(AC868:AC870)</f>
        <v>1.35798973576412</v>
      </c>
      <c r="AD874" s="67" t="n">
        <f aca="false">SUM(I874:AC874)</f>
        <v>725.074596137436</v>
      </c>
    </row>
    <row r="875" customFormat="false" ht="11.25" hidden="false" customHeight="false" outlineLevel="0" collapsed="false">
      <c r="B875" s="12" t="s">
        <v>590</v>
      </c>
      <c r="I875" s="80" t="n">
        <f aca="false">SUM(I871:I872)</f>
        <v>0</v>
      </c>
      <c r="J875" s="80" t="n">
        <f aca="false">SUM(J871:J872)</f>
        <v>0</v>
      </c>
      <c r="K875" s="80" t="n">
        <f aca="false">SUM(K871:K872)</f>
        <v>0</v>
      </c>
      <c r="L875" s="80" t="n">
        <f aca="false">SUM(L871:L872)</f>
        <v>0</v>
      </c>
      <c r="M875" s="80" t="n">
        <f aca="false">SUM(M871:M872)</f>
        <v>0</v>
      </c>
      <c r="N875" s="80" t="n">
        <f aca="false">SUM(N871:N872)</f>
        <v>0</v>
      </c>
      <c r="O875" s="80" t="n">
        <f aca="false">SUM(O871:O872)</f>
        <v>0</v>
      </c>
      <c r="P875" s="80" t="n">
        <f aca="false">SUM(P871:P872)</f>
        <v>0</v>
      </c>
      <c r="Q875" s="80" t="n">
        <f aca="false">SUM(Q871:Q872)</f>
        <v>0</v>
      </c>
      <c r="R875" s="80" t="n">
        <f aca="false">SUM(R871:R872)</f>
        <v>0</v>
      </c>
      <c r="S875" s="80" t="n">
        <f aca="false">SUM(S871:S872)</f>
        <v>0</v>
      </c>
      <c r="T875" s="80" t="n">
        <f aca="false">SUM(T871:T872)</f>
        <v>0</v>
      </c>
      <c r="U875" s="80" t="n">
        <f aca="false">SUM(U871:U872)</f>
        <v>0</v>
      </c>
      <c r="V875" s="80" t="n">
        <f aca="false">SUM(V871:V872)</f>
        <v>0</v>
      </c>
      <c r="W875" s="80" t="n">
        <f aca="false">SUM(W871:W872)</f>
        <v>0</v>
      </c>
      <c r="X875" s="80" t="n">
        <f aca="false">SUM(X871:X872)</f>
        <v>0</v>
      </c>
      <c r="Y875" s="80" t="n">
        <f aca="false">SUM(Y871:Y872)</f>
        <v>0</v>
      </c>
      <c r="Z875" s="80" t="n">
        <f aca="false">SUM(Z871:Z872)</f>
        <v>0</v>
      </c>
      <c r="AA875" s="80" t="n">
        <f aca="false">SUM(AA871:AA872)</f>
        <v>0</v>
      </c>
      <c r="AB875" s="80" t="n">
        <f aca="false">SUM(AB871:AB872)</f>
        <v>0</v>
      </c>
      <c r="AC875" s="80" t="n">
        <f aca="false">SUM(AC871:AC872)</f>
        <v>0</v>
      </c>
      <c r="AD875" s="67" t="n">
        <f aca="false">SUM(I875:AC875)</f>
        <v>0</v>
      </c>
    </row>
    <row r="877" customFormat="false" ht="11.25" hidden="false" customHeight="false" outlineLevel="0" collapsed="false">
      <c r="A877" s="43" t="s">
        <v>591</v>
      </c>
    </row>
    <row r="878" customFormat="false" ht="11.25" hidden="false" customHeight="false" outlineLevel="0" collapsed="false">
      <c r="B878" s="67" t="s">
        <v>391</v>
      </c>
      <c r="I878" s="67" t="n">
        <f aca="false">+I260</f>
        <v>932.095791088988</v>
      </c>
      <c r="J878" s="67" t="n">
        <f aca="false">+J260</f>
        <v>1864.19158217798</v>
      </c>
      <c r="K878" s="67" t="n">
        <f aca="false">+K260</f>
        <v>1604.52456436503</v>
      </c>
      <c r="L878" s="67" t="n">
        <f aca="false">+L260</f>
        <v>1381.02709091892</v>
      </c>
      <c r="M878" s="67" t="n">
        <f aca="false">+M260</f>
        <v>1188.66103281301</v>
      </c>
      <c r="N878" s="67" t="n">
        <f aca="false">+N260</f>
        <v>1023.09003220781</v>
      </c>
      <c r="O878" s="67" t="n">
        <f aca="false">+O260</f>
        <v>880.581751322229</v>
      </c>
      <c r="P878" s="67" t="n">
        <f aca="false">+P260</f>
        <v>757.923737257389</v>
      </c>
      <c r="Q878" s="67" t="n">
        <f aca="false">+Q260</f>
        <v>652.351006179325</v>
      </c>
      <c r="R878" s="67" t="n">
        <f aca="false">+R260</f>
        <v>561.483714447457</v>
      </c>
      <c r="S878" s="67" t="n">
        <f aca="false">+S260</f>
        <v>483.273511657696</v>
      </c>
      <c r="T878" s="67" t="n">
        <f aca="false">+T260</f>
        <v>415.957366278727</v>
      </c>
      <c r="U878" s="67" t="n">
        <f aca="false">+U260</f>
        <v>358.01782300886</v>
      </c>
      <c r="V878" s="67" t="n">
        <f aca="false">+V260</f>
        <v>308.14879596606</v>
      </c>
      <c r="W878" s="67" t="n">
        <f aca="false">+W260</f>
        <v>265.226126613766</v>
      </c>
      <c r="X878" s="67" t="n">
        <f aca="false">+X260</f>
        <v>228.28224273279</v>
      </c>
      <c r="Y878" s="67" t="n">
        <f aca="false">+Y260</f>
        <v>196.484347196314</v>
      </c>
      <c r="Z878" s="67" t="n">
        <f aca="false">+Z260</f>
        <v>169.115644874538</v>
      </c>
      <c r="AA878" s="67" t="n">
        <f aca="false">+AA260</f>
        <v>145.559184481782</v>
      </c>
      <c r="AB878" s="67" t="n">
        <f aca="false">+AB260</f>
        <v>125.283951125396</v>
      </c>
      <c r="AC878" s="67" t="n">
        <f aca="false">+AC260</f>
        <v>107.832896051676</v>
      </c>
      <c r="AD878" s="67" t="n">
        <f aca="false">SUM(I878:AC878)</f>
        <v>13649.1121927657</v>
      </c>
    </row>
    <row r="879" customFormat="false" ht="11.25" hidden="false" customHeight="false" outlineLevel="0" collapsed="false">
      <c r="B879" s="67" t="s">
        <v>392</v>
      </c>
      <c r="I879" s="67" t="n">
        <f aca="false">+I330</f>
        <v>0</v>
      </c>
      <c r="J879" s="67" t="n">
        <f aca="false">+J330</f>
        <v>0</v>
      </c>
      <c r="K879" s="67" t="n">
        <f aca="false">+K330</f>
        <v>0</v>
      </c>
      <c r="L879" s="67" t="n">
        <f aca="false">+L330</f>
        <v>0</v>
      </c>
      <c r="M879" s="67" t="n">
        <f aca="false">+M330</f>
        <v>0</v>
      </c>
      <c r="N879" s="67" t="n">
        <f aca="false">+N330</f>
        <v>0</v>
      </c>
      <c r="O879" s="67" t="n">
        <f aca="false">+O330</f>
        <v>0</v>
      </c>
      <c r="P879" s="67" t="n">
        <f aca="false">+P330</f>
        <v>0</v>
      </c>
      <c r="Q879" s="67" t="n">
        <f aca="false">+Q330</f>
        <v>0</v>
      </c>
      <c r="R879" s="67" t="n">
        <f aca="false">+R330</f>
        <v>0</v>
      </c>
      <c r="S879" s="67" t="n">
        <f aca="false">+S330</f>
        <v>0</v>
      </c>
      <c r="T879" s="67" t="n">
        <f aca="false">+T330</f>
        <v>0</v>
      </c>
      <c r="U879" s="67" t="n">
        <f aca="false">+U330</f>
        <v>0</v>
      </c>
      <c r="V879" s="67" t="n">
        <f aca="false">+V330</f>
        <v>0</v>
      </c>
      <c r="W879" s="67" t="n">
        <f aca="false">+W330</f>
        <v>0</v>
      </c>
      <c r="X879" s="67" t="n">
        <f aca="false">+X330</f>
        <v>0</v>
      </c>
      <c r="Y879" s="67" t="n">
        <f aca="false">+Y330</f>
        <v>0</v>
      </c>
      <c r="Z879" s="67" t="n">
        <f aca="false">+Z330</f>
        <v>0</v>
      </c>
      <c r="AA879" s="67" t="n">
        <f aca="false">+AA330</f>
        <v>0</v>
      </c>
      <c r="AB879" s="67" t="n">
        <f aca="false">+AB330</f>
        <v>0</v>
      </c>
      <c r="AC879" s="67" t="n">
        <f aca="false">+AC330</f>
        <v>0</v>
      </c>
      <c r="AD879" s="67" t="n">
        <f aca="false">SUM(I879:AC879)</f>
        <v>0</v>
      </c>
    </row>
    <row r="880" customFormat="false" ht="11.25" hidden="false" customHeight="false" outlineLevel="0" collapsed="false">
      <c r="B880" s="67" t="s">
        <v>393</v>
      </c>
      <c r="I880" s="67" t="n">
        <f aca="false">+I403</f>
        <v>16.143</v>
      </c>
      <c r="J880" s="67" t="n">
        <f aca="false">+J403</f>
        <v>362.264</v>
      </c>
      <c r="K880" s="67" t="n">
        <f aca="false">+K403</f>
        <v>611.795</v>
      </c>
      <c r="L880" s="67" t="n">
        <f aca="false">+L403</f>
        <v>803.259</v>
      </c>
      <c r="M880" s="67" t="n">
        <f aca="false">+M403</f>
        <v>888.624</v>
      </c>
      <c r="N880" s="67" t="n">
        <f aca="false">+N403</f>
        <v>969.214</v>
      </c>
      <c r="O880" s="67" t="n">
        <f aca="false">+O403</f>
        <v>902.536</v>
      </c>
      <c r="P880" s="67" t="n">
        <f aca="false">+P403</f>
        <v>809.743</v>
      </c>
      <c r="Q880" s="67" t="n">
        <f aca="false">+Q403</f>
        <v>722.288</v>
      </c>
      <c r="R880" s="67" t="n">
        <f aca="false">+R403</f>
        <v>621.26</v>
      </c>
      <c r="S880" s="67" t="n">
        <f aca="false">+S403</f>
        <v>525.72</v>
      </c>
      <c r="T880" s="67" t="n">
        <f aca="false">+T403</f>
        <v>436.474</v>
      </c>
      <c r="U880" s="67" t="n">
        <f aca="false">+U403</f>
        <v>360.151</v>
      </c>
      <c r="V880" s="67" t="n">
        <f aca="false">+V403</f>
        <v>283.332</v>
      </c>
      <c r="W880" s="67" t="n">
        <f aca="false">+W403</f>
        <v>221.216</v>
      </c>
      <c r="X880" s="67" t="n">
        <f aca="false">+X403</f>
        <v>167.08</v>
      </c>
      <c r="Y880" s="67" t="n">
        <f aca="false">+Y403</f>
        <v>115.007</v>
      </c>
      <c r="Z880" s="67" t="n">
        <f aca="false">+Z403</f>
        <v>59.918</v>
      </c>
      <c r="AA880" s="67" t="n">
        <f aca="false">+AA403</f>
        <v>29.212</v>
      </c>
      <c r="AB880" s="67" t="n">
        <f aca="false">+AB403</f>
        <v>8.934</v>
      </c>
      <c r="AC880" s="67" t="n">
        <f aca="false">+AC403</f>
        <v>3.516</v>
      </c>
      <c r="AD880" s="67" t="n">
        <f aca="false">SUM(I880:AC880)</f>
        <v>8917.686</v>
      </c>
    </row>
    <row r="881" customFormat="false" ht="11.25" hidden="false" customHeight="false" outlineLevel="0" collapsed="false">
      <c r="B881" s="67" t="s">
        <v>586</v>
      </c>
      <c r="I881" s="67" t="n">
        <f aca="false">+I473</f>
        <v>0</v>
      </c>
      <c r="J881" s="67" t="n">
        <f aca="false">+J473</f>
        <v>0</v>
      </c>
      <c r="K881" s="67" t="n">
        <f aca="false">+K473</f>
        <v>0</v>
      </c>
      <c r="L881" s="67" t="n">
        <f aca="false">+L473</f>
        <v>0</v>
      </c>
      <c r="M881" s="67" t="n">
        <f aca="false">+M473</f>
        <v>0</v>
      </c>
      <c r="N881" s="67" t="n">
        <f aca="false">+N473</f>
        <v>0</v>
      </c>
      <c r="O881" s="67" t="n">
        <f aca="false">+O473</f>
        <v>0</v>
      </c>
      <c r="P881" s="67" t="n">
        <f aca="false">+P473</f>
        <v>0</v>
      </c>
      <c r="Q881" s="67" t="n">
        <f aca="false">+Q473</f>
        <v>0</v>
      </c>
      <c r="R881" s="67" t="n">
        <f aca="false">+R473</f>
        <v>0</v>
      </c>
      <c r="S881" s="67" t="n">
        <f aca="false">+S473</f>
        <v>0</v>
      </c>
      <c r="T881" s="67" t="n">
        <f aca="false">+T473</f>
        <v>0</v>
      </c>
      <c r="U881" s="67" t="n">
        <f aca="false">+U473</f>
        <v>0</v>
      </c>
      <c r="V881" s="67" t="n">
        <f aca="false">+V473</f>
        <v>0</v>
      </c>
      <c r="W881" s="67" t="n">
        <f aca="false">+W473</f>
        <v>0</v>
      </c>
      <c r="X881" s="67" t="n">
        <f aca="false">+X473</f>
        <v>0</v>
      </c>
      <c r="Y881" s="67" t="n">
        <f aca="false">+Y473</f>
        <v>0</v>
      </c>
      <c r="Z881" s="67" t="n">
        <f aca="false">+Z473</f>
        <v>0</v>
      </c>
      <c r="AA881" s="67" t="n">
        <f aca="false">+AA473</f>
        <v>0</v>
      </c>
      <c r="AB881" s="67" t="n">
        <f aca="false">+AB473</f>
        <v>0</v>
      </c>
      <c r="AC881" s="67" t="n">
        <f aca="false">+AC473</f>
        <v>0</v>
      </c>
      <c r="AD881" s="67" t="n">
        <f aca="false">SUM(I881:AC881)</f>
        <v>0</v>
      </c>
    </row>
    <row r="882" customFormat="false" ht="11.25" hidden="false" customHeight="false" outlineLevel="0" collapsed="false">
      <c r="B882" s="67" t="s">
        <v>587</v>
      </c>
      <c r="I882" s="67" t="n">
        <f aca="false">+I543</f>
        <v>0</v>
      </c>
      <c r="J882" s="67" t="n">
        <f aca="false">+J543</f>
        <v>0</v>
      </c>
      <c r="K882" s="67" t="n">
        <f aca="false">+K543</f>
        <v>0</v>
      </c>
      <c r="L882" s="67" t="n">
        <f aca="false">+L543</f>
        <v>0</v>
      </c>
      <c r="M882" s="67" t="n">
        <f aca="false">+M543</f>
        <v>0</v>
      </c>
      <c r="N882" s="67" t="n">
        <f aca="false">+N543</f>
        <v>0</v>
      </c>
      <c r="O882" s="67" t="n">
        <f aca="false">+O543</f>
        <v>0</v>
      </c>
      <c r="P882" s="67" t="n">
        <f aca="false">+P543</f>
        <v>0</v>
      </c>
      <c r="Q882" s="67" t="n">
        <f aca="false">+Q543</f>
        <v>0</v>
      </c>
      <c r="R882" s="67" t="n">
        <f aca="false">+R543</f>
        <v>0</v>
      </c>
      <c r="S882" s="67" t="n">
        <f aca="false">+S543</f>
        <v>0</v>
      </c>
      <c r="T882" s="67" t="n">
        <f aca="false">+T543</f>
        <v>0</v>
      </c>
      <c r="U882" s="67" t="n">
        <f aca="false">+U543</f>
        <v>0</v>
      </c>
      <c r="V882" s="67" t="n">
        <f aca="false">+V543</f>
        <v>0</v>
      </c>
      <c r="W882" s="67" t="n">
        <f aca="false">+W543</f>
        <v>0</v>
      </c>
      <c r="X882" s="67" t="n">
        <f aca="false">+X543</f>
        <v>0</v>
      </c>
      <c r="Y882" s="67" t="n">
        <f aca="false">+Y543</f>
        <v>0</v>
      </c>
      <c r="Z882" s="67" t="n">
        <f aca="false">+Z543</f>
        <v>0</v>
      </c>
      <c r="AA882" s="67" t="n">
        <f aca="false">+AA543</f>
        <v>0</v>
      </c>
      <c r="AB882" s="67" t="n">
        <f aca="false">+AB543</f>
        <v>0</v>
      </c>
      <c r="AC882" s="67" t="n">
        <f aca="false">+AC543</f>
        <v>0</v>
      </c>
      <c r="AD882" s="67" t="n">
        <f aca="false">SUM(I882:AC882)</f>
        <v>0</v>
      </c>
    </row>
    <row r="883" customFormat="false" ht="11.25" hidden="false" customHeight="false" outlineLevel="0" collapsed="false">
      <c r="B883" s="65" t="s">
        <v>588</v>
      </c>
      <c r="I883" s="68" t="n">
        <f aca="false">SUM(I878:I882)</f>
        <v>948.238791088988</v>
      </c>
      <c r="J883" s="68" t="n">
        <f aca="false">SUM(J878:J882)</f>
        <v>2226.45558217798</v>
      </c>
      <c r="K883" s="68" t="n">
        <f aca="false">SUM(K878:K882)</f>
        <v>2216.31956436503</v>
      </c>
      <c r="L883" s="68" t="n">
        <f aca="false">SUM(L878:L882)</f>
        <v>2184.28609091893</v>
      </c>
      <c r="M883" s="68" t="n">
        <f aca="false">SUM(M878:M882)</f>
        <v>2077.28503281301</v>
      </c>
      <c r="N883" s="68" t="n">
        <f aca="false">SUM(N878:N882)</f>
        <v>1992.30403220781</v>
      </c>
      <c r="O883" s="68" t="n">
        <f aca="false">SUM(O878:O882)</f>
        <v>1783.11775132223</v>
      </c>
      <c r="P883" s="68" t="n">
        <f aca="false">SUM(P878:P882)</f>
        <v>1567.66673725739</v>
      </c>
      <c r="Q883" s="68" t="n">
        <f aca="false">SUM(Q878:Q882)</f>
        <v>1374.63900617932</v>
      </c>
      <c r="R883" s="68" t="n">
        <f aca="false">SUM(R878:R882)</f>
        <v>1182.74371444746</v>
      </c>
      <c r="S883" s="68" t="n">
        <f aca="false">SUM(S878:S882)</f>
        <v>1008.9935116577</v>
      </c>
      <c r="T883" s="68" t="n">
        <f aca="false">SUM(T878:T882)</f>
        <v>852.431366278727</v>
      </c>
      <c r="U883" s="68" t="n">
        <f aca="false">SUM(U878:U882)</f>
        <v>718.16882300886</v>
      </c>
      <c r="V883" s="68" t="n">
        <f aca="false">SUM(V878:V882)</f>
        <v>591.48079596606</v>
      </c>
      <c r="W883" s="68" t="n">
        <f aca="false">SUM(W878:W882)</f>
        <v>486.442126613766</v>
      </c>
      <c r="X883" s="68" t="n">
        <f aca="false">SUM(X878:X882)</f>
        <v>395.36224273279</v>
      </c>
      <c r="Y883" s="68" t="n">
        <f aca="false">SUM(Y878:Y882)</f>
        <v>311.491347196314</v>
      </c>
      <c r="Z883" s="68" t="n">
        <f aca="false">SUM(Z878:Z882)</f>
        <v>229.033644874538</v>
      </c>
      <c r="AA883" s="68" t="n">
        <f aca="false">SUM(AA878:AA882)</f>
        <v>174.771184481782</v>
      </c>
      <c r="AB883" s="68" t="n">
        <f aca="false">SUM(AB878:AB882)</f>
        <v>134.217951125396</v>
      </c>
      <c r="AC883" s="68" t="n">
        <f aca="false">SUM(AC878:AC882)</f>
        <v>111.348896051676</v>
      </c>
      <c r="AD883" s="68" t="n">
        <f aca="false">SUM(AD878:AD882)</f>
        <v>22566.7981927657</v>
      </c>
    </row>
    <row r="884" customFormat="false" ht="11.25" hidden="false" customHeight="false" outlineLevel="0" collapsed="false">
      <c r="B884" s="12" t="s">
        <v>589</v>
      </c>
      <c r="I884" s="80" t="n">
        <f aca="false">SUM(I878:I880)</f>
        <v>948.238791088988</v>
      </c>
      <c r="J884" s="80" t="n">
        <f aca="false">SUM(J878:J880)</f>
        <v>2226.45558217798</v>
      </c>
      <c r="K884" s="80" t="n">
        <f aca="false">SUM(K878:K880)</f>
        <v>2216.31956436503</v>
      </c>
      <c r="L884" s="80" t="n">
        <f aca="false">SUM(L878:L880)</f>
        <v>2184.28609091893</v>
      </c>
      <c r="M884" s="80" t="n">
        <f aca="false">SUM(M878:M880)</f>
        <v>2077.28503281301</v>
      </c>
      <c r="N884" s="80" t="n">
        <f aca="false">SUM(N878:N880)</f>
        <v>1992.30403220781</v>
      </c>
      <c r="O884" s="80" t="n">
        <f aca="false">SUM(O878:O880)</f>
        <v>1783.11775132223</v>
      </c>
      <c r="P884" s="80" t="n">
        <f aca="false">SUM(P878:P880)</f>
        <v>1567.66673725739</v>
      </c>
      <c r="Q884" s="80" t="n">
        <f aca="false">SUM(Q878:Q880)</f>
        <v>1374.63900617932</v>
      </c>
      <c r="R884" s="80" t="n">
        <f aca="false">SUM(R878:R880)</f>
        <v>1182.74371444746</v>
      </c>
      <c r="S884" s="80" t="n">
        <f aca="false">SUM(S878:S880)</f>
        <v>1008.9935116577</v>
      </c>
      <c r="T884" s="80" t="n">
        <f aca="false">SUM(T878:T880)</f>
        <v>852.431366278727</v>
      </c>
      <c r="U884" s="80" t="n">
        <f aca="false">SUM(U878:U880)</f>
        <v>718.16882300886</v>
      </c>
      <c r="V884" s="80" t="n">
        <f aca="false">SUM(V878:V880)</f>
        <v>591.48079596606</v>
      </c>
      <c r="W884" s="80" t="n">
        <f aca="false">SUM(W878:W880)</f>
        <v>486.442126613766</v>
      </c>
      <c r="X884" s="80" t="n">
        <f aca="false">SUM(X878:X880)</f>
        <v>395.36224273279</v>
      </c>
      <c r="Y884" s="80" t="n">
        <f aca="false">SUM(Y878:Y880)</f>
        <v>311.491347196314</v>
      </c>
      <c r="Z884" s="80" t="n">
        <f aca="false">SUM(Z878:Z880)</f>
        <v>229.033644874538</v>
      </c>
      <c r="AA884" s="80" t="n">
        <f aca="false">SUM(AA878:AA880)</f>
        <v>174.771184481782</v>
      </c>
      <c r="AB884" s="80" t="n">
        <f aca="false">SUM(AB878:AB880)</f>
        <v>134.217951125396</v>
      </c>
      <c r="AC884" s="80" t="n">
        <f aca="false">SUM(AC878:AC880)</f>
        <v>111.348896051676</v>
      </c>
      <c r="AD884" s="67" t="n">
        <f aca="false">SUM(I884:AC884)</f>
        <v>22566.7981927657</v>
      </c>
    </row>
    <row r="885" customFormat="false" ht="11.25" hidden="false" customHeight="false" outlineLevel="0" collapsed="false">
      <c r="B885" s="12" t="s">
        <v>590</v>
      </c>
      <c r="I885" s="80" t="n">
        <f aca="false">SUM(I881:I882)</f>
        <v>0</v>
      </c>
      <c r="J885" s="80" t="n">
        <f aca="false">SUM(J881:J882)</f>
        <v>0</v>
      </c>
      <c r="K885" s="80" t="n">
        <f aca="false">SUM(K881:K882)</f>
        <v>0</v>
      </c>
      <c r="L885" s="80" t="n">
        <f aca="false">SUM(L881:L882)</f>
        <v>0</v>
      </c>
      <c r="M885" s="80" t="n">
        <f aca="false">SUM(M881:M882)</f>
        <v>0</v>
      </c>
      <c r="N885" s="80" t="n">
        <f aca="false">SUM(N881:N882)</f>
        <v>0</v>
      </c>
      <c r="O885" s="80" t="n">
        <f aca="false">SUM(O881:O882)</f>
        <v>0</v>
      </c>
      <c r="P885" s="80" t="n">
        <f aca="false">SUM(P881:P882)</f>
        <v>0</v>
      </c>
      <c r="Q885" s="80" t="n">
        <f aca="false">SUM(Q881:Q882)</f>
        <v>0</v>
      </c>
      <c r="R885" s="80" t="n">
        <f aca="false">SUM(R881:R882)</f>
        <v>0</v>
      </c>
      <c r="S885" s="80" t="n">
        <f aca="false">SUM(S881:S882)</f>
        <v>0</v>
      </c>
      <c r="T885" s="80" t="n">
        <f aca="false">SUM(T881:T882)</f>
        <v>0</v>
      </c>
      <c r="U885" s="80" t="n">
        <f aca="false">SUM(U881:U882)</f>
        <v>0</v>
      </c>
      <c r="V885" s="80" t="n">
        <f aca="false">SUM(V881:V882)</f>
        <v>0</v>
      </c>
      <c r="W885" s="80" t="n">
        <f aca="false">SUM(W881:W882)</f>
        <v>0</v>
      </c>
      <c r="X885" s="80" t="n">
        <f aca="false">SUM(X881:X882)</f>
        <v>0</v>
      </c>
      <c r="Y885" s="80" t="n">
        <f aca="false">SUM(Y881:Y882)</f>
        <v>0</v>
      </c>
      <c r="Z885" s="80" t="n">
        <f aca="false">SUM(Z881:Z882)</f>
        <v>0</v>
      </c>
      <c r="AA885" s="80" t="n">
        <f aca="false">SUM(AA881:AA882)</f>
        <v>0</v>
      </c>
      <c r="AB885" s="80" t="n">
        <f aca="false">SUM(AB881:AB882)</f>
        <v>0</v>
      </c>
      <c r="AC885" s="80" t="n">
        <f aca="false">SUM(AC881:AC882)</f>
        <v>0</v>
      </c>
      <c r="AD885" s="67" t="n">
        <f aca="false">SUM(I885:AC885)</f>
        <v>0</v>
      </c>
    </row>
  </sheetData>
  <mergeCells count="2">
    <mergeCell ref="C76:I76"/>
    <mergeCell ref="L76:R76"/>
  </mergeCells>
  <printOptions headings="false" gridLines="false" gridLinesSet="true" horizontalCentered="true" verticalCentered="false"/>
  <pageMargins left="0.1" right="0.1" top="0.4" bottom="0.5" header="0.511811023622047" footer="0.5"/>
  <pageSetup paperSize="5" scale="100" fitToWidth="1" fitToHeight="15" pageOrder="downThenOver" orientation="landscape" blackAndWhite="false" draft="false" cellComments="none" horizontalDpi="300" verticalDpi="300" copies="1"/>
  <headerFooter differentFirst="false" differentOddEven="false">
    <oddHeader/>
    <oddFooter>&amp;LFile:  G:\COMMON\FROM_LRF\LYCO1013.XLS&amp;CPage 17&amp;RUpdated by:  Frazier, Lamar</oddFooter>
  </headerFooter>
  <rowBreaks count="1" manualBreakCount="1">
    <brk id="194" man="true" max="16383" min="0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4" name="Button 5">
              <controlPr defaultSize="0" print="false" autoFill="0" autoPict="0" macro="xls.Emacros.eprt">
                <anchor moveWithCells="true" sizeWithCells="false">
                  <from>
                    <xdr:col>0</xdr:col>
                    <xdr:colOff>0</xdr:colOff>
                    <xdr:row>0</xdr:row>
                    <xdr:rowOff>0</xdr:rowOff>
                  </from>
                  <to>
                    <xdr:col>1</xdr:col>
                    <xdr:colOff>720</xdr:colOff>
                    <xdr:row>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5" name="Button 6">
              <controlPr defaultSize="0" print="false" autoFill="0" autoPict="0" macro="xls.Emacros.ego">
                <anchor moveWithCells="true" sizeWithCells="false">
                  <from>
                    <xdr:col>1</xdr:col>
                    <xdr:colOff>0</xdr:colOff>
                    <xdr:row>0</xdr:row>
                    <xdr:rowOff>0</xdr:rowOff>
                  </from>
                  <to>
                    <xdr:col>2</xdr:col>
                    <xdr:colOff>720</xdr:colOff>
                    <xdr:row>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3" r:id="rId6" name="Include Going Concern">
              <controlPr defaultSize="0" locked="1" autoFill="0" autoLine="0" autoPict="0" print="true" altText="Check Box 7">
                <anchor moveWithCells="true" sizeWithCells="false">
                  <from>
                    <xdr:col>0</xdr:col>
                    <xdr:colOff>9360</xdr:colOff>
                    <xdr:row>1</xdr:row>
                    <xdr:rowOff>9720</xdr:rowOff>
                  </from>
                  <to>
                    <xdr:col>2</xdr:col>
                    <xdr:colOff>179640</xdr:colOff>
                    <xdr:row>2</xdr:row>
                    <xdr:rowOff>56880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4" r:id="rId7" name="Button 19">
              <controlPr defaultSize="0" print="false" autoFill="0" autoPict="0" macro="xls.Emacros.terasa">
                <anchor moveWithCells="true" sizeWithCells="false">
                  <from>
                    <xdr:col>6</xdr:col>
                    <xdr:colOff>94320</xdr:colOff>
                    <xdr:row>826</xdr:row>
                    <xdr:rowOff>123840</xdr:rowOff>
                  </from>
                  <to>
                    <xdr:col>7</xdr:col>
                    <xdr:colOff>-55800</xdr:colOff>
                    <xdr:row>827</xdr:row>
                    <xdr:rowOff>142920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59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pane xSplit="3" ySplit="3" topLeftCell="D4" activePane="bottomRight" state="frozen"/>
      <selection pane="topLeft" activeCell="A1" activeCellId="0" sqref="A1"/>
      <selection pane="topRight" activeCell="D1" activeCellId="0" sqref="D1"/>
      <selection pane="bottomLeft" activeCell="A4" activeCellId="0" sqref="A4"/>
      <selection pane="bottomRight" activeCell="C2" activeCellId="0" sqref="C2"/>
    </sheetView>
  </sheetViews>
  <sheetFormatPr defaultColWidth="9.65625" defaultRowHeight="11.25" customHeight="true" zeroHeight="false" outlineLevelRow="0" outlineLevelCol="0"/>
  <cols>
    <col collapsed="false" customWidth="true" hidden="false" outlineLevel="0" max="1" min="1" style="35" width="10.82"/>
    <col collapsed="false" customWidth="true" hidden="false" outlineLevel="0" max="2" min="2" style="35" width="12.65"/>
    <col collapsed="false" customWidth="true" hidden="false" outlineLevel="0" max="3" min="3" style="35" width="10.82"/>
    <col collapsed="false" customWidth="true" hidden="false" outlineLevel="0" max="4" min="4" style="35" width="10.65"/>
    <col collapsed="false" customWidth="true" hidden="false" outlineLevel="0" max="7" min="5" style="35" width="9.82"/>
    <col collapsed="false" customWidth="true" hidden="false" outlineLevel="0" max="8" min="8" style="35" width="11.16"/>
    <col collapsed="false" customWidth="true" hidden="false" outlineLevel="0" max="9" min="9" style="35" width="12.82"/>
    <col collapsed="false" customWidth="true" hidden="false" outlineLevel="0" max="14" min="10" style="35" width="9.82"/>
    <col collapsed="false" customWidth="false" hidden="false" outlineLevel="0" max="15" min="15" style="35" width="9.65"/>
    <col collapsed="false" customWidth="true" hidden="false" outlineLevel="0" max="19" min="16" style="35" width="9.82"/>
    <col collapsed="false" customWidth="false" hidden="false" outlineLevel="0" max="32" min="20" style="35" width="9.65"/>
    <col collapsed="false" customWidth="false" hidden="false" outlineLevel="0" max="257" min="33" style="332" width="9.65"/>
  </cols>
  <sheetData>
    <row r="1" customFormat="false" ht="12" hidden="false" customHeight="false" outlineLevel="0" collapsed="false">
      <c r="A1" s="35" t="n">
        <v>99</v>
      </c>
      <c r="B1" s="67" t="n">
        <v>99</v>
      </c>
      <c r="C1" s="35" t="n">
        <v>99</v>
      </c>
      <c r="H1" s="65"/>
      <c r="I1" s="67"/>
      <c r="J1" s="333"/>
      <c r="Y1" s="67"/>
      <c r="AG1" s="332" t="b">
        <f aca="false">FALSE()</f>
        <v>0</v>
      </c>
    </row>
    <row r="2" customFormat="false" ht="12.75" hidden="false" customHeight="false" outlineLevel="0" collapsed="false">
      <c r="A2" s="67" t="n">
        <v>100</v>
      </c>
      <c r="B2" s="67" t="n">
        <v>1</v>
      </c>
      <c r="E2" s="67"/>
      <c r="G2" s="334"/>
      <c r="H2" s="335" t="str">
        <f aca="false">TEXT(H170,"m/d/yy")&amp;" or"</f>
        <v>6/30/99 or</v>
      </c>
      <c r="I2" s="38" t="str">
        <f aca="false">TEXT(I170,"m/d/yy")&amp;" or"</f>
        <v>12/31/99 or</v>
      </c>
      <c r="J2" s="34" t="s">
        <v>373</v>
      </c>
      <c r="S2" s="36" t="s">
        <v>592</v>
      </c>
      <c r="T2" s="67"/>
      <c r="X2" s="38" t="s">
        <v>593</v>
      </c>
      <c r="Y2" s="67"/>
      <c r="AB2" s="334"/>
      <c r="AC2" s="38" t="s">
        <v>13</v>
      </c>
      <c r="AG2" s="332" t="b">
        <f aca="false">FALSE()</f>
        <v>0</v>
      </c>
    </row>
    <row r="3" customFormat="false" ht="12.75" hidden="false" customHeight="false" outlineLevel="0" collapsed="false">
      <c r="A3" s="35" t="n">
        <v>6</v>
      </c>
      <c r="B3" s="336" t="e">
        <f aca="false">SUM(E219:AC219)</f>
        <v>#VALUE!</v>
      </c>
      <c r="E3" s="72" t="str">
        <f aca="false">TEXT(E580,"0")&amp;" "</f>
        <v>1996 </v>
      </c>
      <c r="F3" s="72" t="str">
        <f aca="false">TEXT(F580,"0")&amp;" "</f>
        <v>1997 </v>
      </c>
      <c r="G3" s="72" t="str">
        <f aca="false">TEXT(G580,"0")&amp;" "</f>
        <v>1998 </v>
      </c>
      <c r="H3" s="337" t="str">
        <f aca="false">H468&amp;" "</f>
        <v>6 M/1999 </v>
      </c>
      <c r="I3" s="41" t="str">
        <f aca="false">I468&amp;" "</f>
        <v>6 M/1999 </v>
      </c>
      <c r="J3" s="40" t="n">
        <f aca="false">J580</f>
        <v>2000</v>
      </c>
      <c r="K3" s="40" t="n">
        <f aca="false">K580</f>
        <v>2001</v>
      </c>
      <c r="L3" s="40" t="n">
        <f aca="false">L580</f>
        <v>2002</v>
      </c>
      <c r="M3" s="40" t="n">
        <f aca="false">M580</f>
        <v>2003</v>
      </c>
      <c r="N3" s="40" t="n">
        <f aca="false">N580</f>
        <v>2004</v>
      </c>
      <c r="O3" s="40" t="n">
        <f aca="false">O580</f>
        <v>2005</v>
      </c>
      <c r="P3" s="40" t="n">
        <f aca="false">P580</f>
        <v>2006</v>
      </c>
      <c r="Q3" s="40" t="n">
        <f aca="false">Q580</f>
        <v>2007</v>
      </c>
      <c r="R3" s="40" t="n">
        <f aca="false">R580</f>
        <v>2008</v>
      </c>
      <c r="S3" s="41" t="n">
        <f aca="false">S580</f>
        <v>2009</v>
      </c>
      <c r="T3" s="40" t="n">
        <f aca="false">T580</f>
        <v>2010</v>
      </c>
      <c r="U3" s="40" t="n">
        <f aca="false">U580</f>
        <v>2011</v>
      </c>
      <c r="V3" s="40" t="n">
        <f aca="false">V580</f>
        <v>2012</v>
      </c>
      <c r="W3" s="40" t="n">
        <f aca="false">W580</f>
        <v>2013</v>
      </c>
      <c r="X3" s="41" t="n">
        <f aca="false">X580</f>
        <v>2014</v>
      </c>
      <c r="Y3" s="40" t="n">
        <f aca="false">Y580</f>
        <v>2015</v>
      </c>
      <c r="Z3" s="40" t="n">
        <f aca="false">Z580</f>
        <v>2016</v>
      </c>
      <c r="AA3" s="40" t="n">
        <f aca="false">AA580</f>
        <v>2017</v>
      </c>
      <c r="AB3" s="40" t="n">
        <f aca="false">AB580</f>
        <v>2018</v>
      </c>
      <c r="AC3" s="41" t="n">
        <f aca="false">AC580</f>
        <v>2019</v>
      </c>
      <c r="AG3" s="332" t="b">
        <f aca="false">FALSE()</f>
        <v>0</v>
      </c>
    </row>
    <row r="4" customFormat="false" ht="12" hidden="false" customHeight="false" outlineLevel="0" collapsed="false">
      <c r="A4" s="4" t="s">
        <v>594</v>
      </c>
      <c r="C4" s="67"/>
      <c r="D4" s="67"/>
      <c r="I4" s="67"/>
      <c r="L4" s="171"/>
      <c r="P4" s="338"/>
      <c r="Q4" s="338"/>
      <c r="R4" s="338"/>
      <c r="S4" s="339" t="n">
        <f aca="true">NOW()</f>
        <v>45926.9848815002</v>
      </c>
      <c r="AG4" s="332" t="b">
        <f aca="false">FALSE()</f>
        <v>0</v>
      </c>
    </row>
    <row r="5" customFormat="false" ht="11.25" hidden="false" customHeight="false" outlineLevel="0" collapsed="false">
      <c r="A5" s="153" t="s">
        <v>595</v>
      </c>
      <c r="B5" s="67"/>
      <c r="C5" s="340" t="s">
        <v>596</v>
      </c>
      <c r="D5" s="341"/>
      <c r="E5" s="65" t="s">
        <v>597</v>
      </c>
      <c r="F5" s="133" t="s">
        <v>598</v>
      </c>
      <c r="G5" s="43" t="s">
        <v>599</v>
      </c>
      <c r="H5" s="133"/>
      <c r="L5" s="171"/>
      <c r="S5" s="338" t="n">
        <f aca="true">NOW()</f>
        <v>45926.9848815003</v>
      </c>
    </row>
    <row r="6" customFormat="false" ht="12.75" hidden="false" customHeight="false" outlineLevel="0" collapsed="false">
      <c r="A6" s="153" t="s">
        <v>600</v>
      </c>
      <c r="C6" s="67"/>
      <c r="D6" s="67"/>
      <c r="E6" s="260"/>
      <c r="F6" s="342"/>
      <c r="G6" s="343" t="s">
        <v>601</v>
      </c>
      <c r="H6" s="344" t="n">
        <f aca="false">C323</f>
        <v>36341</v>
      </c>
      <c r="AD6" s="67"/>
      <c r="AE6" s="67"/>
      <c r="AF6" s="67"/>
      <c r="AG6" s="67"/>
    </row>
    <row r="7" customFormat="false" ht="3" hidden="false" customHeight="true" outlineLevel="0" collapsed="false">
      <c r="G7" s="260"/>
      <c r="H7" s="260"/>
      <c r="I7" s="260"/>
      <c r="J7" s="260"/>
      <c r="AD7" s="67"/>
      <c r="AE7" s="67"/>
      <c r="AF7" s="67"/>
      <c r="AG7" s="67"/>
    </row>
    <row r="8" customFormat="false" ht="12.75" hidden="false" customHeight="false" outlineLevel="0" collapsed="false">
      <c r="A8" s="345" t="s">
        <v>602</v>
      </c>
      <c r="B8" s="345"/>
      <c r="C8" s="345"/>
      <c r="D8" s="345"/>
      <c r="E8" s="345"/>
      <c r="F8" s="345"/>
      <c r="G8" s="345"/>
      <c r="H8" s="345"/>
      <c r="K8" s="346" t="s">
        <v>603</v>
      </c>
      <c r="L8" s="347"/>
      <c r="M8" s="347"/>
      <c r="N8" s="348"/>
      <c r="O8" s="349"/>
      <c r="P8" s="349"/>
      <c r="Q8" s="350" t="s">
        <v>604</v>
      </c>
      <c r="S8" s="351" t="s">
        <v>604</v>
      </c>
      <c r="AD8" s="67"/>
      <c r="AE8" s="67"/>
      <c r="AF8" s="67"/>
      <c r="AG8" s="67"/>
    </row>
    <row r="9" customFormat="false" ht="12.75" hidden="false" customHeight="false" outlineLevel="0" collapsed="false">
      <c r="A9" s="352" t="str">
        <f aca="false">B336</f>
        <v>Sources:</v>
      </c>
      <c r="B9" s="352"/>
      <c r="C9" s="352"/>
      <c r="D9" s="353" t="s">
        <v>412</v>
      </c>
      <c r="E9" s="354" t="str">
        <f aca="false">B350</f>
        <v>Uses:</v>
      </c>
      <c r="F9" s="354"/>
      <c r="G9" s="354"/>
      <c r="H9" s="354"/>
      <c r="K9" s="355"/>
      <c r="L9" s="356"/>
      <c r="M9" s="356"/>
      <c r="N9" s="357" t="n">
        <f aca="false">C323</f>
        <v>36341</v>
      </c>
      <c r="O9" s="358" t="str">
        <f aca="false">"   "&amp;K388</f>
        <v>   Add</v>
      </c>
      <c r="P9" s="358" t="str">
        <f aca="false">L388</f>
        <v>Subtract</v>
      </c>
      <c r="Q9" s="359" t="n">
        <f aca="false">N9</f>
        <v>36341</v>
      </c>
      <c r="S9" s="360" t="n">
        <f aca="false">Q9</f>
        <v>36341</v>
      </c>
      <c r="AD9" s="67"/>
      <c r="AE9" s="67"/>
      <c r="AF9" s="67"/>
      <c r="AG9" s="67"/>
    </row>
    <row r="10" customFormat="false" ht="12" hidden="false" customHeight="false" outlineLevel="0" collapsed="false">
      <c r="A10" s="361" t="str">
        <f aca="false">B337</f>
        <v>Revolving Loan</v>
      </c>
      <c r="B10" s="67"/>
      <c r="C10" s="35" t="n">
        <f aca="false">E337</f>
        <v>0</v>
      </c>
      <c r="D10" s="362" t="n">
        <f aca="false">I560</f>
        <v>0.09</v>
      </c>
      <c r="E10" s="67"/>
      <c r="G10" s="174" t="s">
        <v>605</v>
      </c>
      <c r="H10" s="334" t="n">
        <f aca="false">SUM(E351:E356)</f>
        <v>0</v>
      </c>
      <c r="K10" s="363" t="str">
        <f aca="false">A411</f>
        <v>Current Maturities</v>
      </c>
      <c r="L10" s="364"/>
      <c r="M10" s="365"/>
      <c r="N10" s="363" t="n">
        <f aca="false">I411</f>
        <v>0</v>
      </c>
      <c r="O10" s="364" t="n">
        <f aca="false">K411</f>
        <v>0</v>
      </c>
      <c r="P10" s="364" t="n">
        <f aca="false">L411</f>
        <v>0</v>
      </c>
      <c r="Q10" s="365" t="n">
        <f aca="false">N411</f>
        <v>0</v>
      </c>
      <c r="S10" s="366" t="n">
        <f aca="false">IF($Q$19&lt;1,0,Q10/$Q$19)</f>
        <v>0</v>
      </c>
      <c r="X10" s="260"/>
      <c r="Y10" s="260"/>
      <c r="AA10" s="260"/>
      <c r="AD10" s="67"/>
      <c r="AE10" s="67"/>
      <c r="AF10" s="67"/>
      <c r="AG10" s="67"/>
    </row>
    <row r="11" customFormat="false" ht="11.25" hidden="false" customHeight="false" outlineLevel="0" collapsed="false">
      <c r="A11" s="361" t="str">
        <f aca="false">B338</f>
        <v>Term Loan</v>
      </c>
      <c r="B11" s="67"/>
      <c r="C11" s="35" t="n">
        <f aca="false">E338</f>
        <v>0</v>
      </c>
      <c r="D11" s="362" t="n">
        <f aca="false">I561</f>
        <v>0</v>
      </c>
      <c r="E11" s="67"/>
      <c r="G11" s="367" t="str">
        <f aca="false">B357</f>
        <v>Transaction Fees</v>
      </c>
      <c r="H11" s="334" t="n">
        <f aca="false">E357</f>
        <v>0</v>
      </c>
      <c r="K11" s="361" t="str">
        <f aca="false">A412</f>
        <v>Short-term Debt</v>
      </c>
      <c r="L11" s="149"/>
      <c r="M11" s="334"/>
      <c r="N11" s="361" t="n">
        <f aca="false">I412</f>
        <v>0</v>
      </c>
      <c r="O11" s="149" t="n">
        <f aca="false">K412</f>
        <v>0</v>
      </c>
      <c r="P11" s="149" t="n">
        <f aca="false">L412</f>
        <v>0</v>
      </c>
      <c r="Q11" s="334" t="n">
        <f aca="false">N412</f>
        <v>0</v>
      </c>
      <c r="S11" s="366" t="n">
        <f aca="false">IF($Q$19&lt;1,0,Q11/$Q$19)</f>
        <v>0</v>
      </c>
      <c r="AD11" s="67"/>
      <c r="AE11" s="67"/>
      <c r="AF11" s="67"/>
      <c r="AG11" s="67"/>
    </row>
    <row r="12" customFormat="false" ht="11.25" hidden="false" customHeight="false" outlineLevel="0" collapsed="false">
      <c r="A12" s="361" t="str">
        <f aca="false">B339</f>
        <v>Production Payment</v>
      </c>
      <c r="B12" s="67"/>
      <c r="C12" s="35" t="n">
        <f aca="false">E339</f>
        <v>0</v>
      </c>
      <c r="D12" s="368" t="str">
        <f aca="false">TEXT(G689,"0.0%")&amp;"*"</f>
        <v>0.0%*</v>
      </c>
      <c r="E12" s="67"/>
      <c r="G12" s="367" t="str">
        <f aca="false">B358</f>
        <v>Refinance Existing Sr Debt</v>
      </c>
      <c r="H12" s="334" t="n">
        <f aca="false">E358</f>
        <v>0</v>
      </c>
      <c r="I12" s="203"/>
      <c r="K12" s="361" t="str">
        <f aca="false">A415</f>
        <v>Senior Debt</v>
      </c>
      <c r="L12" s="149"/>
      <c r="M12" s="334"/>
      <c r="N12" s="361" t="n">
        <f aca="false">I415+I418</f>
        <v>0</v>
      </c>
      <c r="O12" s="149" t="n">
        <f aca="false">K415+K418</f>
        <v>0</v>
      </c>
      <c r="P12" s="149" t="n">
        <f aca="false">L415+L418</f>
        <v>0</v>
      </c>
      <c r="Q12" s="334" t="n">
        <f aca="false">N415+N418</f>
        <v>0</v>
      </c>
      <c r="S12" s="366" t="n">
        <f aca="false">IF($Q$19&lt;1,0,Q12/$Q$19)</f>
        <v>0</v>
      </c>
      <c r="T12" s="369"/>
      <c r="X12" s="370"/>
      <c r="Y12" s="370"/>
      <c r="AA12" s="370"/>
      <c r="AD12" s="67"/>
      <c r="AE12" s="67"/>
      <c r="AF12" s="67"/>
      <c r="AG12" s="67"/>
    </row>
    <row r="13" customFormat="false" ht="11.25" hidden="false" customHeight="false" outlineLevel="0" collapsed="false">
      <c r="A13" s="361" t="str">
        <f aca="false">B340</f>
        <v>ESOP Notes</v>
      </c>
      <c r="B13" s="67"/>
      <c r="C13" s="35" t="n">
        <f aca="false">E340</f>
        <v>0</v>
      </c>
      <c r="D13" s="362" t="n">
        <f aca="false">I565</f>
        <v>0</v>
      </c>
      <c r="E13" s="67"/>
      <c r="G13" s="371" t="str">
        <f aca="false">B359</f>
        <v>Refinance Existing Sub Debt</v>
      </c>
      <c r="H13" s="334" t="n">
        <f aca="false">E359</f>
        <v>0</v>
      </c>
      <c r="K13" s="361" t="str">
        <f aca="false">A416</f>
        <v>Subordinated Debt</v>
      </c>
      <c r="L13" s="149"/>
      <c r="M13" s="334"/>
      <c r="N13" s="361" t="n">
        <f aca="false">I416</f>
        <v>0</v>
      </c>
      <c r="O13" s="149" t="n">
        <f aca="false">K416</f>
        <v>0</v>
      </c>
      <c r="P13" s="149" t="n">
        <f aca="false">L416</f>
        <v>0</v>
      </c>
      <c r="Q13" s="334" t="n">
        <f aca="false">N416</f>
        <v>0</v>
      </c>
      <c r="S13" s="366" t="n">
        <f aca="false">IF($Q$19&lt;1,0,Q13/$Q$19)</f>
        <v>0</v>
      </c>
      <c r="T13" s="369"/>
      <c r="X13" s="370"/>
      <c r="Y13" s="370"/>
      <c r="AA13" s="370"/>
      <c r="AD13" s="67"/>
      <c r="AE13" s="67"/>
      <c r="AF13" s="67"/>
      <c r="AG13" s="67"/>
    </row>
    <row r="14" customFormat="false" ht="11.25" hidden="false" customHeight="false" outlineLevel="0" collapsed="false">
      <c r="A14" s="361" t="str">
        <f aca="false">B341</f>
        <v>Placement 1</v>
      </c>
      <c r="B14" s="67"/>
      <c r="C14" s="35" t="n">
        <f aca="false">E341</f>
        <v>0</v>
      </c>
      <c r="D14" s="362" t="n">
        <f aca="false">I566</f>
        <v>0</v>
      </c>
      <c r="E14" s="67"/>
      <c r="G14" s="367" t="str">
        <f aca="false">B360</f>
        <v>Refinance Existing Pref Stk</v>
      </c>
      <c r="H14" s="334" t="n">
        <f aca="false">E360</f>
        <v>0</v>
      </c>
      <c r="K14" s="372" t="s">
        <v>606</v>
      </c>
      <c r="L14" s="149"/>
      <c r="M14" s="334"/>
      <c r="N14" s="373" t="n">
        <f aca="false">SUM(N10:N13)</f>
        <v>0</v>
      </c>
      <c r="O14" s="158"/>
      <c r="P14" s="158"/>
      <c r="Q14" s="374" t="n">
        <f aca="false">SUM(Q10:Q13)</f>
        <v>0</v>
      </c>
      <c r="S14" s="375" t="n">
        <f aca="false">IF($Q$19&lt;1,0,Q14/$Q$19)</f>
        <v>0</v>
      </c>
      <c r="T14" s="369"/>
      <c r="X14" s="370"/>
      <c r="Y14" s="370"/>
      <c r="AA14" s="370"/>
      <c r="AD14" s="67"/>
      <c r="AE14" s="67"/>
      <c r="AF14" s="67"/>
      <c r="AG14" s="67"/>
    </row>
    <row r="15" customFormat="false" ht="11.25" hidden="false" customHeight="false" outlineLevel="0" collapsed="false">
      <c r="A15" s="361" t="str">
        <f aca="false">B342</f>
        <v>Placement 2</v>
      </c>
      <c r="B15" s="67"/>
      <c r="C15" s="35" t="n">
        <f aca="false">E342</f>
        <v>0</v>
      </c>
      <c r="D15" s="362" t="n">
        <f aca="false">I567</f>
        <v>0</v>
      </c>
      <c r="E15" s="67"/>
      <c r="G15" s="367" t="str">
        <f aca="false">B361</f>
        <v>Working Capital</v>
      </c>
      <c r="H15" s="334" t="n">
        <f aca="false">E361</f>
        <v>0</v>
      </c>
      <c r="K15" s="361"/>
      <c r="L15" s="149"/>
      <c r="M15" s="334"/>
      <c r="N15" s="361"/>
      <c r="O15" s="149"/>
      <c r="P15" s="149"/>
      <c r="Q15" s="334"/>
      <c r="S15" s="376"/>
      <c r="T15" s="369"/>
      <c r="X15" s="370"/>
      <c r="Y15" s="370"/>
      <c r="AA15" s="370"/>
      <c r="AD15" s="67"/>
      <c r="AE15" s="67"/>
      <c r="AF15" s="67"/>
      <c r="AG15" s="67"/>
    </row>
    <row r="16" customFormat="false" ht="11.25" hidden="false" customHeight="false" outlineLevel="0" collapsed="false">
      <c r="A16" s="361" t="str">
        <f aca="false">B343</f>
        <v>Sr Sub Notes</v>
      </c>
      <c r="B16" s="67"/>
      <c r="C16" s="35" t="n">
        <f aca="false">E343</f>
        <v>0</v>
      </c>
      <c r="D16" s="362" t="n">
        <f aca="false">I568</f>
        <v>0</v>
      </c>
      <c r="E16" s="67"/>
      <c r="G16" s="174"/>
      <c r="H16" s="334"/>
      <c r="K16" s="361" t="str">
        <f aca="false">A424</f>
        <v>Preferred Stock</v>
      </c>
      <c r="L16" s="149"/>
      <c r="M16" s="334"/>
      <c r="N16" s="361" t="n">
        <f aca="false">I424</f>
        <v>0</v>
      </c>
      <c r="O16" s="149" t="n">
        <f aca="false">K424</f>
        <v>0</v>
      </c>
      <c r="P16" s="149" t="n">
        <f aca="false">L424</f>
        <v>0</v>
      </c>
      <c r="Q16" s="334" t="n">
        <f aca="false">N424</f>
        <v>0</v>
      </c>
      <c r="S16" s="366" t="n">
        <f aca="false">IF($Q$19&lt;1,0,Q16/$Q$19)</f>
        <v>0</v>
      </c>
      <c r="T16" s="369"/>
      <c r="X16" s="370"/>
      <c r="Y16" s="370"/>
      <c r="AA16" s="370"/>
      <c r="AD16" s="67"/>
      <c r="AE16" s="67"/>
      <c r="AF16" s="67"/>
      <c r="AG16" s="67"/>
    </row>
    <row r="17" customFormat="false" ht="11.25" hidden="false" customHeight="false" outlineLevel="0" collapsed="false">
      <c r="A17" s="361" t="str">
        <f aca="false">B344</f>
        <v>Jr. Sub Notes</v>
      </c>
      <c r="B17" s="67"/>
      <c r="C17" s="35" t="n">
        <f aca="false">E344</f>
        <v>0</v>
      </c>
      <c r="D17" s="362" t="n">
        <f aca="false">I569</f>
        <v>0</v>
      </c>
      <c r="E17" s="361"/>
      <c r="H17" s="334"/>
      <c r="K17" s="372" t="s">
        <v>607</v>
      </c>
      <c r="L17" s="149"/>
      <c r="M17" s="334"/>
      <c r="N17" s="361" t="n">
        <f aca="false">SUM(I425:I431)</f>
        <v>0</v>
      </c>
      <c r="O17" s="149" t="n">
        <f aca="false">SUM(K425:K431)</f>
        <v>0</v>
      </c>
      <c r="P17" s="149" t="n">
        <f aca="false">SUM(L425:L431)</f>
        <v>0</v>
      </c>
      <c r="Q17" s="334" t="n">
        <f aca="false">SUM(N425:N431)</f>
        <v>0</v>
      </c>
      <c r="S17" s="366" t="n">
        <f aca="false">IF($Q$19&lt;1,0,Q17/$Q$19)</f>
        <v>0</v>
      </c>
      <c r="T17" s="369"/>
      <c r="U17" s="377"/>
      <c r="X17" s="370"/>
      <c r="Y17" s="370"/>
      <c r="AA17" s="370"/>
      <c r="AD17" s="67"/>
      <c r="AE17" s="67"/>
      <c r="AF17" s="67"/>
      <c r="AG17" s="67"/>
    </row>
    <row r="18" customFormat="false" ht="11.25" hidden="false" customHeight="false" outlineLevel="0" collapsed="false">
      <c r="A18" s="361" t="str">
        <f aca="false">B345</f>
        <v>Preferred Stock</v>
      </c>
      <c r="B18" s="67"/>
      <c r="C18" s="35" t="n">
        <f aca="false">E345</f>
        <v>0</v>
      </c>
      <c r="D18" s="362" t="n">
        <f aca="false">I570</f>
        <v>0.06</v>
      </c>
      <c r="E18" s="361"/>
      <c r="H18" s="334"/>
      <c r="K18" s="361" t="s">
        <v>608</v>
      </c>
      <c r="L18" s="80"/>
      <c r="M18" s="378"/>
      <c r="N18" s="379" t="n">
        <f aca="false">N16+N17</f>
        <v>0</v>
      </c>
      <c r="O18" s="380"/>
      <c r="P18" s="380"/>
      <c r="Q18" s="381" t="n">
        <f aca="false">Q16+Q17</f>
        <v>0</v>
      </c>
      <c r="R18" s="67"/>
      <c r="S18" s="382" t="n">
        <f aca="false">IF($Q$19&lt;1,0,Q18/$Q$19)</f>
        <v>0</v>
      </c>
      <c r="T18" s="369"/>
      <c r="X18" s="370"/>
      <c r="Y18" s="370"/>
      <c r="AA18" s="370"/>
      <c r="AD18" s="67"/>
      <c r="AE18" s="67"/>
      <c r="AF18" s="67"/>
      <c r="AG18" s="67"/>
    </row>
    <row r="19" customFormat="false" ht="12" hidden="false" customHeight="false" outlineLevel="0" collapsed="false">
      <c r="A19" s="361" t="str">
        <f aca="false">B346</f>
        <v>Common Stock</v>
      </c>
      <c r="B19" s="67"/>
      <c r="C19" s="35" t="n">
        <f aca="false">E346</f>
        <v>0</v>
      </c>
      <c r="D19" s="383"/>
      <c r="E19" s="361"/>
      <c r="H19" s="334"/>
      <c r="K19" s="384" t="s">
        <v>609</v>
      </c>
      <c r="L19" s="385"/>
      <c r="M19" s="386"/>
      <c r="N19" s="387" t="n">
        <f aca="false">N14+N18</f>
        <v>0</v>
      </c>
      <c r="O19" s="388"/>
      <c r="P19" s="388"/>
      <c r="Q19" s="389" t="n">
        <f aca="false">Q14+Q18</f>
        <v>0</v>
      </c>
      <c r="S19" s="390" t="n">
        <f aca="false">IF($Q$19&lt;1,0,Q19/$Q$19)</f>
        <v>0</v>
      </c>
      <c r="T19" s="369"/>
      <c r="X19" s="370"/>
      <c r="Y19" s="370"/>
      <c r="AA19" s="370"/>
      <c r="AD19" s="67"/>
      <c r="AE19" s="67"/>
      <c r="AF19" s="67"/>
      <c r="AG19" s="67"/>
    </row>
    <row r="20" customFormat="false" ht="12" hidden="false" customHeight="false" outlineLevel="0" collapsed="false">
      <c r="A20" s="361" t="str">
        <f aca="false">B347</f>
        <v>Cash on Hand</v>
      </c>
      <c r="B20" s="67"/>
      <c r="C20" s="35" t="n">
        <f aca="false">E347</f>
        <v>0</v>
      </c>
      <c r="D20" s="383"/>
      <c r="E20" s="361"/>
      <c r="F20" s="67"/>
      <c r="G20" s="67"/>
      <c r="H20" s="378"/>
      <c r="S20" s="370"/>
      <c r="T20" s="369"/>
      <c r="X20" s="370"/>
      <c r="Y20" s="370"/>
      <c r="AA20" s="370"/>
      <c r="AD20" s="67"/>
      <c r="AE20" s="67"/>
      <c r="AF20" s="67"/>
      <c r="AG20" s="67"/>
    </row>
    <row r="21" customFormat="false" ht="12" hidden="false" customHeight="false" outlineLevel="0" collapsed="false">
      <c r="A21" s="391" t="str">
        <f aca="false">B348</f>
        <v>Sources</v>
      </c>
      <c r="B21" s="388"/>
      <c r="C21" s="388" t="n">
        <f aca="false">E348</f>
        <v>0</v>
      </c>
      <c r="D21" s="389"/>
      <c r="E21" s="391" t="str">
        <f aca="false">B363</f>
        <v>Uses</v>
      </c>
      <c r="F21" s="388"/>
      <c r="G21" s="388"/>
      <c r="H21" s="389" t="n">
        <f aca="false">E363</f>
        <v>0</v>
      </c>
      <c r="J21" s="35" t="s">
        <v>610</v>
      </c>
      <c r="K21" s="392" t="n">
        <f aca="false">(N27/I27)^(1/5-1)</f>
        <v>0.633942412980755</v>
      </c>
      <c r="T21" s="369"/>
      <c r="X21" s="370"/>
      <c r="Y21" s="370"/>
      <c r="AA21" s="370"/>
      <c r="AD21" s="67"/>
      <c r="AE21" s="67"/>
      <c r="AF21" s="67"/>
      <c r="AG21" s="67"/>
    </row>
    <row r="22" customFormat="false" ht="9" hidden="false" customHeight="true" outlineLevel="0" collapsed="false">
      <c r="A22" s="393" t="s">
        <v>611</v>
      </c>
      <c r="B22" s="149"/>
      <c r="C22" s="149"/>
      <c r="D22" s="67"/>
      <c r="T22" s="369"/>
      <c r="X22" s="370"/>
      <c r="Y22" s="370"/>
      <c r="AA22" s="370"/>
      <c r="AD22" s="67"/>
      <c r="AE22" s="67"/>
      <c r="AF22" s="67"/>
      <c r="AG22" s="67"/>
    </row>
    <row r="23" customFormat="false" ht="12.75" hidden="false" customHeight="false" outlineLevel="0" collapsed="false">
      <c r="A23" s="307" t="s">
        <v>612</v>
      </c>
      <c r="C23" s="67"/>
      <c r="D23" s="65" t="str">
        <f aca="false">A580</f>
        <v>FYE:</v>
      </c>
      <c r="E23" s="394" t="n">
        <f aca="false">B580</f>
        <v>36525</v>
      </c>
      <c r="F23" s="395" t="n">
        <f aca="false">E580</f>
        <v>1996</v>
      </c>
      <c r="G23" s="395" t="n">
        <f aca="false">F580</f>
        <v>1997</v>
      </c>
      <c r="H23" s="395" t="n">
        <f aca="false">G580</f>
        <v>1998</v>
      </c>
      <c r="I23" s="395" t="n">
        <f aca="false">H580</f>
        <v>1999</v>
      </c>
      <c r="J23" s="395" t="n">
        <f aca="false">J580</f>
        <v>2000</v>
      </c>
      <c r="K23" s="395" t="n">
        <f aca="false">K580</f>
        <v>2001</v>
      </c>
      <c r="L23" s="395" t="n">
        <f aca="false">L580</f>
        <v>2002</v>
      </c>
      <c r="M23" s="395" t="n">
        <f aca="false">M580</f>
        <v>2003</v>
      </c>
      <c r="N23" s="395" t="n">
        <f aca="false">N580</f>
        <v>2004</v>
      </c>
      <c r="O23" s="395" t="n">
        <f aca="false">O580</f>
        <v>2005</v>
      </c>
      <c r="P23" s="395" t="n">
        <f aca="false">P580</f>
        <v>2006</v>
      </c>
      <c r="Q23" s="395" t="n">
        <f aca="false">Q580</f>
        <v>2007</v>
      </c>
      <c r="R23" s="395" t="n">
        <f aca="false">R580</f>
        <v>2008</v>
      </c>
      <c r="S23" s="395" t="n">
        <f aca="false">S580</f>
        <v>2009</v>
      </c>
      <c r="T23" s="395" t="n">
        <f aca="false">T580</f>
        <v>2010</v>
      </c>
      <c r="U23" s="395" t="n">
        <f aca="false">U580</f>
        <v>2011</v>
      </c>
      <c r="V23" s="395" t="n">
        <f aca="false">V580</f>
        <v>2012</v>
      </c>
      <c r="W23" s="395" t="n">
        <f aca="false">W580</f>
        <v>2013</v>
      </c>
      <c r="X23" s="395" t="n">
        <f aca="false">X580</f>
        <v>2014</v>
      </c>
      <c r="Y23" s="395" t="n">
        <f aca="false">Y580</f>
        <v>2015</v>
      </c>
      <c r="Z23" s="395" t="n">
        <f aca="false">Z580</f>
        <v>2016</v>
      </c>
      <c r="AA23" s="395" t="n">
        <f aca="false">AA580</f>
        <v>2017</v>
      </c>
      <c r="AB23" s="395" t="n">
        <f aca="false">AB580</f>
        <v>2018</v>
      </c>
      <c r="AC23" s="395" t="n">
        <f aca="false">AC580</f>
        <v>2019</v>
      </c>
      <c r="AD23" s="67"/>
      <c r="AE23" s="67"/>
      <c r="AF23" s="67"/>
      <c r="AG23" s="67"/>
    </row>
    <row r="24" customFormat="false" ht="12" hidden="false" customHeight="false" outlineLevel="0" collapsed="false">
      <c r="A24" s="43" t="s">
        <v>613</v>
      </c>
      <c r="B24" s="67"/>
      <c r="F24" s="35" t="n">
        <f aca="false">E69</f>
        <v>0</v>
      </c>
      <c r="G24" s="35" t="n">
        <f aca="false">F69</f>
        <v>0</v>
      </c>
      <c r="H24" s="149" t="n">
        <f aca="false">G69</f>
        <v>0</v>
      </c>
      <c r="I24" s="396" t="n">
        <f aca="false">I69+H69</f>
        <v>-515.877565773314</v>
      </c>
      <c r="J24" s="35" t="n">
        <f aca="false">J69</f>
        <v>-1162.54350654663</v>
      </c>
      <c r="K24" s="35" t="n">
        <f aca="false">K69</f>
        <v>-1085.45950212042</v>
      </c>
      <c r="L24" s="35" t="n">
        <f aca="false">L69</f>
        <v>-1027.41601890568</v>
      </c>
      <c r="M24" s="35" t="n">
        <f aca="false">M69</f>
        <v>-963.056539564255</v>
      </c>
      <c r="N24" s="35" t="n">
        <f aca="false">N69</f>
        <v>-883.410575541736</v>
      </c>
      <c r="O24" s="35" t="n">
        <f aca="false">O69</f>
        <v>-772.930292818879</v>
      </c>
      <c r="P24" s="35" t="n">
        <f aca="false">P69</f>
        <v>-663.985585352189</v>
      </c>
      <c r="Q24" s="35" t="n">
        <f aca="false">Q69</f>
        <v>-575.554802621274</v>
      </c>
      <c r="R24" s="35" t="n">
        <f aca="false">R69</f>
        <v>-490.942886245924</v>
      </c>
      <c r="S24" s="35" t="n">
        <f aca="false">S69</f>
        <v>-415.810547775154</v>
      </c>
      <c r="T24" s="35" t="n">
        <f aca="false">T69</f>
        <v>-349.231262706301</v>
      </c>
      <c r="U24" s="35" t="n">
        <f aca="false">U69</f>
        <v>-292.675688653077</v>
      </c>
      <c r="V24" s="35" t="n">
        <f aca="false">V69</f>
        <v>-240.26942708397</v>
      </c>
      <c r="W24" s="35" t="n">
        <f aca="false">W69</f>
        <v>-197.011743773664</v>
      </c>
      <c r="X24" s="35" t="n">
        <f aca="false">X69</f>
        <v>-159.804967193502</v>
      </c>
      <c r="Y24" s="35" t="n">
        <f aca="false">Y69</f>
        <v>-125.942690582738</v>
      </c>
      <c r="Z24" s="35" t="n">
        <f aca="false">Z69</f>
        <v>-92.5136274585116</v>
      </c>
      <c r="AA24" s="35" t="n">
        <f aca="false">AA69</f>
        <v>-70.7513987503899</v>
      </c>
      <c r="AB24" s="35" t="n">
        <f aca="false">AB69</f>
        <v>-54.431797004145</v>
      </c>
      <c r="AC24" s="35" t="n">
        <f aca="false">AC69</f>
        <v>-44.9810616418182</v>
      </c>
      <c r="AD24" s="67"/>
      <c r="AE24" s="67"/>
      <c r="AF24" s="67"/>
      <c r="AG24" s="67"/>
    </row>
    <row r="25" customFormat="false" ht="11.25" hidden="false" customHeight="false" outlineLevel="0" collapsed="false">
      <c r="A25" s="43" t="s">
        <v>614</v>
      </c>
      <c r="B25" s="67"/>
      <c r="D25" s="67"/>
      <c r="F25" s="397" t="str">
        <f aca="false">E585</f>
        <v>NA</v>
      </c>
      <c r="G25" s="397" t="str">
        <f aca="false">IF(F24&lt;1,"NA",(G24-F24)/F24)</f>
        <v>NA</v>
      </c>
      <c r="H25" s="398" t="str">
        <f aca="false">IF(G24&lt;1,"NA",(H24-G24)/G24)</f>
        <v>NA</v>
      </c>
      <c r="I25" s="399" t="str">
        <f aca="false">IF(H24&lt;1,"NA",(I24-H24)/H24)</f>
        <v>NA</v>
      </c>
      <c r="J25" s="397" t="str">
        <f aca="false">IF(I24&lt;1,"NA",(J24-I24)/I24)</f>
        <v>NA</v>
      </c>
      <c r="K25" s="397" t="str">
        <f aca="false">IF(J24&lt;1,"NA",(K24-J24)/J24)</f>
        <v>NA</v>
      </c>
      <c r="L25" s="397" t="str">
        <f aca="false">IF(K24&lt;1,"NA",(L24-K24)/K24)</f>
        <v>NA</v>
      </c>
      <c r="M25" s="397" t="str">
        <f aca="false">IF(L24&lt;1,"NA",(M24-L24)/L24)</f>
        <v>NA</v>
      </c>
      <c r="N25" s="397" t="str">
        <f aca="false">IF(M24&lt;1,"NA",(N24-M24)/M24)</f>
        <v>NA</v>
      </c>
      <c r="O25" s="397" t="str">
        <f aca="false">IF(N24&lt;1,"NA",(O24-N24)/N24)</f>
        <v>NA</v>
      </c>
      <c r="P25" s="397" t="str">
        <f aca="false">IF(O24&lt;1,"NA",(P24-O24)/O24)</f>
        <v>NA</v>
      </c>
      <c r="Q25" s="397" t="str">
        <f aca="false">IF(P24&lt;1,"NA",(Q24-P24)/P24)</f>
        <v>NA</v>
      </c>
      <c r="R25" s="397" t="str">
        <f aca="false">IF(Q24&lt;1,"NA",(R24-Q24)/Q24)</f>
        <v>NA</v>
      </c>
      <c r="S25" s="397" t="str">
        <f aca="false">IF(R24&lt;1,"NA",(S24-R24)/R24)</f>
        <v>NA</v>
      </c>
      <c r="T25" s="397" t="str">
        <f aca="false">IF(S24&lt;1,"NA",(T24-S24)/S24)</f>
        <v>NA</v>
      </c>
      <c r="U25" s="397" t="str">
        <f aca="false">IF(T24&lt;1,"NA",(U24-T24)/T24)</f>
        <v>NA</v>
      </c>
      <c r="V25" s="397" t="str">
        <f aca="false">IF(U24&lt;1,"NA",(V24-U24)/U24)</f>
        <v>NA</v>
      </c>
      <c r="W25" s="397" t="str">
        <f aca="false">IF(V24&lt;1,"NA",(W24-V24)/V24)</f>
        <v>NA</v>
      </c>
      <c r="X25" s="397" t="str">
        <f aca="false">IF(W24&lt;1,"NA",(X24-W24)/W24)</f>
        <v>NA</v>
      </c>
      <c r="Y25" s="397" t="str">
        <f aca="false">IF(X24&lt;1,"NA",(Y24-X24)/X24)</f>
        <v>NA</v>
      </c>
      <c r="Z25" s="397" t="str">
        <f aca="false">IF(Y24&lt;1,"NA",(Z24-Y24)/Y24)</f>
        <v>NA</v>
      </c>
      <c r="AA25" s="397" t="str">
        <f aca="false">IF(Z24&lt;1,"NA",(AA24-Z24)/Z24)</f>
        <v>NA</v>
      </c>
      <c r="AB25" s="397" t="str">
        <f aca="false">IF(AA24&lt;1,"NA",(AB24-AA24)/AA24)</f>
        <v>NA</v>
      </c>
      <c r="AC25" s="397" t="str">
        <f aca="false">IF(AB24&lt;1,"NA",(AC24-AB24)/AB24)</f>
        <v>NA</v>
      </c>
      <c r="AD25" s="67"/>
      <c r="AE25" s="67"/>
      <c r="AF25" s="67"/>
      <c r="AG25" s="67"/>
    </row>
    <row r="26" customFormat="false" ht="11.25" hidden="false" customHeight="false" outlineLevel="0" collapsed="false">
      <c r="A26" s="43" t="s">
        <v>615</v>
      </c>
      <c r="B26" s="67"/>
      <c r="F26" s="397" t="str">
        <f aca="false">IF(E69&lt;1,"NA",E71/E69)</f>
        <v>NA</v>
      </c>
      <c r="G26" s="397" t="str">
        <f aca="false">IF(F69&lt;1,"NA",F71/F69)</f>
        <v>NA</v>
      </c>
      <c r="H26" s="398" t="str">
        <f aca="false">IF(G69&lt;1,"NA",G71/G69)</f>
        <v>NA</v>
      </c>
      <c r="I26" s="399" t="str">
        <f aca="false">IF(H69+I69&lt;1,"NA",(H71+I71)/(H69+I69))</f>
        <v>NA</v>
      </c>
      <c r="J26" s="397" t="str">
        <f aca="false">IF(J69&lt;1,"NA",J71/J69)</f>
        <v>NA</v>
      </c>
      <c r="K26" s="397" t="str">
        <f aca="false">IF(K69&lt;1,"NA",K71/K69)</f>
        <v>NA</v>
      </c>
      <c r="L26" s="397" t="str">
        <f aca="false">IF(L69&lt;1,"NA",L71/L69)</f>
        <v>NA</v>
      </c>
      <c r="M26" s="397" t="str">
        <f aca="false">IF(M69&lt;1,"NA",M71/M69)</f>
        <v>NA</v>
      </c>
      <c r="N26" s="397" t="str">
        <f aca="false">IF(N69&lt;1,"NA",N71/N69)</f>
        <v>NA</v>
      </c>
      <c r="O26" s="397" t="str">
        <f aca="false">IF(O69&lt;1,"NA",O71/O69)</f>
        <v>NA</v>
      </c>
      <c r="P26" s="397" t="str">
        <f aca="false">IF(P69&lt;1,"NA",P71/P69)</f>
        <v>NA</v>
      </c>
      <c r="Q26" s="397" t="str">
        <f aca="false">IF(Q69&lt;1,"NA",Q71/Q69)</f>
        <v>NA</v>
      </c>
      <c r="R26" s="397" t="str">
        <f aca="false">IF(R69&lt;1,"NA",R71/R69)</f>
        <v>NA</v>
      </c>
      <c r="S26" s="397" t="str">
        <f aca="false">IF(S69&lt;1,"NA",S71/S69)</f>
        <v>NA</v>
      </c>
      <c r="T26" s="397" t="str">
        <f aca="false">IF(T69&lt;1,"NA",T71/T69)</f>
        <v>NA</v>
      </c>
      <c r="U26" s="397" t="str">
        <f aca="false">IF(U69&lt;1,"NA",U71/U69)</f>
        <v>NA</v>
      </c>
      <c r="V26" s="397" t="str">
        <f aca="false">IF(V69&lt;1,"NA",V71/V69)</f>
        <v>NA</v>
      </c>
      <c r="W26" s="397" t="str">
        <f aca="false">IF(W69&lt;1,"NA",W71/W69)</f>
        <v>NA</v>
      </c>
      <c r="X26" s="397" t="str">
        <f aca="false">IF(X69&lt;1,"NA",X71/X69)</f>
        <v>NA</v>
      </c>
      <c r="Y26" s="397" t="str">
        <f aca="false">IF(Y69&lt;1,"NA",Y71/Y69)</f>
        <v>NA</v>
      </c>
      <c r="Z26" s="397" t="str">
        <f aca="false">IF(Z69&lt;1,"NA",Z71/Z69)</f>
        <v>NA</v>
      </c>
      <c r="AA26" s="397" t="str">
        <f aca="false">IF(AA69&lt;1,"NA",AA71/AA69)</f>
        <v>NA</v>
      </c>
      <c r="AB26" s="397" t="str">
        <f aca="false">IF(AB69&lt;1,"NA",AB71/AB69)</f>
        <v>NA</v>
      </c>
      <c r="AC26" s="397" t="str">
        <f aca="false">IF(AC69&lt;1,"NA",AC71/AC69)</f>
        <v>NA</v>
      </c>
      <c r="AD26" s="67"/>
      <c r="AE26" s="67"/>
      <c r="AF26" s="67"/>
      <c r="AG26" s="67"/>
    </row>
    <row r="27" customFormat="false" ht="11.25" hidden="false" customHeight="false" outlineLevel="0" collapsed="false">
      <c r="A27" s="43" t="s">
        <v>616</v>
      </c>
      <c r="B27" s="67"/>
      <c r="F27" s="35" t="n">
        <f aca="false">E74</f>
        <v>0</v>
      </c>
      <c r="G27" s="35" t="n">
        <f aca="false">F74</f>
        <v>0</v>
      </c>
      <c r="H27" s="149" t="n">
        <f aca="false">G74</f>
        <v>0</v>
      </c>
      <c r="I27" s="396" t="n">
        <f aca="false">I74+H74</f>
        <v>-478.405829722169</v>
      </c>
      <c r="J27" s="35" t="n">
        <f aca="false">J74</f>
        <v>-1099.18750394434</v>
      </c>
      <c r="K27" s="35" t="n">
        <f aca="false">K74</f>
        <v>-1029.19522792534</v>
      </c>
      <c r="L27" s="35" t="n">
        <f aca="false">L74</f>
        <v>-976.491745166355</v>
      </c>
      <c r="M27" s="35" t="n">
        <f aca="false">M74</f>
        <v>-918.053337924344</v>
      </c>
      <c r="N27" s="35" t="n">
        <f aca="false">N74</f>
        <v>-845.734802591897</v>
      </c>
      <c r="O27" s="35" t="n">
        <f aca="false">O74</f>
        <v>-745.418705879542</v>
      </c>
      <c r="P27" s="35" t="n">
        <f aca="false">P74</f>
        <v>-646.496911499788</v>
      </c>
      <c r="Q27" s="35" t="n">
        <f aca="false">Q74</f>
        <v>-578.443760780117</v>
      </c>
      <c r="R27" s="35" t="n">
        <f aca="false">R74</f>
        <v>-504.071140711299</v>
      </c>
      <c r="S27" s="35" t="n">
        <f aca="false">S74</f>
        <v>-417.43197737984</v>
      </c>
      <c r="T27" s="35" t="n">
        <f aca="false">T74</f>
        <v>-356.977986537322</v>
      </c>
      <c r="U27" s="35" t="n">
        <f aca="false">U74</f>
        <v>-305.625525296994</v>
      </c>
      <c r="V27" s="35" t="n">
        <f aca="false">V74</f>
        <v>-258.040639792245</v>
      </c>
      <c r="W27" s="35" t="n">
        <f aca="false">W74</f>
        <v>-198.443663346487</v>
      </c>
      <c r="X27" s="35" t="n">
        <f aca="false">X74</f>
        <v>-164.6599102117</v>
      </c>
      <c r="Y27" s="35" t="n">
        <f aca="false">Y74</f>
        <v>-119.215963049126</v>
      </c>
      <c r="Z27" s="35" t="n">
        <f aca="false">Z74</f>
        <v>-84.0023737323285</v>
      </c>
      <c r="AA27" s="35" t="n">
        <f aca="false">AA74</f>
        <v>-64.242270065354</v>
      </c>
      <c r="AB27" s="35" t="n">
        <f aca="false">AB74</f>
        <v>-49.4240716797637</v>
      </c>
      <c r="AC27" s="35" t="n">
        <f aca="false">AC74</f>
        <v>-40.8428039707709</v>
      </c>
      <c r="AD27" s="67"/>
      <c r="AE27" s="67"/>
      <c r="AF27" s="67"/>
      <c r="AG27" s="67"/>
    </row>
    <row r="28" customFormat="false" ht="11.25" hidden="false" customHeight="false" outlineLevel="0" collapsed="false">
      <c r="A28" s="43" t="s">
        <v>617</v>
      </c>
      <c r="B28" s="67"/>
      <c r="F28" s="397" t="str">
        <f aca="false">E982</f>
        <v>NA</v>
      </c>
      <c r="G28" s="397" t="str">
        <f aca="false">F982</f>
        <v>NA</v>
      </c>
      <c r="H28" s="398" t="str">
        <f aca="false">G982</f>
        <v>NA</v>
      </c>
      <c r="I28" s="399" t="n">
        <f aca="false">IF(I24=0,"NA",I27/I24)</f>
        <v>0.927363121528703</v>
      </c>
      <c r="J28" s="397" t="n">
        <f aca="false">J982</f>
        <v>0.945502252392695</v>
      </c>
      <c r="K28" s="397" t="n">
        <f aca="false">K982</f>
        <v>0.94816547822819</v>
      </c>
      <c r="L28" s="397" t="n">
        <f aca="false">L982</f>
        <v>0.950434611878484</v>
      </c>
      <c r="M28" s="397" t="n">
        <f aca="false">M982</f>
        <v>0.953270446966412</v>
      </c>
      <c r="N28" s="397" t="n">
        <f aca="false">N982</f>
        <v>0.957351910886129</v>
      </c>
      <c r="O28" s="397" t="n">
        <f aca="false">O982</f>
        <v>0.964406121489944</v>
      </c>
      <c r="P28" s="397" t="n">
        <f aca="false">P982</f>
        <v>0.973661063977579</v>
      </c>
      <c r="Q28" s="397" t="n">
        <f aca="false">Q982</f>
        <v>1.00501943193886</v>
      </c>
      <c r="R28" s="397" t="n">
        <f aca="false">R982</f>
        <v>1.02674089967117</v>
      </c>
      <c r="S28" s="397" t="n">
        <f aca="false">S982</f>
        <v>1.00389944317998</v>
      </c>
      <c r="T28" s="397" t="n">
        <f aca="false">T982</f>
        <v>1.02218221751108</v>
      </c>
      <c r="U28" s="397" t="n">
        <f aca="false">U982</f>
        <v>1.04424636943203</v>
      </c>
      <c r="V28" s="397" t="n">
        <f aca="false">V982</f>
        <v>1.07396368703233</v>
      </c>
      <c r="W28" s="397" t="n">
        <f aca="false">W982</f>
        <v>1.0072681939939</v>
      </c>
      <c r="X28" s="397" t="n">
        <f aca="false">X982</f>
        <v>1.03038042623743</v>
      </c>
      <c r="Y28" s="397" t="n">
        <f aca="false">Y982</f>
        <v>0.946588980253739</v>
      </c>
      <c r="Z28" s="397" t="n">
        <f aca="false">Z982</f>
        <v>0.908</v>
      </c>
      <c r="AA28" s="397" t="n">
        <f aca="false">AA982</f>
        <v>0.908</v>
      </c>
      <c r="AB28" s="397" t="n">
        <f aca="false">AB982</f>
        <v>0.908</v>
      </c>
      <c r="AC28" s="397" t="n">
        <f aca="false">AC982</f>
        <v>0.908</v>
      </c>
      <c r="AD28" s="67"/>
      <c r="AE28" s="67"/>
      <c r="AF28" s="67"/>
      <c r="AG28" s="67"/>
    </row>
    <row r="29" customFormat="false" ht="11.25" hidden="false" customHeight="false" outlineLevel="0" collapsed="false">
      <c r="A29" s="67" t="s">
        <v>618</v>
      </c>
      <c r="B29" s="67"/>
      <c r="C29" s="67"/>
      <c r="D29" s="67"/>
      <c r="E29" s="67"/>
      <c r="F29" s="67"/>
      <c r="G29" s="67"/>
      <c r="H29" s="80"/>
      <c r="I29" s="400" t="e">
        <f aca="false">I27+I664+I688</f>
        <v>#VALUE!</v>
      </c>
      <c r="J29" s="151" t="e">
        <f aca="false">J27+J664+J688</f>
        <v>#VALUE!</v>
      </c>
      <c r="K29" s="151" t="e">
        <f aca="false">K27+K664+K688</f>
        <v>#VALUE!</v>
      </c>
      <c r="L29" s="151" t="e">
        <f aca="false">L27+L664+L688</f>
        <v>#VALUE!</v>
      </c>
      <c r="M29" s="151" t="e">
        <f aca="false">M27+M664+M688</f>
        <v>#VALUE!</v>
      </c>
      <c r="N29" s="151" t="e">
        <f aca="false">N27+N664+N688</f>
        <v>#VALUE!</v>
      </c>
      <c r="O29" s="151" t="e">
        <f aca="false">O27+O664+O688</f>
        <v>#VALUE!</v>
      </c>
      <c r="P29" s="151" t="e">
        <f aca="false">P27+P664+P688</f>
        <v>#VALUE!</v>
      </c>
      <c r="Q29" s="151" t="e">
        <f aca="false">Q27+Q664+Q688</f>
        <v>#VALUE!</v>
      </c>
      <c r="R29" s="151" t="e">
        <f aca="false">R27+R664+R688</f>
        <v>#VALUE!</v>
      </c>
      <c r="S29" s="151" t="e">
        <f aca="false">S27+S664+S688</f>
        <v>#VALUE!</v>
      </c>
      <c r="T29" s="151" t="e">
        <f aca="false">T27+T664+T688</f>
        <v>#VALUE!</v>
      </c>
      <c r="U29" s="151" t="e">
        <f aca="false">U27+U664+U688</f>
        <v>#VALUE!</v>
      </c>
      <c r="V29" s="151" t="e">
        <f aca="false">V27+V664+V688</f>
        <v>#VALUE!</v>
      </c>
      <c r="W29" s="151" t="e">
        <f aca="false">W27+W664+W688</f>
        <v>#VALUE!</v>
      </c>
      <c r="X29" s="151" t="e">
        <f aca="false">X27+X664+X688</f>
        <v>#VALUE!</v>
      </c>
      <c r="Y29" s="151" t="e">
        <f aca="false">Y27+Y664+Y688</f>
        <v>#VALUE!</v>
      </c>
      <c r="Z29" s="151" t="e">
        <f aca="false">Z27+Z664+Z688</f>
        <v>#VALUE!</v>
      </c>
      <c r="AA29" s="151" t="e">
        <f aca="false">AA27+AA664+AA688</f>
        <v>#VALUE!</v>
      </c>
      <c r="AB29" s="151" t="e">
        <f aca="false">AB27+AB664+AB688</f>
        <v>#VALUE!</v>
      </c>
      <c r="AC29" s="151" t="e">
        <f aca="false">AC27+AC664+AC688</f>
        <v>#VALUE!</v>
      </c>
      <c r="AD29" s="67"/>
      <c r="AE29" s="67"/>
      <c r="AF29" s="67"/>
      <c r="AG29" s="67"/>
      <c r="AH29" s="67"/>
      <c r="AI29" s="67"/>
      <c r="AJ29" s="67"/>
      <c r="AK29" s="67"/>
      <c r="AL29" s="67"/>
      <c r="AM29" s="67"/>
      <c r="AN29" s="67"/>
      <c r="AO29" s="67"/>
      <c r="AP29" s="67"/>
      <c r="AQ29" s="67"/>
      <c r="AR29" s="67"/>
      <c r="AS29" s="67"/>
      <c r="AT29" s="67"/>
      <c r="AU29" s="67"/>
      <c r="AV29" s="67"/>
      <c r="AW29" s="67"/>
      <c r="AX29" s="67"/>
      <c r="AY29" s="67"/>
      <c r="AZ29" s="67"/>
      <c r="BA29" s="67"/>
      <c r="BB29" s="67"/>
      <c r="BC29" s="67"/>
      <c r="BD29" s="67"/>
      <c r="BE29" s="67"/>
      <c r="BF29" s="67"/>
      <c r="BG29" s="67"/>
      <c r="BH29" s="67"/>
      <c r="BI29" s="67"/>
      <c r="BJ29" s="67"/>
      <c r="BK29" s="67"/>
      <c r="BL29" s="67"/>
      <c r="BM29" s="67"/>
      <c r="BN29" s="67"/>
      <c r="BO29" s="67"/>
      <c r="BP29" s="67"/>
      <c r="BQ29" s="67"/>
      <c r="BR29" s="67"/>
      <c r="BS29" s="67"/>
      <c r="BT29" s="67"/>
      <c r="BU29" s="67"/>
      <c r="BV29" s="67"/>
      <c r="BW29" s="67"/>
      <c r="BX29" s="67"/>
      <c r="BY29" s="67"/>
      <c r="BZ29" s="67"/>
      <c r="CA29" s="67"/>
      <c r="CB29" s="67"/>
      <c r="CC29" s="67"/>
      <c r="CD29" s="67"/>
      <c r="CE29" s="67"/>
      <c r="CF29" s="67"/>
      <c r="CG29" s="67"/>
      <c r="CH29" s="67"/>
      <c r="CI29" s="67"/>
      <c r="CJ29" s="67"/>
      <c r="CK29" s="67"/>
      <c r="CL29" s="67"/>
      <c r="CM29" s="67"/>
      <c r="CN29" s="67"/>
      <c r="CO29" s="67"/>
      <c r="CP29" s="67"/>
      <c r="CQ29" s="67"/>
      <c r="CR29" s="67"/>
      <c r="CS29" s="67"/>
      <c r="CT29" s="67"/>
      <c r="CU29" s="67"/>
      <c r="CV29" s="67"/>
      <c r="CW29" s="67"/>
      <c r="CX29" s="67"/>
      <c r="CY29" s="67"/>
      <c r="CZ29" s="67"/>
      <c r="DA29" s="67"/>
      <c r="DB29" s="67"/>
      <c r="DC29" s="67"/>
      <c r="DD29" s="67"/>
      <c r="DE29" s="67"/>
      <c r="DF29" s="67"/>
      <c r="DG29" s="67"/>
      <c r="DH29" s="67"/>
      <c r="DI29" s="67"/>
      <c r="DJ29" s="67"/>
      <c r="DK29" s="67"/>
      <c r="DL29" s="67"/>
      <c r="DM29" s="67"/>
      <c r="DN29" s="67"/>
      <c r="DO29" s="67"/>
      <c r="DP29" s="67"/>
      <c r="DQ29" s="67"/>
      <c r="DR29" s="67"/>
      <c r="DS29" s="67"/>
      <c r="DT29" s="67"/>
      <c r="DU29" s="67"/>
      <c r="DV29" s="67"/>
      <c r="DW29" s="67"/>
      <c r="DX29" s="67"/>
      <c r="DY29" s="67"/>
      <c r="DZ29" s="67"/>
      <c r="EA29" s="67"/>
      <c r="EB29" s="67"/>
      <c r="EC29" s="67"/>
      <c r="ED29" s="67"/>
      <c r="EE29" s="67"/>
      <c r="EF29" s="67"/>
      <c r="EG29" s="67"/>
      <c r="EH29" s="67"/>
      <c r="EI29" s="67"/>
      <c r="EJ29" s="67"/>
      <c r="EK29" s="67"/>
      <c r="EL29" s="67"/>
      <c r="EM29" s="67"/>
      <c r="EN29" s="67"/>
      <c r="EO29" s="67"/>
      <c r="EP29" s="67"/>
      <c r="EQ29" s="67"/>
      <c r="ER29" s="67"/>
      <c r="ES29" s="67"/>
      <c r="ET29" s="67"/>
      <c r="EU29" s="67"/>
      <c r="EV29" s="67"/>
      <c r="EW29" s="67"/>
      <c r="EX29" s="67"/>
      <c r="EY29" s="67"/>
      <c r="EZ29" s="67"/>
      <c r="FA29" s="67"/>
      <c r="FB29" s="67"/>
      <c r="FC29" s="67"/>
      <c r="FD29" s="67"/>
      <c r="FE29" s="67"/>
      <c r="FF29" s="67"/>
      <c r="FG29" s="67"/>
      <c r="FH29" s="67"/>
      <c r="FI29" s="67"/>
      <c r="FJ29" s="67"/>
      <c r="FK29" s="67"/>
      <c r="FL29" s="67"/>
      <c r="FM29" s="67"/>
      <c r="FN29" s="67"/>
      <c r="FO29" s="67"/>
      <c r="FP29" s="67"/>
      <c r="FQ29" s="67"/>
      <c r="FR29" s="67"/>
      <c r="FS29" s="67"/>
      <c r="FT29" s="67"/>
      <c r="FU29" s="67"/>
      <c r="FV29" s="67"/>
      <c r="FW29" s="67"/>
      <c r="FX29" s="67"/>
      <c r="FY29" s="67"/>
      <c r="FZ29" s="67"/>
      <c r="GA29" s="67"/>
      <c r="GB29" s="67"/>
      <c r="GC29" s="67"/>
      <c r="GD29" s="67"/>
      <c r="GE29" s="67"/>
      <c r="GF29" s="67"/>
      <c r="GG29" s="67"/>
      <c r="GH29" s="67"/>
      <c r="GI29" s="67"/>
      <c r="GJ29" s="67"/>
      <c r="GK29" s="67"/>
      <c r="GL29" s="67"/>
      <c r="GM29" s="67"/>
      <c r="GN29" s="67"/>
      <c r="GO29" s="67"/>
      <c r="GP29" s="67"/>
      <c r="GQ29" s="67"/>
      <c r="GR29" s="67"/>
      <c r="GS29" s="67"/>
      <c r="GT29" s="67"/>
      <c r="GU29" s="67"/>
      <c r="GV29" s="67"/>
      <c r="GW29" s="67"/>
      <c r="GX29" s="67"/>
      <c r="GY29" s="67"/>
      <c r="GZ29" s="67"/>
      <c r="HA29" s="67"/>
      <c r="HB29" s="67"/>
      <c r="HC29" s="67"/>
      <c r="HD29" s="67"/>
      <c r="HE29" s="67"/>
      <c r="HF29" s="67"/>
      <c r="HG29" s="67"/>
      <c r="HH29" s="67"/>
      <c r="HI29" s="67"/>
      <c r="HJ29" s="67"/>
      <c r="HK29" s="67"/>
      <c r="HL29" s="67"/>
      <c r="HM29" s="67"/>
      <c r="HN29" s="67"/>
      <c r="HO29" s="67"/>
      <c r="HP29" s="67"/>
      <c r="HQ29" s="67"/>
      <c r="HR29" s="67"/>
      <c r="HS29" s="67"/>
      <c r="HT29" s="67"/>
      <c r="HU29" s="67"/>
      <c r="HV29" s="67"/>
      <c r="HW29" s="67"/>
      <c r="HX29" s="67"/>
      <c r="HY29" s="67"/>
      <c r="HZ29" s="67"/>
      <c r="IA29" s="67"/>
      <c r="IB29" s="67"/>
      <c r="IC29" s="67"/>
      <c r="ID29" s="67"/>
      <c r="IE29" s="67"/>
      <c r="IF29" s="67"/>
      <c r="IG29" s="67"/>
      <c r="IH29" s="67"/>
      <c r="II29" s="67"/>
      <c r="IJ29" s="67"/>
      <c r="IK29" s="67"/>
      <c r="IL29" s="67"/>
      <c r="IM29" s="67"/>
      <c r="IN29" s="67"/>
      <c r="IO29" s="67"/>
      <c r="IP29" s="67"/>
      <c r="IQ29" s="67"/>
      <c r="IR29" s="67"/>
      <c r="IS29" s="67"/>
      <c r="IT29" s="67"/>
      <c r="IU29" s="67"/>
      <c r="IV29" s="67"/>
      <c r="IW29" s="67"/>
    </row>
    <row r="30" customFormat="false" ht="11.25" hidden="false" customHeight="false" outlineLevel="0" collapsed="false">
      <c r="A30" s="43" t="s">
        <v>619</v>
      </c>
      <c r="B30" s="67"/>
      <c r="F30" s="35" t="n">
        <f aca="false">E83</f>
        <v>0</v>
      </c>
      <c r="G30" s="35" t="n">
        <f aca="false">F83</f>
        <v>0</v>
      </c>
      <c r="H30" s="149" t="n">
        <f aca="false">G83</f>
        <v>0</v>
      </c>
      <c r="I30" s="396" t="n">
        <f aca="false">I83+H83</f>
        <v>-478.405829722169</v>
      </c>
      <c r="J30" s="35" t="n">
        <f aca="false">J83</f>
        <v>-1099.18750394434</v>
      </c>
      <c r="K30" s="35" t="n">
        <f aca="false">K83</f>
        <v>-1029.19522792534</v>
      </c>
      <c r="L30" s="35" t="n">
        <f aca="false">L83</f>
        <v>-976.491745166355</v>
      </c>
      <c r="M30" s="35" t="n">
        <f aca="false">M83</f>
        <v>-918.053337924344</v>
      </c>
      <c r="N30" s="35" t="n">
        <f aca="false">N83</f>
        <v>-845.734802591897</v>
      </c>
      <c r="O30" s="35" t="n">
        <f aca="false">O83</f>
        <v>-749.798111986464</v>
      </c>
      <c r="P30" s="35" t="n">
        <f aca="false">P83</f>
        <v>-651.231702801113</v>
      </c>
      <c r="Q30" s="35" t="n">
        <f aca="false">Q83</f>
        <v>-585.545594840775</v>
      </c>
      <c r="R30" s="35" t="n">
        <f aca="false">R83</f>
        <v>-510.131434214954</v>
      </c>
      <c r="S30" s="35" t="n">
        <f aca="false">S83</f>
        <v>-422.566598981503</v>
      </c>
      <c r="T30" s="35" t="n">
        <f aca="false">T83</f>
        <v>-361.291679937779</v>
      </c>
      <c r="U30" s="35" t="n">
        <f aca="false">U83</f>
        <v>-309.241572382939</v>
      </c>
      <c r="V30" s="35" t="n">
        <f aca="false">V83</f>
        <v>-261.009667448638</v>
      </c>
      <c r="W30" s="35" t="n">
        <f aca="false">W83</f>
        <v>-200.878507703039</v>
      </c>
      <c r="X30" s="35" t="n">
        <f aca="false">X83</f>
        <v>-166.635113339075</v>
      </c>
      <c r="Y30" s="35" t="n">
        <f aca="false">Y83</f>
        <v>-120.772602358089</v>
      </c>
      <c r="Z30" s="35" t="n">
        <f aca="false">Z83</f>
        <v>-85.1458873833599</v>
      </c>
      <c r="AA30" s="35" t="n">
        <f aca="false">AA83</f>
        <v>-65.1166973455136</v>
      </c>
      <c r="AB30" s="35" t="n">
        <f aca="false">AB83</f>
        <v>-50.0967436782353</v>
      </c>
      <c r="AC30" s="35" t="n">
        <f aca="false">AC83</f>
        <v>-41.3987895312003</v>
      </c>
      <c r="AD30" s="67"/>
      <c r="AE30" s="67"/>
      <c r="AF30" s="67"/>
      <c r="AG30" s="67"/>
    </row>
    <row r="31" customFormat="false" ht="11.25" hidden="false" customHeight="false" outlineLevel="0" collapsed="false">
      <c r="A31" s="43" t="s">
        <v>620</v>
      </c>
      <c r="B31" s="67"/>
      <c r="H31" s="149"/>
      <c r="I31" s="396" t="e">
        <f aca="false">I30+I664+I688</f>
        <v>#VALUE!</v>
      </c>
      <c r="J31" s="35" t="e">
        <f aca="false">J30+J664+J688</f>
        <v>#VALUE!</v>
      </c>
      <c r="K31" s="35" t="e">
        <f aca="false">K30+K664+K688</f>
        <v>#VALUE!</v>
      </c>
      <c r="L31" s="35" t="e">
        <f aca="false">L30+L664+L688</f>
        <v>#VALUE!</v>
      </c>
      <c r="M31" s="35" t="e">
        <f aca="false">M30+M664+M688</f>
        <v>#VALUE!</v>
      </c>
      <c r="N31" s="35" t="e">
        <f aca="false">N30+N664+N688</f>
        <v>#VALUE!</v>
      </c>
      <c r="O31" s="35" t="e">
        <f aca="false">O30+O664+O688</f>
        <v>#VALUE!</v>
      </c>
      <c r="P31" s="35" t="e">
        <f aca="false">P30+P664+P688</f>
        <v>#VALUE!</v>
      </c>
      <c r="Q31" s="35" t="e">
        <f aca="false">Q30+Q664+Q688</f>
        <v>#VALUE!</v>
      </c>
      <c r="R31" s="35" t="e">
        <f aca="false">R30+R664+R688</f>
        <v>#VALUE!</v>
      </c>
      <c r="S31" s="35" t="e">
        <f aca="false">S30+S664+S688</f>
        <v>#VALUE!</v>
      </c>
      <c r="T31" s="35" t="e">
        <f aca="false">T30+T664+T688</f>
        <v>#VALUE!</v>
      </c>
      <c r="U31" s="35" t="e">
        <f aca="false">U30+U664+U688</f>
        <v>#VALUE!</v>
      </c>
      <c r="V31" s="35" t="e">
        <f aca="false">V30+V664+V688</f>
        <v>#VALUE!</v>
      </c>
      <c r="W31" s="35" t="e">
        <f aca="false">W30+W664+W688</f>
        <v>#VALUE!</v>
      </c>
      <c r="X31" s="35" t="e">
        <f aca="false">X30+X664+X688</f>
        <v>#VALUE!</v>
      </c>
      <c r="Y31" s="35" t="e">
        <f aca="false">Y30+Y664+Y688</f>
        <v>#VALUE!</v>
      </c>
      <c r="Z31" s="35" t="e">
        <f aca="false">Z30+Z664+Z688</f>
        <v>#VALUE!</v>
      </c>
      <c r="AA31" s="35" t="e">
        <f aca="false">AA30+AA664+AA688</f>
        <v>#VALUE!</v>
      </c>
      <c r="AB31" s="35" t="e">
        <f aca="false">AB30+AB664+AB688</f>
        <v>#VALUE!</v>
      </c>
      <c r="AC31" s="35" t="e">
        <f aca="false">AC30+AC664+AC688</f>
        <v>#VALUE!</v>
      </c>
      <c r="AD31" s="67"/>
      <c r="AE31" s="67"/>
      <c r="AF31" s="67"/>
      <c r="AG31" s="67"/>
    </row>
    <row r="32" customFormat="false" ht="11.25" hidden="false" customHeight="false" outlineLevel="0" collapsed="false">
      <c r="A32" s="43" t="s">
        <v>621</v>
      </c>
      <c r="B32" s="67"/>
      <c r="F32" s="35" t="n">
        <f aca="false">E941</f>
        <v>0</v>
      </c>
      <c r="G32" s="35" t="n">
        <f aca="false">F941</f>
        <v>0</v>
      </c>
      <c r="H32" s="149" t="n">
        <f aca="false">G941</f>
        <v>0</v>
      </c>
      <c r="I32" s="396" t="n">
        <f aca="false">H941+I941</f>
        <v>0</v>
      </c>
      <c r="J32" s="35" t="n">
        <f aca="false">J941</f>
        <v>0</v>
      </c>
      <c r="K32" s="35" t="n">
        <f aca="false">K941</f>
        <v>0</v>
      </c>
      <c r="L32" s="35" t="n">
        <f aca="false">L941</f>
        <v>0</v>
      </c>
      <c r="M32" s="35" t="n">
        <f aca="false">M941</f>
        <v>0</v>
      </c>
      <c r="N32" s="35" t="n">
        <f aca="false">N941</f>
        <v>0</v>
      </c>
      <c r="O32" s="35" t="n">
        <f aca="false">O941</f>
        <v>25.811</v>
      </c>
      <c r="P32" s="35" t="n">
        <f aca="false">P941</f>
        <v>5.512</v>
      </c>
      <c r="Q32" s="35" t="n">
        <f aca="false">Q941</f>
        <v>16.2</v>
      </c>
      <c r="R32" s="35" t="n">
        <f aca="false">R941</f>
        <v>0</v>
      </c>
      <c r="S32" s="35" t="n">
        <f aca="false">S941</f>
        <v>0</v>
      </c>
      <c r="T32" s="35" t="n">
        <f aca="false">T941</f>
        <v>0</v>
      </c>
      <c r="U32" s="35" t="n">
        <f aca="false">U941</f>
        <v>0</v>
      </c>
      <c r="V32" s="35" t="n">
        <f aca="false">V941</f>
        <v>0</v>
      </c>
      <c r="W32" s="35" t="n">
        <f aca="false">W941</f>
        <v>0</v>
      </c>
      <c r="X32" s="35" t="n">
        <f aca="false">X941</f>
        <v>0</v>
      </c>
      <c r="Y32" s="35" t="n">
        <f aca="false">Y941</f>
        <v>0</v>
      </c>
      <c r="Z32" s="35" t="n">
        <f aca="false">Z941</f>
        <v>0</v>
      </c>
      <c r="AA32" s="35" t="n">
        <f aca="false">AA941</f>
        <v>0</v>
      </c>
      <c r="AB32" s="35" t="n">
        <f aca="false">AB941</f>
        <v>0</v>
      </c>
      <c r="AC32" s="35" t="n">
        <f aca="false">AC941</f>
        <v>0</v>
      </c>
      <c r="AD32" s="67"/>
      <c r="AE32" s="67"/>
      <c r="AF32" s="67"/>
      <c r="AG32" s="67"/>
    </row>
    <row r="33" customFormat="false" ht="4.5" hidden="false" customHeight="true" outlineLevel="0" collapsed="false">
      <c r="A33" s="168"/>
      <c r="H33" s="149"/>
      <c r="I33" s="400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7"/>
      <c r="AB33" s="67"/>
      <c r="AC33" s="67"/>
      <c r="AD33" s="67"/>
      <c r="AE33" s="67"/>
      <c r="AF33" s="67"/>
      <c r="AG33" s="67"/>
    </row>
    <row r="34" customFormat="false" ht="11.25" hidden="false" customHeight="false" outlineLevel="0" collapsed="false">
      <c r="A34" s="168" t="s">
        <v>622</v>
      </c>
      <c r="B34" s="43" t="s">
        <v>623</v>
      </c>
      <c r="F34" s="401" t="str">
        <f aca="false">IF(E69=0,"NA",IF(OR(E450=0,365*E450/E69&gt;1000),"NA",365*E450/E69))</f>
        <v>NA</v>
      </c>
      <c r="G34" s="401" t="str">
        <f aca="false">IF(F69=0,"NA",IF(OR(F450=0,365*F450/F69&gt;1000),"NA",365*F450/F69))</f>
        <v>NA</v>
      </c>
      <c r="H34" s="402" t="str">
        <f aca="false">IF(G69=0,"NA",IF(OR(G450=0,365*G450/G69&gt;1000),"NA",365*G450/G69))</f>
        <v>NA</v>
      </c>
      <c r="I34" s="403" t="str">
        <f aca="false">IF(H69+I69=0,"NA",IF(OR(I450=0,365*I450/(H69+I69)&gt;1000),"NA",365*I450/(H69+I69)))</f>
        <v>NA</v>
      </c>
      <c r="J34" s="401" t="str">
        <f aca="false">IF(J69=0,"NA",IF(OR(J450=0,365*J450/J69&gt;1000),"NA",365*J450/J69))</f>
        <v>NA</v>
      </c>
      <c r="K34" s="401" t="str">
        <f aca="false">IF(K69=0,"NA",IF(OR(K450=0,365*K450/K69&gt;1000),"NA",365*K450/K69))</f>
        <v>NA</v>
      </c>
      <c r="L34" s="401" t="str">
        <f aca="false">IF(L69=0,"NA",IF(OR(L450=0,365*L450/L69&gt;1000),"NA",365*L450/L69))</f>
        <v>NA</v>
      </c>
      <c r="M34" s="401" t="str">
        <f aca="false">IF(M69=0,"NA",IF(OR(M450=0,365*M450/M69&gt;1000),"NA",365*M450/M69))</f>
        <v>NA</v>
      </c>
      <c r="N34" s="401" t="str">
        <f aca="false">IF(N69=0,"NA",IF(OR(N450=0,365*N450/N69&gt;1000),"NA",365*N450/N69))</f>
        <v>NA</v>
      </c>
      <c r="O34" s="401" t="str">
        <f aca="false">IF(O69=0,"NA",IF(OR(O450=0,365*O450/O69&gt;1000),"NA",365*O450/O69))</f>
        <v>NA</v>
      </c>
      <c r="P34" s="401" t="str">
        <f aca="false">IF(P69=0,"NA",IF(OR(P450=0,365*P450/P69&gt;1000),"NA",365*P450/P69))</f>
        <v>NA</v>
      </c>
      <c r="Q34" s="401" t="str">
        <f aca="false">IF(Q69=0,"NA",IF(OR(Q450=0,365*Q450/Q69&gt;1000),"NA",365*Q450/Q69))</f>
        <v>NA</v>
      </c>
      <c r="R34" s="401" t="str">
        <f aca="false">IF(R69=0,"NA",IF(OR(R450=0,365*R450/R69&gt;1000),"NA",365*R450/R69))</f>
        <v>NA</v>
      </c>
      <c r="S34" s="401" t="str">
        <f aca="false">IF(S69=0,"NA",IF(OR(S450=0,365*S450/S69&gt;1000),"NA",365*S450/S69))</f>
        <v>NA</v>
      </c>
      <c r="T34" s="401" t="str">
        <f aca="false">IF(T69=0,"NA",IF(OR(T450=0,365*T450/T69&gt;1000),"NA",365*T450/T69))</f>
        <v>NA</v>
      </c>
      <c r="U34" s="401" t="str">
        <f aca="false">IF(U69=0,"NA",IF(OR(U450=0,365*U450/U69&gt;1000),"NA",365*U450/U69))</f>
        <v>NA</v>
      </c>
      <c r="V34" s="401" t="str">
        <f aca="false">IF(V69=0,"NA",IF(OR(V450=0,365*V450/V69&gt;1000),"NA",365*V450/V69))</f>
        <v>NA</v>
      </c>
      <c r="W34" s="401" t="str">
        <f aca="false">IF(W69=0,"NA",IF(OR(W450=0,365*W450/W69&gt;1000),"NA",365*W450/W69))</f>
        <v>NA</v>
      </c>
      <c r="X34" s="401" t="str">
        <f aca="false">IF(X69=0,"NA",IF(OR(X450=0,365*X450/X69&gt;1000),"NA",365*X450/X69))</f>
        <v>NA</v>
      </c>
      <c r="Y34" s="401" t="str">
        <f aca="false">IF(Y69=0,"NA",IF(OR(Y450=0,365*Y450/Y69&gt;1000),"NA",365*Y450/Y69))</f>
        <v>NA</v>
      </c>
      <c r="Z34" s="401" t="str">
        <f aca="false">IF(Z69=0,"NA",IF(OR(Z450=0,365*Z450/Z69&gt;1000),"NA",365*Z450/Z69))</f>
        <v>NA</v>
      </c>
      <c r="AA34" s="401" t="str">
        <f aca="false">IF(AA69=0,"NA",IF(OR(AA450=0,365*AA450/AA69&gt;1000),"NA",365*AA450/AA69))</f>
        <v>NA</v>
      </c>
      <c r="AB34" s="401" t="str">
        <f aca="false">IF(AB69=0,"NA",IF(OR(AB450=0,365*AB450/AB69&gt;1000),"NA",365*AB450/AB69))</f>
        <v>NA</v>
      </c>
      <c r="AC34" s="401" t="str">
        <f aca="false">IF(AC69=0,"NA",IF(OR(AC450=0,365*AC450/AC69&gt;1000),"NA",365*AC450/AC69))</f>
        <v>NA</v>
      </c>
      <c r="AD34" s="67"/>
      <c r="AE34" s="67"/>
      <c r="AF34" s="67"/>
      <c r="AG34" s="67"/>
    </row>
    <row r="35" customFormat="false" ht="11.25" hidden="false" customHeight="false" outlineLevel="0" collapsed="false">
      <c r="A35" s="168" t="s">
        <v>624</v>
      </c>
      <c r="B35" s="43" t="s">
        <v>625</v>
      </c>
      <c r="F35" s="401" t="str">
        <f aca="false">IF(E69=0,"NA",IF(OR(E451=0,365*E451/E69&gt;1000),"NA",365*E451/E69))</f>
        <v>NA</v>
      </c>
      <c r="G35" s="401" t="str">
        <f aca="false">IF(F69=0,"NA",IF(OR(F451=0,365*F451/F69&gt;1000),"NA",365*F451/F69))</f>
        <v>NA</v>
      </c>
      <c r="H35" s="402" t="str">
        <f aca="false">IF(G69=0,"NA",IF(OR(G451=0,365*G451/G69&gt;1000),"NA",365*G451/G69))</f>
        <v>NA</v>
      </c>
      <c r="I35" s="403" t="str">
        <f aca="false">IF(H69+I69=0,"NA",IF(OR(I451=0,365*I451/(H69+I69)&gt;1000),"NA",365*I451/(H69+I69)))</f>
        <v>NA</v>
      </c>
      <c r="J35" s="401" t="str">
        <f aca="false">IF(J69=0,"NA",IF(OR(J451=0,365*J451/J69&gt;1000),"NA",365*J451/J69))</f>
        <v>NA</v>
      </c>
      <c r="K35" s="401" t="str">
        <f aca="false">IF(K69=0,"NA",IF(OR(K451=0,365*K451/K69&gt;1000),"NA",365*K451/K69))</f>
        <v>NA</v>
      </c>
      <c r="L35" s="401" t="str">
        <f aca="false">IF(L69=0,"NA",IF(OR(L451=0,365*L451/L69&gt;1000),"NA",365*L451/L69))</f>
        <v>NA</v>
      </c>
      <c r="M35" s="401" t="str">
        <f aca="false">IF(M69=0,"NA",IF(OR(M451=0,365*M451/M69&gt;1000),"NA",365*M451/M69))</f>
        <v>NA</v>
      </c>
      <c r="N35" s="401" t="str">
        <f aca="false">IF(N69=0,"NA",IF(OR(N451=0,365*N451/N69&gt;1000),"NA",365*N451/N69))</f>
        <v>NA</v>
      </c>
      <c r="O35" s="401" t="str">
        <f aca="false">IF(O69=0,"NA",IF(OR(O451=0,365*O451/O69&gt;1000),"NA",365*O451/O69))</f>
        <v>NA</v>
      </c>
      <c r="P35" s="401" t="str">
        <f aca="false">IF(P69=0,"NA",IF(OR(P451=0,365*P451/P69&gt;1000),"NA",365*P451/P69))</f>
        <v>NA</v>
      </c>
      <c r="Q35" s="401" t="str">
        <f aca="false">IF(Q69=0,"NA",IF(OR(Q451=0,365*Q451/Q69&gt;1000),"NA",365*Q451/Q69))</f>
        <v>NA</v>
      </c>
      <c r="R35" s="401" t="str">
        <f aca="false">IF(R69=0,"NA",IF(OR(R451=0,365*R451/R69&gt;1000),"NA",365*R451/R69))</f>
        <v>NA</v>
      </c>
      <c r="S35" s="401" t="str">
        <f aca="false">IF(S69=0,"NA",IF(OR(S451=0,365*S451/S69&gt;1000),"NA",365*S451/S69))</f>
        <v>NA</v>
      </c>
      <c r="T35" s="401" t="str">
        <f aca="false">IF(T69=0,"NA",IF(OR(T451=0,365*T451/T69&gt;1000),"NA",365*T451/T69))</f>
        <v>NA</v>
      </c>
      <c r="U35" s="401" t="str">
        <f aca="false">IF(U69=0,"NA",IF(OR(U451=0,365*U451/U69&gt;1000),"NA",365*U451/U69))</f>
        <v>NA</v>
      </c>
      <c r="V35" s="401" t="str">
        <f aca="false">IF(V69=0,"NA",IF(OR(V451=0,365*V451/V69&gt;1000),"NA",365*V451/V69))</f>
        <v>NA</v>
      </c>
      <c r="W35" s="401" t="str">
        <f aca="false">IF(W69=0,"NA",IF(OR(W451=0,365*W451/W69&gt;1000),"NA",365*W451/W69))</f>
        <v>NA</v>
      </c>
      <c r="X35" s="401" t="str">
        <f aca="false">IF(X69=0,"NA",IF(OR(X451=0,365*X451/X69&gt;1000),"NA",365*X451/X69))</f>
        <v>NA</v>
      </c>
      <c r="Y35" s="401" t="str">
        <f aca="false">IF(Y69=0,"NA",IF(OR(Y451=0,365*Y451/Y69&gt;1000),"NA",365*Y451/Y69))</f>
        <v>NA</v>
      </c>
      <c r="Z35" s="401" t="str">
        <f aca="false">IF(Z69=0,"NA",IF(OR(Z451=0,365*Z451/Z69&gt;1000),"NA",365*Z451/Z69))</f>
        <v>NA</v>
      </c>
      <c r="AA35" s="401" t="str">
        <f aca="false">IF(AA69=0,"NA",IF(OR(AA451=0,365*AA451/AA69&gt;1000),"NA",365*AA451/AA69))</f>
        <v>NA</v>
      </c>
      <c r="AB35" s="401" t="str">
        <f aca="false">IF(AB69=0,"NA",IF(OR(AB451=0,365*AB451/AB69&gt;1000),"NA",365*AB451/AB69))</f>
        <v>NA</v>
      </c>
      <c r="AC35" s="401" t="str">
        <f aca="false">IF(AC69=0,"NA",IF(OR(AC451=0,365*AC451/AC69&gt;1000),"NA",365*AC451/AC69))</f>
        <v>NA</v>
      </c>
      <c r="AD35" s="67"/>
      <c r="AE35" s="67"/>
      <c r="AF35" s="67"/>
      <c r="AG35" s="67"/>
    </row>
    <row r="36" customFormat="false" ht="11.25" hidden="false" customHeight="false" outlineLevel="0" collapsed="false">
      <c r="A36" s="67"/>
      <c r="B36" s="43" t="s">
        <v>626</v>
      </c>
      <c r="F36" s="401" t="str">
        <f aca="false">IF(E452=0,"NA",E70/E452)</f>
        <v>NA</v>
      </c>
      <c r="G36" s="401" t="str">
        <f aca="false">IF(F452=0,"NA",F70/F452)</f>
        <v>NA</v>
      </c>
      <c r="H36" s="402" t="str">
        <f aca="false">IF(G452=0,"NA",G70/G452)</f>
        <v>NA</v>
      </c>
      <c r="I36" s="403" t="str">
        <f aca="false">IF(I452=0,"NA",(H70+I70)/I452)</f>
        <v>NA</v>
      </c>
      <c r="J36" s="401" t="str">
        <f aca="false">IF(J452=0,"NA",J70/J452)</f>
        <v>NA</v>
      </c>
      <c r="K36" s="401" t="str">
        <f aca="false">IF(K452=0,"NA",K70/K452)</f>
        <v>NA</v>
      </c>
      <c r="L36" s="401" t="str">
        <f aca="false">IF(L452=0,"NA",L70/L452)</f>
        <v>NA</v>
      </c>
      <c r="M36" s="401" t="str">
        <f aca="false">IF(M452=0,"NA",M70/M452)</f>
        <v>NA</v>
      </c>
      <c r="N36" s="401" t="str">
        <f aca="false">IF(N452=0,"NA",N70/N452)</f>
        <v>NA</v>
      </c>
      <c r="O36" s="401" t="str">
        <f aca="false">IF(O452=0,"NA",O70/O452)</f>
        <v>NA</v>
      </c>
      <c r="P36" s="401" t="str">
        <f aca="false">IF(P452=0,"NA",P70/P452)</f>
        <v>NA</v>
      </c>
      <c r="Q36" s="401" t="str">
        <f aca="false">IF(Q452=0,"NA",Q70/Q452)</f>
        <v>NA</v>
      </c>
      <c r="R36" s="401" t="str">
        <f aca="false">IF(R452=0,"NA",R70/R452)</f>
        <v>NA</v>
      </c>
      <c r="S36" s="401" t="str">
        <f aca="false">IF(S452=0,"NA",S70/S452)</f>
        <v>NA</v>
      </c>
      <c r="T36" s="401" t="str">
        <f aca="false">IF(T452=0,"NA",T70/T452)</f>
        <v>NA</v>
      </c>
      <c r="U36" s="401" t="str">
        <f aca="false">IF(U452=0,"NA",U70/U452)</f>
        <v>NA</v>
      </c>
      <c r="V36" s="401" t="str">
        <f aca="false">IF(V452=0,"NA",V70/V452)</f>
        <v>NA</v>
      </c>
      <c r="W36" s="401" t="str">
        <f aca="false">IF(W452=0,"NA",W70/W452)</f>
        <v>NA</v>
      </c>
      <c r="X36" s="401" t="str">
        <f aca="false">IF(X452=0,"NA",X70/X452)</f>
        <v>NA</v>
      </c>
      <c r="Y36" s="401" t="str">
        <f aca="false">IF(Y452=0,"NA",Y70/Y452)</f>
        <v>NA</v>
      </c>
      <c r="Z36" s="401" t="str">
        <f aca="false">IF(Z452=0,"NA",Z70/Z452)</f>
        <v>NA</v>
      </c>
      <c r="AA36" s="401" t="str">
        <f aca="false">IF(AA452=0,"NA",AA70/AA452)</f>
        <v>NA</v>
      </c>
      <c r="AB36" s="401" t="str">
        <f aca="false">IF(AB452=0,"NA",AB70/AB452)</f>
        <v>NA</v>
      </c>
      <c r="AC36" s="401" t="str">
        <f aca="false">IF(AC452=0,"NA",AC70/AC452)</f>
        <v>NA</v>
      </c>
      <c r="AD36" s="67"/>
      <c r="AE36" s="67"/>
      <c r="AF36" s="67"/>
      <c r="AG36" s="67"/>
    </row>
    <row r="37" customFormat="false" ht="11.25" hidden="false" customHeight="false" outlineLevel="0" collapsed="false">
      <c r="A37" s="67"/>
      <c r="B37" s="43" t="s">
        <v>627</v>
      </c>
      <c r="F37" s="401" t="str">
        <f aca="false">IF(E70=0,"NA",365*E454/E70)</f>
        <v>NA</v>
      </c>
      <c r="G37" s="401" t="str">
        <f aca="false">IF(F70=0,"NA",365*F454/F70)</f>
        <v>NA</v>
      </c>
      <c r="H37" s="402" t="str">
        <f aca="false">IF(G70=0,"NA",365*G454/G70)</f>
        <v>NA</v>
      </c>
      <c r="I37" s="403" t="str">
        <f aca="false">IF(I454=0,"NA",365*I454/(H70+I70))</f>
        <v>NA</v>
      </c>
      <c r="J37" s="401" t="str">
        <f aca="false">IF(J454=0,"NA",365*J454/J70)</f>
        <v>NA</v>
      </c>
      <c r="K37" s="401" t="str">
        <f aca="false">IF(K454=0,"NA",365*K454/K70)</f>
        <v>NA</v>
      </c>
      <c r="L37" s="401" t="str">
        <f aca="false">IF(L454=0,"NA",365*L454/L70)</f>
        <v>NA</v>
      </c>
      <c r="M37" s="401" t="str">
        <f aca="false">IF(M454=0,"NA",365*M454/M70)</f>
        <v>NA</v>
      </c>
      <c r="N37" s="401" t="str">
        <f aca="false">IF(N454=0,"NA",365*N454/N70)</f>
        <v>NA</v>
      </c>
      <c r="O37" s="401" t="str">
        <f aca="false">IF(O454=0,"NA",365*O454/O70)</f>
        <v>NA</v>
      </c>
      <c r="P37" s="401" t="str">
        <f aca="false">IF(P454=0,"NA",365*P454/P70)</f>
        <v>NA</v>
      </c>
      <c r="Q37" s="401" t="str">
        <f aca="false">IF(Q454=0,"NA",365*Q454/Q70)</f>
        <v>NA</v>
      </c>
      <c r="R37" s="401" t="str">
        <f aca="false">IF(R454=0,"NA",365*R454/R70)</f>
        <v>NA</v>
      </c>
      <c r="S37" s="401" t="str">
        <f aca="false">IF(S454=0,"NA",365*S454/S70)</f>
        <v>NA</v>
      </c>
      <c r="T37" s="401" t="str">
        <f aca="false">IF(T454=0,"NA",365*T454/T70)</f>
        <v>NA</v>
      </c>
      <c r="U37" s="401" t="str">
        <f aca="false">IF(U454=0,"NA",365*U454/U70)</f>
        <v>NA</v>
      </c>
      <c r="V37" s="401" t="str">
        <f aca="false">IF(V454=0,"NA",365*V454/V70)</f>
        <v>NA</v>
      </c>
      <c r="W37" s="401" t="str">
        <f aca="false">IF(W454=0,"NA",365*W454/W70)</f>
        <v>NA</v>
      </c>
      <c r="X37" s="401" t="str">
        <f aca="false">IF(X454=0,"NA",365*X454/X70)</f>
        <v>NA</v>
      </c>
      <c r="Y37" s="401" t="str">
        <f aca="false">IF(Y454=0,"NA",365*Y454/Y70)</f>
        <v>NA</v>
      </c>
      <c r="Z37" s="401" t="str">
        <f aca="false">IF(Z454=0,"NA",365*Z454/Z70)</f>
        <v>NA</v>
      </c>
      <c r="AA37" s="401" t="str">
        <f aca="false">IF(AA454=0,"NA",365*AA454/AA70)</f>
        <v>NA</v>
      </c>
      <c r="AB37" s="401" t="str">
        <f aca="false">IF(AB454=0,"NA",365*AB454/AB70)</f>
        <v>NA</v>
      </c>
      <c r="AC37" s="401" t="str">
        <f aca="false">IF(AC454=0,"NA",365*AC454/AC70)</f>
        <v>NA</v>
      </c>
      <c r="AD37" s="67"/>
      <c r="AE37" s="67"/>
      <c r="AF37" s="67"/>
      <c r="AG37" s="67"/>
    </row>
    <row r="38" customFormat="false" ht="3.75" hidden="false" customHeight="true" outlineLevel="0" collapsed="false">
      <c r="H38" s="149"/>
      <c r="I38" s="396"/>
      <c r="AD38" s="67"/>
      <c r="AE38" s="67"/>
      <c r="AF38" s="67"/>
      <c r="AG38" s="67"/>
    </row>
    <row r="39" customFormat="false" ht="11.25" hidden="false" customHeight="false" outlineLevel="0" collapsed="false">
      <c r="A39" s="307" t="s">
        <v>628</v>
      </c>
      <c r="H39" s="149"/>
      <c r="I39" s="396"/>
      <c r="AD39" s="67"/>
      <c r="AE39" s="67"/>
      <c r="AF39" s="67"/>
      <c r="AG39" s="67"/>
    </row>
    <row r="40" customFormat="false" ht="11.25" hidden="false" customHeight="false" outlineLevel="0" collapsed="false">
      <c r="A40" s="43" t="s">
        <v>629</v>
      </c>
      <c r="F40" s="35" t="n">
        <f aca="false">E99</f>
        <v>0</v>
      </c>
      <c r="G40" s="35" t="n">
        <f aca="false">F99</f>
        <v>0</v>
      </c>
      <c r="H40" s="149" t="n">
        <f aca="false">G99</f>
        <v>0</v>
      </c>
      <c r="I40" s="396" t="e">
        <f aca="false">I99+H99+I527+I519+I692</f>
        <v>#VALUE!</v>
      </c>
      <c r="J40" s="35" t="e">
        <f aca="false">J99+J527+J519+J692</f>
        <v>#N/A</v>
      </c>
      <c r="K40" s="35" t="e">
        <f aca="false">K99+K527+K519+K692</f>
        <v>#N/A</v>
      </c>
      <c r="L40" s="35" t="e">
        <f aca="false">L99+L527+L519+L692</f>
        <v>#N/A</v>
      </c>
      <c r="M40" s="35" t="e">
        <f aca="false">M99+M527+M519+M692</f>
        <v>#N/A</v>
      </c>
      <c r="N40" s="35" t="e">
        <f aca="false">N99+N527+N519+N692</f>
        <v>#N/A</v>
      </c>
      <c r="O40" s="35" t="e">
        <f aca="false">O99+O527+O519+O692</f>
        <v>#N/A</v>
      </c>
      <c r="P40" s="35" t="e">
        <f aca="false">P99+P527+P519+P692</f>
        <v>#N/A</v>
      </c>
      <c r="Q40" s="35" t="e">
        <f aca="false">Q99+Q527+Q519+Q692</f>
        <v>#N/A</v>
      </c>
      <c r="R40" s="35" t="e">
        <f aca="false">R99+R527+R519+R692</f>
        <v>#N/A</v>
      </c>
      <c r="S40" s="35" t="e">
        <f aca="false">S99+S527+S519+S692</f>
        <v>#N/A</v>
      </c>
      <c r="T40" s="35" t="e">
        <f aca="false">T99+T527+T519+T692</f>
        <v>#N/A</v>
      </c>
      <c r="U40" s="35" t="e">
        <f aca="false">U99+U527+U519+U692</f>
        <v>#N/A</v>
      </c>
      <c r="V40" s="35" t="e">
        <f aca="false">V99+V527+V519+V692</f>
        <v>#N/A</v>
      </c>
      <c r="W40" s="35" t="e">
        <f aca="false">W99+W527+W519+W692</f>
        <v>#N/A</v>
      </c>
      <c r="X40" s="35" t="e">
        <f aca="false">X99+X527+X519+X692</f>
        <v>#N/A</v>
      </c>
      <c r="Y40" s="35" t="e">
        <f aca="false">Y99+Y527+Y519+Y692</f>
        <v>#N/A</v>
      </c>
      <c r="Z40" s="35" t="e">
        <f aca="false">Z99+Z527+Z519+Z692</f>
        <v>#N/A</v>
      </c>
      <c r="AA40" s="35" t="e">
        <f aca="false">AA99+AA527+AA519+AA692</f>
        <v>#N/A</v>
      </c>
      <c r="AB40" s="35" t="e">
        <f aca="false">AB99+AB527+AB519+AB692</f>
        <v>#N/A</v>
      </c>
      <c r="AC40" s="35" t="e">
        <f aca="false">AC99+AC527+AC519+AC692</f>
        <v>#N/A</v>
      </c>
      <c r="AD40" s="67"/>
      <c r="AE40" s="67"/>
      <c r="AF40" s="67"/>
      <c r="AG40" s="67"/>
    </row>
    <row r="41" customFormat="false" ht="11.25" hidden="false" customHeight="false" outlineLevel="0" collapsed="false">
      <c r="A41" s="43" t="s">
        <v>630</v>
      </c>
      <c r="F41" s="35" t="n">
        <v>0</v>
      </c>
      <c r="G41" s="35" t="n">
        <v>0</v>
      </c>
      <c r="H41" s="149" t="n">
        <v>0</v>
      </c>
      <c r="I41" s="396" t="e">
        <f aca="false">I270+I243+(I303+I297)+I264+I258+H538+I233+MAX(I693,0)</f>
        <v>#N/A</v>
      </c>
      <c r="J41" s="149" t="e">
        <f aca="false">J270+J243+(J303+J297)+J264+J258+I538+J233+MAX(J693,0)</f>
        <v>#VALUE!</v>
      </c>
      <c r="K41" s="149" t="e">
        <f aca="false">K270+K243+(K303+K297)+K264+K258+J538+K233+MAX(K693,0)</f>
        <v>#VALUE!</v>
      </c>
      <c r="L41" s="149" t="e">
        <f aca="false">L270+L243+(L303+L297)+L264+L258+K538+L233+MAX(L693,0)</f>
        <v>#VALUE!</v>
      </c>
      <c r="M41" s="149" t="e">
        <f aca="false">M270+M243+(M303+M297)+M264+M258+L538+M233+MAX(M693,0)</f>
        <v>#VALUE!</v>
      </c>
      <c r="N41" s="149" t="e">
        <f aca="false">N270+N243+(N303+N297)+N264+N258+M538+N233+MAX(N693,0)</f>
        <v>#VALUE!</v>
      </c>
      <c r="O41" s="149" t="e">
        <f aca="false">O270+O243+(O303+O297)+O264+O258+N538+O233+MAX(O693,0)</f>
        <v>#VALUE!</v>
      </c>
      <c r="P41" s="149" t="e">
        <f aca="false">P270+P243+(P303+P297)+P264+P258+O538+P233+MAX(P693,0)</f>
        <v>#VALUE!</v>
      </c>
      <c r="Q41" s="149" t="e">
        <f aca="false">Q270+Q243+(Q303+Q297)+Q264+Q258+P538+Q233+MAX(Q693,0)</f>
        <v>#VALUE!</v>
      </c>
      <c r="R41" s="149" t="e">
        <f aca="false">R270+R243+(R303+R297)+R264+R258+Q538+R233+MAX(R693,0)</f>
        <v>#VALUE!</v>
      </c>
      <c r="S41" s="149" t="e">
        <f aca="false">S270+S243+(S303+S297)+S264+S258+R538+S233+MAX(S693,0)</f>
        <v>#VALUE!</v>
      </c>
      <c r="T41" s="149" t="e">
        <f aca="false">T270+T243+(T303+T297)+T264+T258+S538+T233+MAX(T693,0)</f>
        <v>#VALUE!</v>
      </c>
      <c r="U41" s="149" t="e">
        <f aca="false">U270+U243+(U303+U297)+U264+U258+T538+U233+MAX(U693,0)</f>
        <v>#VALUE!</v>
      </c>
      <c r="V41" s="149" t="e">
        <f aca="false">V270+V243+(V303+V297)+V264+V258+U538+V233+MAX(V693,0)</f>
        <v>#VALUE!</v>
      </c>
      <c r="W41" s="149" t="e">
        <f aca="false">W270+W243+(W303+W297)+W264+W258+V538+W233+MAX(W693,0)</f>
        <v>#VALUE!</v>
      </c>
      <c r="X41" s="149" t="e">
        <f aca="false">X270+X243+(X303+X297)+X264+X258+W538+X233+MAX(X693,0)</f>
        <v>#VALUE!</v>
      </c>
      <c r="Y41" s="149" t="e">
        <f aca="false">Y270+Y243+(Y303+Y297)+Y264+Y258+X538+Y233+MAX(Y693,0)</f>
        <v>#VALUE!</v>
      </c>
      <c r="Z41" s="149" t="e">
        <f aca="false">Z270+Z243+(Z303+Z297)+Z264+Z258+Y538+Z233+MAX(Z693,0)</f>
        <v>#VALUE!</v>
      </c>
      <c r="AA41" s="149" t="e">
        <f aca="false">AA270+AA243+(AA303+AA297)+AA264+AA258+Z538+AA233+MAX(AA693,0)</f>
        <v>#VALUE!</v>
      </c>
      <c r="AB41" s="149" t="e">
        <f aca="false">AB270+AB243+(AB303+AB297)+AB264+AB258+AA538+AB233+MAX(AB693,0)</f>
        <v>#VALUE!</v>
      </c>
      <c r="AC41" s="149" t="e">
        <f aca="false">AC270+AC243+(AC303+AC297)+AC264+AC258+AB538+AC233+MAX(AC693,0)</f>
        <v>#VALUE!</v>
      </c>
      <c r="AD41" s="67"/>
      <c r="AE41" s="67"/>
      <c r="AF41" s="67"/>
      <c r="AG41" s="67"/>
    </row>
    <row r="42" customFormat="false" ht="11.25" hidden="false" customHeight="false" outlineLevel="0" collapsed="false">
      <c r="A42" s="43" t="s">
        <v>631</v>
      </c>
      <c r="F42" s="35" t="n">
        <v>0</v>
      </c>
      <c r="G42" s="35" t="n">
        <v>0</v>
      </c>
      <c r="H42" s="149" t="n">
        <v>0</v>
      </c>
      <c r="I42" s="396" t="e">
        <f aca="false">I41+I278+I285+I309+H543</f>
        <v>#N/A</v>
      </c>
      <c r="J42" s="149" t="e">
        <f aca="false">J41+J278+J285+J309+I543</f>
        <v>#VALUE!</v>
      </c>
      <c r="K42" s="149" t="e">
        <f aca="false">K41+K278+K285+K309+J543</f>
        <v>#VALUE!</v>
      </c>
      <c r="L42" s="149" t="e">
        <f aca="false">L41+L278+L285+L309+K543</f>
        <v>#VALUE!</v>
      </c>
      <c r="M42" s="149" t="e">
        <f aca="false">M41+M278+M285+M309+L543</f>
        <v>#VALUE!</v>
      </c>
      <c r="N42" s="149" t="e">
        <f aca="false">N41+N278+N285+N309+M543</f>
        <v>#VALUE!</v>
      </c>
      <c r="O42" s="149" t="e">
        <f aca="false">O41+O278+O285+O309+N543</f>
        <v>#VALUE!</v>
      </c>
      <c r="P42" s="149" t="e">
        <f aca="false">P41+P278+P285+P309+O543</f>
        <v>#VALUE!</v>
      </c>
      <c r="Q42" s="149" t="e">
        <f aca="false">Q41+Q278+Q285+Q309+P543</f>
        <v>#VALUE!</v>
      </c>
      <c r="R42" s="149" t="e">
        <f aca="false">R41+R278+R285+R309+Q543</f>
        <v>#VALUE!</v>
      </c>
      <c r="S42" s="149" t="e">
        <f aca="false">S41+S278+S285+S309+R543</f>
        <v>#VALUE!</v>
      </c>
      <c r="T42" s="149" t="e">
        <f aca="false">T41+T278+T285+T309+S543</f>
        <v>#VALUE!</v>
      </c>
      <c r="U42" s="149" t="e">
        <f aca="false">U41+U278+U285+U309+T543</f>
        <v>#VALUE!</v>
      </c>
      <c r="V42" s="149" t="e">
        <f aca="false">V41+V278+V285+V309+U543</f>
        <v>#VALUE!</v>
      </c>
      <c r="W42" s="149" t="e">
        <f aca="false">W41+W278+W285+W309+V543</f>
        <v>#VALUE!</v>
      </c>
      <c r="X42" s="149" t="e">
        <f aca="false">X41+X278+X285+X309+W543</f>
        <v>#VALUE!</v>
      </c>
      <c r="Y42" s="149" t="e">
        <f aca="false">Y41+Y278+Y285+Y309+X543</f>
        <v>#VALUE!</v>
      </c>
      <c r="Z42" s="149" t="e">
        <f aca="false">Z41+Z278+Z285+Z309+Y543</f>
        <v>#VALUE!</v>
      </c>
      <c r="AA42" s="149" t="e">
        <f aca="false">AA41+AA278+AA285+AA309+Z543</f>
        <v>#VALUE!</v>
      </c>
      <c r="AB42" s="149" t="e">
        <f aca="false">AB41+AB278+AB285+AB309+AA543</f>
        <v>#VALUE!</v>
      </c>
      <c r="AC42" s="149" t="e">
        <f aca="false">AC41+AC278+AC285+AC309+AB543</f>
        <v>#VALUE!</v>
      </c>
      <c r="AD42" s="67"/>
      <c r="AE42" s="67"/>
      <c r="AF42" s="67"/>
      <c r="AG42" s="67"/>
    </row>
    <row r="43" customFormat="false" ht="11.25" hidden="false" customHeight="false" outlineLevel="0" collapsed="false">
      <c r="A43" s="43" t="s">
        <v>632</v>
      </c>
      <c r="H43" s="149"/>
      <c r="I43" s="396" t="e">
        <f aca="false">I239</f>
        <v>#N/A</v>
      </c>
      <c r="J43" s="35" t="e">
        <f aca="false">J239</f>
        <v>#N/A</v>
      </c>
      <c r="K43" s="35" t="e">
        <f aca="false">K239</f>
        <v>#N/A</v>
      </c>
      <c r="L43" s="35" t="e">
        <f aca="false">L239</f>
        <v>#N/A</v>
      </c>
      <c r="M43" s="35" t="e">
        <f aca="false">M239</f>
        <v>#N/A</v>
      </c>
      <c r="N43" s="35" t="e">
        <f aca="false">N239</f>
        <v>#N/A</v>
      </c>
      <c r="O43" s="35" t="e">
        <f aca="false">O239</f>
        <v>#N/A</v>
      </c>
      <c r="P43" s="35" t="e">
        <f aca="false">P239</f>
        <v>#N/A</v>
      </c>
      <c r="Q43" s="35" t="e">
        <f aca="false">Q239</f>
        <v>#N/A</v>
      </c>
      <c r="R43" s="35" t="e">
        <f aca="false">R239</f>
        <v>#N/A</v>
      </c>
      <c r="S43" s="35" t="e">
        <f aca="false">S239</f>
        <v>#N/A</v>
      </c>
      <c r="T43" s="35" t="e">
        <f aca="false">T239</f>
        <v>#N/A</v>
      </c>
      <c r="U43" s="35" t="e">
        <f aca="false">U239</f>
        <v>#N/A</v>
      </c>
      <c r="V43" s="35" t="e">
        <f aca="false">V239</f>
        <v>#N/A</v>
      </c>
      <c r="W43" s="35" t="e">
        <f aca="false">W239</f>
        <v>#N/A</v>
      </c>
      <c r="X43" s="35" t="e">
        <f aca="false">X239</f>
        <v>#N/A</v>
      </c>
      <c r="Y43" s="35" t="e">
        <f aca="false">Y239</f>
        <v>#N/A</v>
      </c>
      <c r="Z43" s="35" t="e">
        <f aca="false">Z239</f>
        <v>#N/A</v>
      </c>
      <c r="AA43" s="35" t="e">
        <f aca="false">AA239</f>
        <v>#N/A</v>
      </c>
      <c r="AB43" s="35" t="e">
        <f aca="false">AB239</f>
        <v>#N/A</v>
      </c>
      <c r="AC43" s="35" t="e">
        <f aca="false">AC239</f>
        <v>#N/A</v>
      </c>
      <c r="AD43" s="67"/>
      <c r="AE43" s="67"/>
      <c r="AF43" s="67"/>
      <c r="AG43" s="67"/>
    </row>
    <row r="44" customFormat="false" ht="3" hidden="false" customHeight="true" outlineLevel="0" collapsed="false">
      <c r="A44" s="67"/>
      <c r="B44" s="67"/>
      <c r="C44" s="67"/>
      <c r="D44" s="67"/>
      <c r="E44" s="67"/>
      <c r="F44" s="67"/>
      <c r="G44" s="67"/>
      <c r="H44" s="80"/>
      <c r="I44" s="205"/>
      <c r="J44" s="67"/>
      <c r="K44" s="67"/>
      <c r="L44" s="67"/>
      <c r="M44" s="67"/>
      <c r="N44" s="67"/>
      <c r="O44" s="67"/>
      <c r="P44" s="67"/>
      <c r="Q44" s="67"/>
      <c r="R44" s="67"/>
      <c r="S44" s="67"/>
      <c r="T44" s="67"/>
      <c r="U44" s="67"/>
      <c r="V44" s="67"/>
      <c r="W44" s="67"/>
      <c r="X44" s="67"/>
      <c r="Y44" s="67"/>
      <c r="Z44" s="67"/>
      <c r="AA44" s="67"/>
      <c r="AB44" s="67"/>
      <c r="AC44" s="67"/>
      <c r="AD44" s="67"/>
      <c r="AE44" s="67"/>
      <c r="AF44" s="67"/>
      <c r="AG44" s="67"/>
      <c r="AH44" s="67"/>
      <c r="AI44" s="67"/>
      <c r="AJ44" s="67"/>
      <c r="AK44" s="67"/>
      <c r="AL44" s="67"/>
      <c r="AM44" s="67"/>
      <c r="AN44" s="67"/>
      <c r="AO44" s="67"/>
      <c r="AP44" s="67"/>
      <c r="AQ44" s="67"/>
      <c r="AR44" s="67"/>
      <c r="AS44" s="67"/>
      <c r="AT44" s="67"/>
      <c r="AU44" s="67"/>
      <c r="AV44" s="67"/>
      <c r="AW44" s="67"/>
      <c r="AX44" s="67"/>
      <c r="AY44" s="67"/>
      <c r="AZ44" s="67"/>
      <c r="BA44" s="67"/>
      <c r="BB44" s="67"/>
      <c r="BC44" s="67"/>
      <c r="BD44" s="67"/>
      <c r="BE44" s="67"/>
      <c r="BF44" s="67"/>
      <c r="BG44" s="67"/>
      <c r="BH44" s="67"/>
      <c r="BI44" s="67"/>
      <c r="BJ44" s="67"/>
      <c r="BK44" s="67"/>
      <c r="BL44" s="67"/>
      <c r="BM44" s="67"/>
      <c r="BN44" s="67"/>
      <c r="BO44" s="67"/>
      <c r="BP44" s="67"/>
      <c r="BQ44" s="67"/>
      <c r="BR44" s="67"/>
      <c r="BS44" s="67"/>
      <c r="BT44" s="67"/>
      <c r="BU44" s="67"/>
      <c r="BV44" s="67"/>
      <c r="BW44" s="67"/>
      <c r="BX44" s="67"/>
      <c r="BY44" s="67"/>
      <c r="BZ44" s="67"/>
      <c r="CA44" s="67"/>
      <c r="CB44" s="67"/>
      <c r="CC44" s="67"/>
      <c r="CD44" s="67"/>
      <c r="CE44" s="67"/>
      <c r="CF44" s="67"/>
      <c r="CG44" s="67"/>
      <c r="CH44" s="67"/>
      <c r="CI44" s="67"/>
      <c r="CJ44" s="67"/>
      <c r="CK44" s="67"/>
      <c r="CL44" s="67"/>
      <c r="CM44" s="67"/>
      <c r="CN44" s="67"/>
      <c r="CO44" s="67"/>
      <c r="CP44" s="67"/>
      <c r="CQ44" s="67"/>
      <c r="CR44" s="67"/>
      <c r="CS44" s="67"/>
      <c r="CT44" s="67"/>
      <c r="CU44" s="67"/>
      <c r="CV44" s="67"/>
      <c r="CW44" s="67"/>
      <c r="CX44" s="67"/>
      <c r="CY44" s="67"/>
      <c r="CZ44" s="67"/>
      <c r="DA44" s="67"/>
      <c r="DB44" s="67"/>
      <c r="DC44" s="67"/>
      <c r="DD44" s="67"/>
      <c r="DE44" s="67"/>
      <c r="DF44" s="67"/>
      <c r="DG44" s="67"/>
      <c r="DH44" s="67"/>
      <c r="DI44" s="67"/>
      <c r="DJ44" s="67"/>
      <c r="DK44" s="67"/>
      <c r="DL44" s="67"/>
      <c r="DM44" s="67"/>
      <c r="DN44" s="67"/>
      <c r="DO44" s="67"/>
      <c r="DP44" s="67"/>
      <c r="DQ44" s="67"/>
      <c r="DR44" s="67"/>
      <c r="DS44" s="67"/>
      <c r="DT44" s="67"/>
      <c r="DU44" s="67"/>
      <c r="DV44" s="67"/>
      <c r="DW44" s="67"/>
      <c r="DX44" s="67"/>
      <c r="DY44" s="67"/>
      <c r="DZ44" s="67"/>
      <c r="EA44" s="67"/>
      <c r="EB44" s="67"/>
      <c r="EC44" s="67"/>
      <c r="ED44" s="67"/>
      <c r="EE44" s="67"/>
      <c r="EF44" s="67"/>
      <c r="EG44" s="67"/>
      <c r="EH44" s="67"/>
      <c r="EI44" s="67"/>
      <c r="EJ44" s="67"/>
      <c r="EK44" s="67"/>
      <c r="EL44" s="67"/>
      <c r="EM44" s="67"/>
      <c r="EN44" s="67"/>
      <c r="EO44" s="67"/>
      <c r="EP44" s="67"/>
      <c r="EQ44" s="67"/>
      <c r="ER44" s="67"/>
      <c r="ES44" s="67"/>
      <c r="ET44" s="67"/>
      <c r="EU44" s="67"/>
      <c r="EV44" s="67"/>
      <c r="EW44" s="67"/>
      <c r="EX44" s="67"/>
      <c r="EY44" s="67"/>
      <c r="EZ44" s="67"/>
      <c r="FA44" s="67"/>
      <c r="FB44" s="67"/>
      <c r="FC44" s="67"/>
      <c r="FD44" s="67"/>
      <c r="FE44" s="67"/>
      <c r="FF44" s="67"/>
      <c r="FG44" s="67"/>
      <c r="FH44" s="67"/>
      <c r="FI44" s="67"/>
      <c r="FJ44" s="67"/>
      <c r="FK44" s="67"/>
      <c r="FL44" s="67"/>
      <c r="FM44" s="67"/>
      <c r="FN44" s="67"/>
      <c r="FO44" s="67"/>
      <c r="FP44" s="67"/>
      <c r="FQ44" s="67"/>
      <c r="FR44" s="67"/>
      <c r="FS44" s="67"/>
      <c r="FT44" s="67"/>
      <c r="FU44" s="67"/>
      <c r="FV44" s="67"/>
      <c r="FW44" s="67"/>
      <c r="FX44" s="67"/>
      <c r="FY44" s="67"/>
      <c r="FZ44" s="67"/>
      <c r="GA44" s="67"/>
      <c r="GB44" s="67"/>
      <c r="GC44" s="67"/>
      <c r="GD44" s="67"/>
      <c r="GE44" s="67"/>
      <c r="GF44" s="67"/>
      <c r="GG44" s="67"/>
      <c r="GH44" s="67"/>
      <c r="GI44" s="67"/>
      <c r="GJ44" s="67"/>
      <c r="GK44" s="67"/>
      <c r="GL44" s="67"/>
      <c r="GM44" s="67"/>
      <c r="GN44" s="67"/>
      <c r="GO44" s="67"/>
      <c r="GP44" s="67"/>
      <c r="GQ44" s="67"/>
      <c r="GR44" s="67"/>
      <c r="GS44" s="67"/>
      <c r="GT44" s="67"/>
      <c r="GU44" s="67"/>
      <c r="GV44" s="67"/>
      <c r="GW44" s="67"/>
      <c r="GX44" s="67"/>
      <c r="GY44" s="67"/>
      <c r="GZ44" s="67"/>
      <c r="HA44" s="67"/>
      <c r="HB44" s="67"/>
      <c r="HC44" s="67"/>
      <c r="HD44" s="67"/>
      <c r="HE44" s="67"/>
      <c r="HF44" s="67"/>
      <c r="HG44" s="67"/>
      <c r="HH44" s="67"/>
      <c r="HI44" s="67"/>
      <c r="HJ44" s="67"/>
      <c r="HK44" s="67"/>
      <c r="HL44" s="67"/>
      <c r="HM44" s="67"/>
      <c r="HN44" s="67"/>
      <c r="HO44" s="67"/>
      <c r="HP44" s="67"/>
      <c r="HQ44" s="67"/>
      <c r="HR44" s="67"/>
      <c r="HS44" s="67"/>
      <c r="HT44" s="67"/>
      <c r="HU44" s="67"/>
      <c r="HV44" s="67"/>
      <c r="HW44" s="67"/>
      <c r="HX44" s="67"/>
      <c r="HY44" s="67"/>
      <c r="HZ44" s="67"/>
      <c r="IA44" s="67"/>
      <c r="IB44" s="67"/>
      <c r="IC44" s="67"/>
      <c r="ID44" s="67"/>
      <c r="IE44" s="67"/>
      <c r="IF44" s="67"/>
      <c r="IG44" s="67"/>
      <c r="IH44" s="67"/>
      <c r="II44" s="67"/>
      <c r="IJ44" s="67"/>
      <c r="IK44" s="67"/>
      <c r="IL44" s="67"/>
      <c r="IM44" s="67"/>
      <c r="IN44" s="67"/>
      <c r="IO44" s="67"/>
      <c r="IP44" s="67"/>
      <c r="IQ44" s="67"/>
      <c r="IR44" s="67"/>
      <c r="IS44" s="67"/>
      <c r="IT44" s="67"/>
      <c r="IU44" s="67"/>
      <c r="IV44" s="67"/>
      <c r="IW44" s="67"/>
    </row>
    <row r="45" customFormat="false" ht="11.25" hidden="false" customHeight="false" outlineLevel="0" collapsed="false">
      <c r="A45" s="43" t="s">
        <v>633</v>
      </c>
      <c r="B45" s="67"/>
      <c r="C45" s="67"/>
      <c r="D45" s="67"/>
      <c r="E45" s="67"/>
      <c r="F45" s="151" t="n">
        <f aca="false">E172</f>
        <v>0</v>
      </c>
      <c r="G45" s="151" t="n">
        <f aca="false">F172</f>
        <v>0</v>
      </c>
      <c r="H45" s="404" t="n">
        <f aca="false">G172</f>
        <v>0</v>
      </c>
      <c r="I45" s="400" t="e">
        <f aca="false">I172</f>
        <v>#VALUE!</v>
      </c>
      <c r="J45" s="404" t="e">
        <f aca="false">J172</f>
        <v>#VALUE!</v>
      </c>
      <c r="K45" s="404" t="e">
        <f aca="false">K172</f>
        <v>#VALUE!</v>
      </c>
      <c r="L45" s="404" t="e">
        <f aca="false">L172</f>
        <v>#VALUE!</v>
      </c>
      <c r="M45" s="404" t="e">
        <f aca="false">M172</f>
        <v>#VALUE!</v>
      </c>
      <c r="N45" s="404" t="e">
        <f aca="false">N172</f>
        <v>#VALUE!</v>
      </c>
      <c r="O45" s="404" t="e">
        <f aca="false">O172</f>
        <v>#VALUE!</v>
      </c>
      <c r="P45" s="404" t="e">
        <f aca="false">P172</f>
        <v>#VALUE!</v>
      </c>
      <c r="Q45" s="404" t="e">
        <f aca="false">Q172</f>
        <v>#VALUE!</v>
      </c>
      <c r="R45" s="404" t="e">
        <f aca="false">R172</f>
        <v>#VALUE!</v>
      </c>
      <c r="S45" s="404" t="e">
        <f aca="false">S172</f>
        <v>#VALUE!</v>
      </c>
      <c r="T45" s="404" t="e">
        <f aca="false">T172</f>
        <v>#VALUE!</v>
      </c>
      <c r="U45" s="404" t="e">
        <f aca="false">U172</f>
        <v>#VALUE!</v>
      </c>
      <c r="V45" s="404" t="e">
        <f aca="false">V172</f>
        <v>#VALUE!</v>
      </c>
      <c r="W45" s="404" t="e">
        <f aca="false">W172</f>
        <v>#VALUE!</v>
      </c>
      <c r="X45" s="404" t="e">
        <f aca="false">X172</f>
        <v>#VALUE!</v>
      </c>
      <c r="Y45" s="404" t="e">
        <f aca="false">Y172</f>
        <v>#VALUE!</v>
      </c>
      <c r="Z45" s="404" t="e">
        <f aca="false">Z172</f>
        <v>#VALUE!</v>
      </c>
      <c r="AA45" s="404" t="e">
        <f aca="false">AA172</f>
        <v>#VALUE!</v>
      </c>
      <c r="AB45" s="404" t="e">
        <f aca="false">AB172</f>
        <v>#VALUE!</v>
      </c>
      <c r="AC45" s="404" t="e">
        <f aca="false">AC172</f>
        <v>#VALUE!</v>
      </c>
      <c r="AD45" s="67"/>
      <c r="AE45" s="67"/>
      <c r="AF45" s="67"/>
      <c r="AG45" s="67"/>
      <c r="AH45" s="67"/>
      <c r="AI45" s="67"/>
      <c r="AJ45" s="67"/>
      <c r="AK45" s="67"/>
      <c r="AL45" s="67"/>
      <c r="AM45" s="67"/>
      <c r="AN45" s="67"/>
      <c r="AO45" s="67"/>
      <c r="AP45" s="67"/>
      <c r="AQ45" s="67"/>
      <c r="AR45" s="67"/>
      <c r="AS45" s="67"/>
      <c r="AT45" s="67"/>
      <c r="AU45" s="67"/>
      <c r="AV45" s="67"/>
      <c r="AW45" s="67"/>
      <c r="AX45" s="67"/>
      <c r="AY45" s="67"/>
      <c r="AZ45" s="67"/>
      <c r="BA45" s="67"/>
      <c r="BB45" s="67"/>
      <c r="BC45" s="67"/>
      <c r="BD45" s="67"/>
      <c r="BE45" s="67"/>
      <c r="BF45" s="67"/>
      <c r="BG45" s="67"/>
      <c r="BH45" s="67"/>
      <c r="BI45" s="67"/>
      <c r="BJ45" s="67"/>
      <c r="BK45" s="67"/>
      <c r="BL45" s="67"/>
      <c r="BM45" s="67"/>
      <c r="BN45" s="67"/>
      <c r="BO45" s="67"/>
      <c r="BP45" s="67"/>
      <c r="BQ45" s="67"/>
      <c r="BR45" s="67"/>
      <c r="BS45" s="67"/>
      <c r="BT45" s="67"/>
      <c r="BU45" s="67"/>
      <c r="BV45" s="67"/>
      <c r="BW45" s="67"/>
      <c r="BX45" s="67"/>
      <c r="BY45" s="67"/>
      <c r="BZ45" s="67"/>
      <c r="CA45" s="67"/>
      <c r="CB45" s="67"/>
      <c r="CC45" s="67"/>
      <c r="CD45" s="67"/>
      <c r="CE45" s="67"/>
      <c r="CF45" s="67"/>
      <c r="CG45" s="67"/>
      <c r="CH45" s="67"/>
      <c r="CI45" s="67"/>
      <c r="CJ45" s="67"/>
      <c r="CK45" s="67"/>
      <c r="CL45" s="67"/>
      <c r="CM45" s="67"/>
      <c r="CN45" s="67"/>
      <c r="CO45" s="67"/>
      <c r="CP45" s="67"/>
      <c r="CQ45" s="67"/>
      <c r="CR45" s="67"/>
      <c r="CS45" s="67"/>
      <c r="CT45" s="67"/>
      <c r="CU45" s="67"/>
      <c r="CV45" s="67"/>
      <c r="CW45" s="67"/>
      <c r="CX45" s="67"/>
      <c r="CY45" s="67"/>
      <c r="CZ45" s="67"/>
      <c r="DA45" s="67"/>
      <c r="DB45" s="67"/>
      <c r="DC45" s="67"/>
      <c r="DD45" s="67"/>
      <c r="DE45" s="67"/>
      <c r="DF45" s="67"/>
      <c r="DG45" s="67"/>
      <c r="DH45" s="67"/>
      <c r="DI45" s="67"/>
      <c r="DJ45" s="67"/>
      <c r="DK45" s="67"/>
      <c r="DL45" s="67"/>
      <c r="DM45" s="67"/>
      <c r="DN45" s="67"/>
      <c r="DO45" s="67"/>
      <c r="DP45" s="67"/>
      <c r="DQ45" s="67"/>
      <c r="DR45" s="67"/>
      <c r="DS45" s="67"/>
      <c r="DT45" s="67"/>
      <c r="DU45" s="67"/>
      <c r="DV45" s="67"/>
      <c r="DW45" s="67"/>
      <c r="DX45" s="67"/>
      <c r="DY45" s="67"/>
      <c r="DZ45" s="67"/>
      <c r="EA45" s="67"/>
      <c r="EB45" s="67"/>
      <c r="EC45" s="67"/>
      <c r="ED45" s="67"/>
      <c r="EE45" s="67"/>
      <c r="EF45" s="67"/>
      <c r="EG45" s="67"/>
      <c r="EH45" s="67"/>
      <c r="EI45" s="67"/>
      <c r="EJ45" s="67"/>
      <c r="EK45" s="67"/>
      <c r="EL45" s="67"/>
      <c r="EM45" s="67"/>
      <c r="EN45" s="67"/>
      <c r="EO45" s="67"/>
      <c r="EP45" s="67"/>
      <c r="EQ45" s="67"/>
      <c r="ER45" s="67"/>
      <c r="ES45" s="67"/>
      <c r="ET45" s="67"/>
      <c r="EU45" s="67"/>
      <c r="EV45" s="67"/>
      <c r="EW45" s="67"/>
      <c r="EX45" s="67"/>
      <c r="EY45" s="67"/>
      <c r="EZ45" s="67"/>
      <c r="FA45" s="67"/>
      <c r="FB45" s="67"/>
      <c r="FC45" s="67"/>
      <c r="FD45" s="67"/>
      <c r="FE45" s="67"/>
      <c r="FF45" s="67"/>
      <c r="FG45" s="67"/>
      <c r="FH45" s="67"/>
      <c r="FI45" s="67"/>
      <c r="FJ45" s="67"/>
      <c r="FK45" s="67"/>
      <c r="FL45" s="67"/>
      <c r="FM45" s="67"/>
      <c r="FN45" s="67"/>
      <c r="FO45" s="67"/>
      <c r="FP45" s="67"/>
      <c r="FQ45" s="67"/>
      <c r="FR45" s="67"/>
      <c r="FS45" s="67"/>
      <c r="FT45" s="67"/>
      <c r="FU45" s="67"/>
      <c r="FV45" s="67"/>
      <c r="FW45" s="67"/>
      <c r="FX45" s="67"/>
      <c r="FY45" s="67"/>
      <c r="FZ45" s="67"/>
      <c r="GA45" s="67"/>
      <c r="GB45" s="67"/>
      <c r="GC45" s="67"/>
      <c r="GD45" s="67"/>
      <c r="GE45" s="67"/>
      <c r="GF45" s="67"/>
      <c r="GG45" s="67"/>
      <c r="GH45" s="67"/>
      <c r="GI45" s="67"/>
      <c r="GJ45" s="67"/>
      <c r="GK45" s="67"/>
      <c r="GL45" s="67"/>
      <c r="GM45" s="67"/>
      <c r="GN45" s="67"/>
      <c r="GO45" s="67"/>
      <c r="GP45" s="67"/>
      <c r="GQ45" s="67"/>
      <c r="GR45" s="67"/>
      <c r="GS45" s="67"/>
      <c r="GT45" s="67"/>
      <c r="GU45" s="67"/>
      <c r="GV45" s="67"/>
      <c r="GW45" s="67"/>
      <c r="GX45" s="67"/>
      <c r="GY45" s="67"/>
      <c r="GZ45" s="67"/>
      <c r="HA45" s="67"/>
      <c r="HB45" s="67"/>
      <c r="HC45" s="67"/>
      <c r="HD45" s="67"/>
      <c r="HE45" s="67"/>
      <c r="HF45" s="67"/>
      <c r="HG45" s="67"/>
      <c r="HH45" s="67"/>
      <c r="HI45" s="67"/>
      <c r="HJ45" s="67"/>
      <c r="HK45" s="67"/>
      <c r="HL45" s="67"/>
      <c r="HM45" s="67"/>
      <c r="HN45" s="67"/>
      <c r="HO45" s="67"/>
      <c r="HP45" s="67"/>
      <c r="HQ45" s="67"/>
      <c r="HR45" s="67"/>
      <c r="HS45" s="67"/>
      <c r="HT45" s="67"/>
      <c r="HU45" s="67"/>
      <c r="HV45" s="67"/>
      <c r="HW45" s="67"/>
      <c r="HX45" s="67"/>
      <c r="HY45" s="67"/>
      <c r="HZ45" s="67"/>
      <c r="IA45" s="67"/>
      <c r="IB45" s="67"/>
      <c r="IC45" s="67"/>
      <c r="ID45" s="67"/>
      <c r="IE45" s="67"/>
      <c r="IF45" s="67"/>
      <c r="IG45" s="67"/>
      <c r="IH45" s="67"/>
      <c r="II45" s="67"/>
      <c r="IJ45" s="67"/>
      <c r="IK45" s="67"/>
      <c r="IL45" s="67"/>
      <c r="IM45" s="67"/>
      <c r="IN45" s="67"/>
      <c r="IO45" s="67"/>
      <c r="IP45" s="67"/>
      <c r="IQ45" s="67"/>
      <c r="IR45" s="67"/>
      <c r="IS45" s="67"/>
      <c r="IT45" s="67"/>
      <c r="IU45" s="67"/>
      <c r="IV45" s="67"/>
      <c r="IW45" s="67"/>
    </row>
    <row r="46" customFormat="false" ht="11.25" hidden="false" customHeight="false" outlineLevel="0" collapsed="false">
      <c r="A46" s="67" t="s">
        <v>634</v>
      </c>
      <c r="B46" s="67"/>
      <c r="C46" s="67"/>
      <c r="D46" s="67"/>
      <c r="E46" s="67"/>
      <c r="F46" s="67"/>
      <c r="G46" s="67"/>
      <c r="H46" s="80"/>
      <c r="I46" s="400" t="e">
        <f aca="false">I227</f>
        <v>#VALUE!</v>
      </c>
      <c r="J46" s="404" t="e">
        <f aca="false">J227</f>
        <v>#N/A</v>
      </c>
      <c r="K46" s="404" t="e">
        <f aca="false">K227</f>
        <v>#N/A</v>
      </c>
      <c r="L46" s="404" t="e">
        <f aca="false">L227</f>
        <v>#N/A</v>
      </c>
      <c r="M46" s="404" t="e">
        <f aca="false">M227</f>
        <v>#N/A</v>
      </c>
      <c r="N46" s="404" t="e">
        <f aca="false">N227</f>
        <v>#N/A</v>
      </c>
      <c r="O46" s="404" t="e">
        <f aca="false">O227</f>
        <v>#N/A</v>
      </c>
      <c r="P46" s="404" t="e">
        <f aca="false">P227</f>
        <v>#N/A</v>
      </c>
      <c r="Q46" s="404" t="e">
        <f aca="false">Q227</f>
        <v>#N/A</v>
      </c>
      <c r="R46" s="404" t="e">
        <f aca="false">R227</f>
        <v>#N/A</v>
      </c>
      <c r="S46" s="404" t="e">
        <f aca="false">S227</f>
        <v>#N/A</v>
      </c>
      <c r="T46" s="404" t="e">
        <f aca="false">T227</f>
        <v>#N/A</v>
      </c>
      <c r="U46" s="404" t="e">
        <f aca="false">U227</f>
        <v>#N/A</v>
      </c>
      <c r="V46" s="404" t="e">
        <f aca="false">V227</f>
        <v>#N/A</v>
      </c>
      <c r="W46" s="404" t="e">
        <f aca="false">W227</f>
        <v>#N/A</v>
      </c>
      <c r="X46" s="404" t="e">
        <f aca="false">X227</f>
        <v>#N/A</v>
      </c>
      <c r="Y46" s="404" t="e">
        <f aca="false">Y227</f>
        <v>#N/A</v>
      </c>
      <c r="Z46" s="404" t="e">
        <f aca="false">Z227</f>
        <v>#N/A</v>
      </c>
      <c r="AA46" s="404" t="e">
        <f aca="false">AA227</f>
        <v>#N/A</v>
      </c>
      <c r="AB46" s="404" t="e">
        <f aca="false">AB227</f>
        <v>#N/A</v>
      </c>
      <c r="AC46" s="404" t="e">
        <f aca="false">AC227</f>
        <v>#N/A</v>
      </c>
      <c r="AD46" s="67"/>
      <c r="AE46" s="67"/>
      <c r="AF46" s="67"/>
      <c r="AG46" s="67"/>
      <c r="AH46" s="67"/>
      <c r="AI46" s="67"/>
      <c r="AJ46" s="67"/>
      <c r="AK46" s="67"/>
      <c r="AL46" s="67"/>
      <c r="AM46" s="67"/>
      <c r="AN46" s="67"/>
      <c r="AO46" s="67"/>
      <c r="AP46" s="67"/>
      <c r="AQ46" s="67"/>
      <c r="AR46" s="67"/>
      <c r="AS46" s="67"/>
      <c r="AT46" s="67"/>
      <c r="AU46" s="67"/>
      <c r="AV46" s="67"/>
      <c r="AW46" s="67"/>
      <c r="AX46" s="67"/>
      <c r="AY46" s="67"/>
      <c r="AZ46" s="67"/>
      <c r="BA46" s="67"/>
      <c r="BB46" s="67"/>
      <c r="BC46" s="67"/>
      <c r="BD46" s="67"/>
      <c r="BE46" s="67"/>
      <c r="BF46" s="67"/>
      <c r="BG46" s="67"/>
      <c r="BH46" s="67"/>
      <c r="BI46" s="67"/>
      <c r="BJ46" s="67"/>
      <c r="BK46" s="67"/>
      <c r="BL46" s="67"/>
      <c r="BM46" s="67"/>
      <c r="BN46" s="67"/>
      <c r="BO46" s="67"/>
      <c r="BP46" s="67"/>
      <c r="BQ46" s="67"/>
      <c r="BR46" s="67"/>
      <c r="BS46" s="67"/>
      <c r="BT46" s="67"/>
      <c r="BU46" s="67"/>
      <c r="BV46" s="67"/>
      <c r="BW46" s="67"/>
      <c r="BX46" s="67"/>
      <c r="BY46" s="67"/>
      <c r="BZ46" s="67"/>
      <c r="CA46" s="67"/>
      <c r="CB46" s="67"/>
      <c r="CC46" s="67"/>
      <c r="CD46" s="67"/>
      <c r="CE46" s="67"/>
      <c r="CF46" s="67"/>
      <c r="CG46" s="67"/>
      <c r="CH46" s="67"/>
      <c r="CI46" s="67"/>
      <c r="CJ46" s="67"/>
      <c r="CK46" s="67"/>
      <c r="CL46" s="67"/>
      <c r="CM46" s="67"/>
      <c r="CN46" s="67"/>
      <c r="CO46" s="67"/>
      <c r="CP46" s="67"/>
      <c r="CQ46" s="67"/>
      <c r="CR46" s="67"/>
      <c r="CS46" s="67"/>
      <c r="CT46" s="67"/>
      <c r="CU46" s="67"/>
      <c r="CV46" s="67"/>
      <c r="CW46" s="67"/>
      <c r="CX46" s="67"/>
      <c r="CY46" s="67"/>
      <c r="CZ46" s="67"/>
      <c r="DA46" s="67"/>
      <c r="DB46" s="67"/>
      <c r="DC46" s="67"/>
      <c r="DD46" s="67"/>
      <c r="DE46" s="67"/>
      <c r="DF46" s="67"/>
      <c r="DG46" s="67"/>
      <c r="DH46" s="67"/>
      <c r="DI46" s="67"/>
      <c r="DJ46" s="67"/>
      <c r="DK46" s="67"/>
      <c r="DL46" s="67"/>
      <c r="DM46" s="67"/>
      <c r="DN46" s="67"/>
      <c r="DO46" s="67"/>
      <c r="DP46" s="67"/>
      <c r="DQ46" s="67"/>
      <c r="DR46" s="67"/>
      <c r="DS46" s="67"/>
      <c r="DT46" s="67"/>
      <c r="DU46" s="67"/>
      <c r="DV46" s="67"/>
      <c r="DW46" s="67"/>
      <c r="DX46" s="67"/>
      <c r="DY46" s="67"/>
      <c r="DZ46" s="67"/>
      <c r="EA46" s="67"/>
      <c r="EB46" s="67"/>
      <c r="EC46" s="67"/>
      <c r="ED46" s="67"/>
      <c r="EE46" s="67"/>
      <c r="EF46" s="67"/>
      <c r="EG46" s="67"/>
      <c r="EH46" s="67"/>
      <c r="EI46" s="67"/>
      <c r="EJ46" s="67"/>
      <c r="EK46" s="67"/>
      <c r="EL46" s="67"/>
      <c r="EM46" s="67"/>
      <c r="EN46" s="67"/>
      <c r="EO46" s="67"/>
      <c r="EP46" s="67"/>
      <c r="EQ46" s="67"/>
      <c r="ER46" s="67"/>
      <c r="ES46" s="67"/>
      <c r="ET46" s="67"/>
      <c r="EU46" s="67"/>
      <c r="EV46" s="67"/>
      <c r="EW46" s="67"/>
      <c r="EX46" s="67"/>
      <c r="EY46" s="67"/>
      <c r="EZ46" s="67"/>
      <c r="FA46" s="67"/>
      <c r="FB46" s="67"/>
      <c r="FC46" s="67"/>
      <c r="FD46" s="67"/>
      <c r="FE46" s="67"/>
      <c r="FF46" s="67"/>
      <c r="FG46" s="67"/>
      <c r="FH46" s="67"/>
      <c r="FI46" s="67"/>
      <c r="FJ46" s="67"/>
      <c r="FK46" s="67"/>
      <c r="FL46" s="67"/>
      <c r="FM46" s="67"/>
      <c r="FN46" s="67"/>
      <c r="FO46" s="67"/>
      <c r="FP46" s="67"/>
      <c r="FQ46" s="67"/>
      <c r="FR46" s="67"/>
      <c r="FS46" s="67"/>
      <c r="FT46" s="67"/>
      <c r="FU46" s="67"/>
      <c r="FV46" s="67"/>
      <c r="FW46" s="67"/>
      <c r="FX46" s="67"/>
      <c r="FY46" s="67"/>
      <c r="FZ46" s="67"/>
      <c r="GA46" s="67"/>
      <c r="GB46" s="67"/>
      <c r="GC46" s="67"/>
      <c r="GD46" s="67"/>
      <c r="GE46" s="67"/>
      <c r="GF46" s="67"/>
      <c r="GG46" s="67"/>
      <c r="GH46" s="67"/>
      <c r="GI46" s="67"/>
      <c r="GJ46" s="67"/>
      <c r="GK46" s="67"/>
      <c r="GL46" s="67"/>
      <c r="GM46" s="67"/>
      <c r="GN46" s="67"/>
      <c r="GO46" s="67"/>
      <c r="GP46" s="67"/>
      <c r="GQ46" s="67"/>
      <c r="GR46" s="67"/>
      <c r="GS46" s="67"/>
      <c r="GT46" s="67"/>
      <c r="GU46" s="67"/>
      <c r="GV46" s="67"/>
      <c r="GW46" s="67"/>
      <c r="GX46" s="67"/>
      <c r="GY46" s="67"/>
      <c r="GZ46" s="67"/>
      <c r="HA46" s="67"/>
      <c r="HB46" s="67"/>
      <c r="HC46" s="67"/>
      <c r="HD46" s="67"/>
      <c r="HE46" s="67"/>
      <c r="HF46" s="67"/>
      <c r="HG46" s="67"/>
      <c r="HH46" s="67"/>
      <c r="HI46" s="67"/>
      <c r="HJ46" s="67"/>
      <c r="HK46" s="67"/>
      <c r="HL46" s="67"/>
      <c r="HM46" s="67"/>
      <c r="HN46" s="67"/>
      <c r="HO46" s="67"/>
      <c r="HP46" s="67"/>
      <c r="HQ46" s="67"/>
      <c r="HR46" s="67"/>
      <c r="HS46" s="67"/>
      <c r="HT46" s="67"/>
      <c r="HU46" s="67"/>
      <c r="HV46" s="67"/>
      <c r="HW46" s="67"/>
      <c r="HX46" s="67"/>
      <c r="HY46" s="67"/>
      <c r="HZ46" s="67"/>
      <c r="IA46" s="67"/>
      <c r="IB46" s="67"/>
      <c r="IC46" s="67"/>
      <c r="ID46" s="67"/>
      <c r="IE46" s="67"/>
      <c r="IF46" s="67"/>
      <c r="IG46" s="67"/>
      <c r="IH46" s="67"/>
      <c r="II46" s="67"/>
      <c r="IJ46" s="67"/>
      <c r="IK46" s="67"/>
      <c r="IL46" s="67"/>
      <c r="IM46" s="67"/>
      <c r="IN46" s="67"/>
      <c r="IO46" s="67"/>
      <c r="IP46" s="67"/>
      <c r="IQ46" s="67"/>
      <c r="IR46" s="67"/>
      <c r="IS46" s="67"/>
      <c r="IT46" s="67"/>
      <c r="IU46" s="67"/>
      <c r="IV46" s="67"/>
      <c r="IW46" s="67"/>
    </row>
    <row r="47" customFormat="false" ht="11.25" hidden="false" customHeight="false" outlineLevel="0" collapsed="false">
      <c r="A47" s="43" t="s">
        <v>635</v>
      </c>
      <c r="F47" s="35" t="n">
        <f aca="false">E195+E196+E199+E202</f>
        <v>0</v>
      </c>
      <c r="G47" s="35" t="n">
        <f aca="false">F195+F196+F199+F202</f>
        <v>0</v>
      </c>
      <c r="H47" s="149" t="n">
        <f aca="false">G195+G196+G199+G202</f>
        <v>0</v>
      </c>
      <c r="I47" s="396" t="e">
        <f aca="false">I195+I196+I199+I202</f>
        <v>#N/A</v>
      </c>
      <c r="J47" s="35" t="e">
        <f aca="false">J195+J196+J199+J202</f>
        <v>#N/A</v>
      </c>
      <c r="K47" s="35" t="e">
        <f aca="false">K195+K196+K199+K202</f>
        <v>#N/A</v>
      </c>
      <c r="L47" s="35" t="e">
        <f aca="false">L195+L196+L199+L202</f>
        <v>#N/A</v>
      </c>
      <c r="M47" s="35" t="e">
        <f aca="false">M195+M196+M199+M202</f>
        <v>#N/A</v>
      </c>
      <c r="N47" s="35" t="e">
        <f aca="false">N195+N196+N199+N202</f>
        <v>#N/A</v>
      </c>
      <c r="O47" s="35" t="e">
        <f aca="false">O195+O196+O199+O202</f>
        <v>#N/A</v>
      </c>
      <c r="P47" s="35" t="e">
        <f aca="false">P195+P196+P199+P202</f>
        <v>#N/A</v>
      </c>
      <c r="Q47" s="35" t="e">
        <f aca="false">Q195+Q196+Q199+Q202</f>
        <v>#N/A</v>
      </c>
      <c r="R47" s="35" t="e">
        <f aca="false">R195+R196+R199+R202</f>
        <v>#N/A</v>
      </c>
      <c r="S47" s="35" t="e">
        <f aca="false">S195+S196+S199+S202</f>
        <v>#N/A</v>
      </c>
      <c r="T47" s="35" t="e">
        <f aca="false">T195+T196+T199+T202</f>
        <v>#N/A</v>
      </c>
      <c r="U47" s="35" t="e">
        <f aca="false">U195+U196+U199+U202</f>
        <v>#N/A</v>
      </c>
      <c r="V47" s="35" t="e">
        <f aca="false">V195+V196+V199+V202</f>
        <v>#N/A</v>
      </c>
      <c r="W47" s="35" t="e">
        <f aca="false">W195+W196+W199+W202</f>
        <v>#N/A</v>
      </c>
      <c r="X47" s="35" t="e">
        <f aca="false">X195+X196+X199+X202</f>
        <v>#N/A</v>
      </c>
      <c r="Y47" s="35" t="e">
        <f aca="false">Y195+Y196+Y199+Y202</f>
        <v>#N/A</v>
      </c>
      <c r="Z47" s="35" t="e">
        <f aca="false">Z195+Z196+Z199+Z202</f>
        <v>#N/A</v>
      </c>
      <c r="AA47" s="35" t="e">
        <f aca="false">AA195+AA196+AA199+AA202</f>
        <v>#N/A</v>
      </c>
      <c r="AB47" s="35" t="e">
        <f aca="false">AB195+AB196+AB199+AB202</f>
        <v>#N/A</v>
      </c>
      <c r="AC47" s="35" t="e">
        <f aca="false">AC195+AC196+AC199+AC202</f>
        <v>#N/A</v>
      </c>
      <c r="AD47" s="67"/>
      <c r="AE47" s="67"/>
      <c r="AF47" s="67"/>
      <c r="AG47" s="67"/>
    </row>
    <row r="48" customFormat="false" ht="11.25" hidden="false" customHeight="false" outlineLevel="0" collapsed="false">
      <c r="A48" s="43" t="s">
        <v>636</v>
      </c>
      <c r="F48" s="35" t="n">
        <f aca="false">E200</f>
        <v>0</v>
      </c>
      <c r="G48" s="35" t="n">
        <f aca="false">F200</f>
        <v>0</v>
      </c>
      <c r="H48" s="149" t="n">
        <f aca="false">G200</f>
        <v>0</v>
      </c>
      <c r="I48" s="396" t="e">
        <f aca="false">I200</f>
        <v>#VALUE!</v>
      </c>
      <c r="J48" s="35" t="e">
        <f aca="false">J200</f>
        <v>#VALUE!</v>
      </c>
      <c r="K48" s="35" t="e">
        <f aca="false">K200</f>
        <v>#VALUE!</v>
      </c>
      <c r="L48" s="35" t="e">
        <f aca="false">L200</f>
        <v>#VALUE!</v>
      </c>
      <c r="M48" s="35" t="e">
        <f aca="false">M200</f>
        <v>#VALUE!</v>
      </c>
      <c r="N48" s="35" t="e">
        <f aca="false">N200</f>
        <v>#VALUE!</v>
      </c>
      <c r="O48" s="35" t="e">
        <f aca="false">O200</f>
        <v>#VALUE!</v>
      </c>
      <c r="P48" s="35" t="e">
        <f aca="false">P200</f>
        <v>#VALUE!</v>
      </c>
      <c r="Q48" s="35" t="e">
        <f aca="false">Q200</f>
        <v>#VALUE!</v>
      </c>
      <c r="R48" s="35" t="e">
        <f aca="false">R200</f>
        <v>#VALUE!</v>
      </c>
      <c r="S48" s="35" t="e">
        <f aca="false">S200</f>
        <v>#VALUE!</v>
      </c>
      <c r="T48" s="35" t="e">
        <f aca="false">T200</f>
        <v>#VALUE!</v>
      </c>
      <c r="U48" s="35" t="e">
        <f aca="false">U200</f>
        <v>#VALUE!</v>
      </c>
      <c r="V48" s="35" t="e">
        <f aca="false">V200</f>
        <v>#VALUE!</v>
      </c>
      <c r="W48" s="35" t="e">
        <f aca="false">W200</f>
        <v>#VALUE!</v>
      </c>
      <c r="X48" s="35" t="e">
        <f aca="false">X200</f>
        <v>#VALUE!</v>
      </c>
      <c r="Y48" s="35" t="e">
        <f aca="false">Y200</f>
        <v>#VALUE!</v>
      </c>
      <c r="Z48" s="35" t="e">
        <f aca="false">Z200</f>
        <v>#VALUE!</v>
      </c>
      <c r="AA48" s="35" t="e">
        <f aca="false">AA200</f>
        <v>#VALUE!</v>
      </c>
      <c r="AB48" s="35" t="e">
        <f aca="false">AB200</f>
        <v>#VALUE!</v>
      </c>
      <c r="AC48" s="35" t="e">
        <f aca="false">AC200</f>
        <v>#VALUE!</v>
      </c>
      <c r="AD48" s="67"/>
      <c r="AE48" s="67"/>
      <c r="AF48" s="67"/>
      <c r="AG48" s="67"/>
    </row>
    <row r="49" customFormat="false" ht="11.25" hidden="false" customHeight="false" outlineLevel="0" collapsed="false">
      <c r="A49" s="43" t="s">
        <v>637</v>
      </c>
      <c r="F49" s="35" t="n">
        <f aca="false">E208</f>
        <v>0</v>
      </c>
      <c r="G49" s="35" t="n">
        <f aca="false">F208</f>
        <v>0</v>
      </c>
      <c r="H49" s="149" t="n">
        <f aca="false">G208</f>
        <v>0</v>
      </c>
      <c r="I49" s="396" t="n">
        <f aca="false">I208</f>
        <v>0</v>
      </c>
      <c r="J49" s="35" t="n">
        <f aca="false">J208</f>
        <v>0</v>
      </c>
      <c r="K49" s="35" t="n">
        <f aca="false">K208</f>
        <v>0</v>
      </c>
      <c r="L49" s="35" t="n">
        <f aca="false">L208</f>
        <v>0</v>
      </c>
      <c r="M49" s="35" t="n">
        <f aca="false">M208</f>
        <v>0</v>
      </c>
      <c r="N49" s="35" t="n">
        <f aca="false">N208</f>
        <v>0</v>
      </c>
      <c r="O49" s="35" t="n">
        <f aca="false">O208</f>
        <v>0</v>
      </c>
      <c r="P49" s="35" t="n">
        <f aca="false">P208</f>
        <v>0</v>
      </c>
      <c r="Q49" s="35" t="n">
        <f aca="false">Q208</f>
        <v>0</v>
      </c>
      <c r="R49" s="35" t="n">
        <f aca="false">R208</f>
        <v>0</v>
      </c>
      <c r="S49" s="35" t="n">
        <f aca="false">S208</f>
        <v>0</v>
      </c>
      <c r="T49" s="35" t="n">
        <f aca="false">T208</f>
        <v>0</v>
      </c>
      <c r="U49" s="35" t="n">
        <f aca="false">U208</f>
        <v>0</v>
      </c>
      <c r="V49" s="35" t="n">
        <f aca="false">V208</f>
        <v>0</v>
      </c>
      <c r="W49" s="35" t="n">
        <f aca="false">W208</f>
        <v>0</v>
      </c>
      <c r="X49" s="35" t="n">
        <f aca="false">X208</f>
        <v>0</v>
      </c>
      <c r="Y49" s="35" t="n">
        <f aca="false">Y208</f>
        <v>0</v>
      </c>
      <c r="Z49" s="35" t="n">
        <f aca="false">Z208</f>
        <v>0</v>
      </c>
      <c r="AA49" s="35" t="n">
        <f aca="false">AA208</f>
        <v>0</v>
      </c>
      <c r="AB49" s="35" t="n">
        <f aca="false">AB208</f>
        <v>0</v>
      </c>
      <c r="AC49" s="35" t="n">
        <f aca="false">AC208</f>
        <v>0</v>
      </c>
      <c r="AD49" s="67"/>
      <c r="AE49" s="67"/>
      <c r="AF49" s="67"/>
      <c r="AG49" s="67"/>
    </row>
    <row r="50" customFormat="false" ht="11.25" hidden="false" customHeight="false" outlineLevel="0" collapsed="false">
      <c r="A50" s="43" t="s">
        <v>607</v>
      </c>
      <c r="F50" s="35" t="n">
        <f aca="false">SUM(E209:E215)</f>
        <v>0</v>
      </c>
      <c r="G50" s="35" t="n">
        <f aca="false">SUM(F209:F215)</f>
        <v>0</v>
      </c>
      <c r="H50" s="149" t="n">
        <f aca="false">SUM(G209:G215)</f>
        <v>0</v>
      </c>
      <c r="I50" s="396" t="e">
        <f aca="false">SUM(I209:I215)</f>
        <v>#VALUE!</v>
      </c>
      <c r="J50" s="35" t="e">
        <f aca="false">SUM(J209:J215)</f>
        <v>#VALUE!</v>
      </c>
      <c r="K50" s="35" t="e">
        <f aca="false">SUM(K209:K215)</f>
        <v>#VALUE!</v>
      </c>
      <c r="L50" s="35" t="e">
        <f aca="false">SUM(L209:L215)</f>
        <v>#VALUE!</v>
      </c>
      <c r="M50" s="35" t="e">
        <f aca="false">SUM(M209:M215)</f>
        <v>#VALUE!</v>
      </c>
      <c r="N50" s="35" t="e">
        <f aca="false">SUM(N209:N215)</f>
        <v>#VALUE!</v>
      </c>
      <c r="O50" s="35" t="e">
        <f aca="false">SUM(O209:O215)</f>
        <v>#VALUE!</v>
      </c>
      <c r="P50" s="35" t="e">
        <f aca="false">SUM(P209:P215)</f>
        <v>#VALUE!</v>
      </c>
      <c r="Q50" s="35" t="e">
        <f aca="false">SUM(Q209:Q215)</f>
        <v>#VALUE!</v>
      </c>
      <c r="R50" s="35" t="e">
        <f aca="false">SUM(R209:R215)</f>
        <v>#VALUE!</v>
      </c>
      <c r="S50" s="35" t="e">
        <f aca="false">SUM(S209:S215)</f>
        <v>#VALUE!</v>
      </c>
      <c r="T50" s="35" t="e">
        <f aca="false">SUM(T209:T215)</f>
        <v>#VALUE!</v>
      </c>
      <c r="U50" s="35" t="e">
        <f aca="false">SUM(U209:U215)</f>
        <v>#VALUE!</v>
      </c>
      <c r="V50" s="35" t="e">
        <f aca="false">SUM(V209:V215)</f>
        <v>#VALUE!</v>
      </c>
      <c r="W50" s="35" t="e">
        <f aca="false">SUM(W209:W215)</f>
        <v>#VALUE!</v>
      </c>
      <c r="X50" s="35" t="e">
        <f aca="false">SUM(X209:X215)</f>
        <v>#VALUE!</v>
      </c>
      <c r="Y50" s="35" t="e">
        <f aca="false">SUM(Y209:Y215)</f>
        <v>#VALUE!</v>
      </c>
      <c r="Z50" s="35" t="e">
        <f aca="false">SUM(Z209:Z215)</f>
        <v>#VALUE!</v>
      </c>
      <c r="AA50" s="35" t="e">
        <f aca="false">SUM(AA209:AA215)</f>
        <v>#VALUE!</v>
      </c>
      <c r="AB50" s="35" t="e">
        <f aca="false">SUM(AB209:AB215)</f>
        <v>#VALUE!</v>
      </c>
      <c r="AC50" s="35" t="e">
        <f aca="false">SUM(AC209:AC215)</f>
        <v>#VALUE!</v>
      </c>
      <c r="AD50" s="67"/>
      <c r="AE50" s="67"/>
      <c r="AF50" s="67"/>
      <c r="AG50" s="67"/>
    </row>
    <row r="51" customFormat="false" ht="3.75" hidden="false" customHeight="true" outlineLevel="0" collapsed="false">
      <c r="H51" s="149"/>
      <c r="I51" s="396"/>
      <c r="J51" s="149"/>
      <c r="K51" s="149"/>
      <c r="L51" s="149"/>
      <c r="M51" s="149"/>
      <c r="N51" s="149"/>
      <c r="O51" s="149"/>
      <c r="P51" s="149"/>
      <c r="Q51" s="149"/>
      <c r="R51" s="149"/>
      <c r="S51" s="149"/>
      <c r="T51" s="149"/>
      <c r="U51" s="149"/>
      <c r="V51" s="149"/>
      <c r="W51" s="149"/>
      <c r="X51" s="149"/>
      <c r="Y51" s="149"/>
      <c r="Z51" s="149"/>
      <c r="AA51" s="149"/>
      <c r="AB51" s="149"/>
      <c r="AC51" s="149"/>
      <c r="AD51" s="67"/>
      <c r="AE51" s="67"/>
      <c r="AF51" s="67"/>
      <c r="AG51" s="67"/>
    </row>
    <row r="52" customFormat="false" ht="11.25" hidden="false" customHeight="false" outlineLevel="0" collapsed="false">
      <c r="A52" s="307" t="s">
        <v>638</v>
      </c>
      <c r="H52" s="149"/>
      <c r="I52" s="396"/>
      <c r="J52" s="149"/>
      <c r="K52" s="149"/>
      <c r="L52" s="149"/>
      <c r="M52" s="149"/>
      <c r="N52" s="149"/>
      <c r="O52" s="149"/>
      <c r="P52" s="149"/>
      <c r="Q52" s="149"/>
      <c r="R52" s="149"/>
      <c r="S52" s="149"/>
      <c r="T52" s="149"/>
      <c r="U52" s="149"/>
      <c r="V52" s="149"/>
      <c r="W52" s="149"/>
      <c r="X52" s="149"/>
      <c r="Y52" s="149"/>
      <c r="Z52" s="149"/>
      <c r="AA52" s="149"/>
      <c r="AB52" s="149"/>
      <c r="AC52" s="149"/>
      <c r="AD52" s="67"/>
      <c r="AE52" s="67"/>
      <c r="AF52" s="67"/>
      <c r="AG52" s="67"/>
    </row>
    <row r="53" customFormat="false" ht="11.25" hidden="false" customHeight="false" outlineLevel="0" collapsed="false">
      <c r="A53" s="43" t="s">
        <v>639</v>
      </c>
      <c r="F53" s="405" t="str">
        <f aca="false">IF(ISERR(F27/(F40+F32+F42+E109)),"NA",F27/(F40+F32+F42+E109))</f>
        <v>NA</v>
      </c>
      <c r="G53" s="405" t="str">
        <f aca="false">IF(ISERR(G27/(G40+G32+G42+F109)),"NA",G27/(G40+G32+G42+F109))</f>
        <v>NA</v>
      </c>
      <c r="H53" s="406" t="str">
        <f aca="false">IF(ISERR(H27/(H40+H32+H42+G109)),"NA",H27/(H40+H32+H42+G109))</f>
        <v>NA</v>
      </c>
      <c r="I53" s="407" t="str">
        <f aca="false">IF(ISERR(I29/(I40+I32+I42+(H109+I109-I533))),"NA",I29/(I40+I32+I42+(H109+I109-I533)))</f>
        <v>NA</v>
      </c>
      <c r="J53" s="406" t="str">
        <f aca="false">IF(ISERR(J29/(J40+J32+J42+(J109-J533))),"NA",J29/(J40+J32+J42+(J109-J533)))</f>
        <v>NA</v>
      </c>
      <c r="K53" s="406" t="str">
        <f aca="false">IF(ISERR(K29/(K40+K32+K42+(K109-K533))),"NA",K29/(K40+K32+K42+(K109-K533)))</f>
        <v>NA</v>
      </c>
      <c r="L53" s="406" t="str">
        <f aca="false">IF(ISERR(L29/(L40+L32+L42+(L109-L533))),"NA",L29/(L40+L32+L42+(L109-L533)))</f>
        <v>NA</v>
      </c>
      <c r="M53" s="406" t="str">
        <f aca="false">IF(ISERR(M29/(M40+M32+M42+(M109-M533))),"NA",M29/(M40+M32+M42+(M109-M533)))</f>
        <v>NA</v>
      </c>
      <c r="N53" s="406" t="str">
        <f aca="false">IF(ISERR(N29/(N40+N32+N42+(N109-N533))),"NA",N29/(N40+N32+N42+(N109-N533)))</f>
        <v>NA</v>
      </c>
      <c r="O53" s="406" t="str">
        <f aca="false">IF(ISERR(O29/(O40+O32+O42+(O109-O533))),"NA",O29/(O40+O32+O42+(O109-O533)))</f>
        <v>NA</v>
      </c>
      <c r="P53" s="406" t="str">
        <f aca="false">IF(ISERR(P29/(P40+P32+P42+(P109-P533))),"NA",P29/(P40+P32+P42+(P109-P533)))</f>
        <v>NA</v>
      </c>
      <c r="Q53" s="406" t="str">
        <f aca="false">IF(ISERR(Q29/(Q40+Q32+Q42+(Q109-Q533))),"NA",Q29/(Q40+Q32+Q42+(Q109-Q533)))</f>
        <v>NA</v>
      </c>
      <c r="R53" s="406" t="str">
        <f aca="false">IF(ISERR(R29/(R40+R32+R42+(R109-R533))),"NA",R29/(R40+R32+R42+(R109-R533)))</f>
        <v>NA</v>
      </c>
      <c r="S53" s="406" t="str">
        <f aca="false">IF(ISERR(S29/(S40+S32+S42+(S109-S533))),"NA",S29/(S40+S32+S42+(S109-S533)))</f>
        <v>NA</v>
      </c>
      <c r="T53" s="406" t="str">
        <f aca="false">IF(ISERR(T29/(T40+T32+T42+(T109-T533))),"NA",T29/(T40+T32+T42+(T109-T533)))</f>
        <v>NA</v>
      </c>
      <c r="U53" s="406" t="str">
        <f aca="false">IF(ISERR(U29/(U40+U32+U42+(U109-U533))),"NA",U29/(U40+U32+U42+(U109-U533)))</f>
        <v>NA</v>
      </c>
      <c r="V53" s="406" t="str">
        <f aca="false">IF(ISERR(V29/(V40+V32+V42+(V109-V533))),"NA",V29/(V40+V32+V42+(V109-V533)))</f>
        <v>NA</v>
      </c>
      <c r="W53" s="406" t="str">
        <f aca="false">IF(ISERR(W29/(W40+W32+W42+(W109-W533))),"NA",W29/(W40+W32+W42+(W109-W533)))</f>
        <v>NA</v>
      </c>
      <c r="X53" s="406" t="str">
        <f aca="false">IF(ISERR(X29/(X40+X32+X42+(X109-X533))),"NA",X29/(X40+X32+X42+(X109-X533)))</f>
        <v>NA</v>
      </c>
      <c r="Y53" s="406" t="str">
        <f aca="false">IF(ISERR(Y29/(Y40+Y32+Y42+(Y109-Y533))),"NA",Y29/(Y40+Y32+Y42+(Y109-Y533)))</f>
        <v>NA</v>
      </c>
      <c r="Z53" s="406" t="str">
        <f aca="false">IF(ISERR(Z29/(Z40+Z32+Z42+(Z109-Z533))),"NA",Z29/(Z40+Z32+Z42+(Z109-Z533)))</f>
        <v>NA</v>
      </c>
      <c r="AA53" s="406" t="str">
        <f aca="false">IF(ISERR(AA29/(AA40+AA32+AA42+(AA109-AA533))),"NA",AA29/(AA40+AA32+AA42+(AA109-AA533)))</f>
        <v>NA</v>
      </c>
      <c r="AB53" s="406" t="str">
        <f aca="false">IF(ISERR(AB29/(AB40+AB32+AB42+(AB109-AB533))),"NA",AB29/(AB40+AB32+AB42+(AB109-AB533)))</f>
        <v>NA</v>
      </c>
      <c r="AC53" s="406" t="str">
        <f aca="false">IF(ISERR(AC29/(AC40+AC32+AC42+(AC109-AC533))),"NA",AC29/(AC40+AC32+AC42+(AC109-AC533)))</f>
        <v>NA</v>
      </c>
      <c r="AD53" s="67"/>
      <c r="AE53" s="67"/>
      <c r="AF53" s="67"/>
      <c r="AG53" s="67"/>
    </row>
    <row r="54" customFormat="false" ht="11.25" hidden="false" customHeight="false" outlineLevel="0" collapsed="false">
      <c r="A54" s="43" t="s">
        <v>640</v>
      </c>
      <c r="F54" s="405" t="str">
        <f aca="false">IF(F40&lt;1,"NA",F30/F40)</f>
        <v>NA</v>
      </c>
      <c r="G54" s="405" t="str">
        <f aca="false">IF(G40&lt;1,"NA",G30/G40)</f>
        <v>NA</v>
      </c>
      <c r="H54" s="406" t="str">
        <f aca="false">IF(H40&lt;1,"NA",H30/H40)</f>
        <v>NA</v>
      </c>
      <c r="I54" s="407" t="e">
        <f aca="false">IF(I40&lt;1,"NA",I31/I40)</f>
        <v>#VALUE!</v>
      </c>
      <c r="J54" s="405" t="e">
        <f aca="false">IF(J40&lt;1,"NA",J31/J40)</f>
        <v>#N/A</v>
      </c>
      <c r="K54" s="405" t="e">
        <f aca="false">IF(K40&lt;1,"NA",K31/K40)</f>
        <v>#N/A</v>
      </c>
      <c r="L54" s="405" t="e">
        <f aca="false">IF(L40&lt;1,"NA",L31/L40)</f>
        <v>#N/A</v>
      </c>
      <c r="M54" s="405" t="e">
        <f aca="false">IF(M40&lt;1,"NA",M31/M40)</f>
        <v>#N/A</v>
      </c>
      <c r="N54" s="405" t="e">
        <f aca="false">IF(N40&lt;1,"NA",N31/N40)</f>
        <v>#N/A</v>
      </c>
      <c r="O54" s="405" t="e">
        <f aca="false">IF(O40&lt;1,"NA",O31/O40)</f>
        <v>#N/A</v>
      </c>
      <c r="P54" s="405" t="e">
        <f aca="false">IF(P40&lt;1,"NA",P31/P40)</f>
        <v>#N/A</v>
      </c>
      <c r="Q54" s="405" t="e">
        <f aca="false">IF(Q40&lt;1,"NA",Q31/Q40)</f>
        <v>#N/A</v>
      </c>
      <c r="R54" s="405" t="e">
        <f aca="false">IF(R40&lt;1,"NA",R31/R40)</f>
        <v>#N/A</v>
      </c>
      <c r="S54" s="405" t="e">
        <f aca="false">IF(S40&lt;1,"NA",S31/S40)</f>
        <v>#N/A</v>
      </c>
      <c r="T54" s="405" t="e">
        <f aca="false">IF(T40&lt;1,"NA",T31/T40)</f>
        <v>#N/A</v>
      </c>
      <c r="U54" s="405" t="e">
        <f aca="false">IF(U40&lt;1,"NA",U31/U40)</f>
        <v>#N/A</v>
      </c>
      <c r="V54" s="405" t="e">
        <f aca="false">IF(V40&lt;1,"NA",V31/V40)</f>
        <v>#N/A</v>
      </c>
      <c r="W54" s="405" t="e">
        <f aca="false">IF(W40&lt;1,"NA",W31/W40)</f>
        <v>#N/A</v>
      </c>
      <c r="X54" s="405" t="e">
        <f aca="false">IF(X40&lt;1,"NA",X31/X40)</f>
        <v>#N/A</v>
      </c>
      <c r="Y54" s="405" t="e">
        <f aca="false">IF(Y40&lt;1,"NA",Y31/Y40)</f>
        <v>#N/A</v>
      </c>
      <c r="Z54" s="405" t="e">
        <f aca="false">IF(Z40&lt;1,"NA",Z31/Z40)</f>
        <v>#N/A</v>
      </c>
      <c r="AA54" s="405" t="e">
        <f aca="false">IF(AA40&lt;1,"NA",AA31/AA40)</f>
        <v>#N/A</v>
      </c>
      <c r="AB54" s="405" t="e">
        <f aca="false">IF(AB40&lt;1,"NA",AB31/AB40)</f>
        <v>#N/A</v>
      </c>
      <c r="AC54" s="405" t="e">
        <f aca="false">IF(AC40&lt;1,"NA",AC31/AC40)</f>
        <v>#N/A</v>
      </c>
      <c r="AD54" s="67"/>
      <c r="AE54" s="67"/>
      <c r="AF54" s="67"/>
      <c r="AG54" s="67"/>
    </row>
    <row r="55" customFormat="false" ht="11.25" hidden="false" customHeight="false" outlineLevel="0" collapsed="false">
      <c r="A55" s="43" t="s">
        <v>641</v>
      </c>
      <c r="F55" s="405" t="str">
        <f aca="false">IF(F40&lt;1,"NA",(F27-F32)/F40)</f>
        <v>NA</v>
      </c>
      <c r="G55" s="405" t="str">
        <f aca="false">IF(G40&lt;1,"NA",(G27-G32)/G40)</f>
        <v>NA</v>
      </c>
      <c r="H55" s="406" t="str">
        <f aca="false">IF(H40&lt;1,"NA",(H27-H32)/H40)</f>
        <v>NA</v>
      </c>
      <c r="I55" s="407" t="e">
        <f aca="false">IF(I40&lt;1,"NA",(I27-I32)/I40)</f>
        <v>#VALUE!</v>
      </c>
      <c r="J55" s="405" t="e">
        <f aca="false">IF(J40&lt;1,"NA",(J27-J32)/J40)</f>
        <v>#N/A</v>
      </c>
      <c r="K55" s="405" t="e">
        <f aca="false">IF(K40&lt;1,"NA",(K27-K32)/K40)</f>
        <v>#N/A</v>
      </c>
      <c r="L55" s="405" t="e">
        <f aca="false">IF(L40&lt;1,"NA",(L27-L32)/L40)</f>
        <v>#N/A</v>
      </c>
      <c r="M55" s="405" t="e">
        <f aca="false">IF(M40&lt;1,"NA",(M27-M32)/M40)</f>
        <v>#N/A</v>
      </c>
      <c r="N55" s="405" t="e">
        <f aca="false">IF(N40&lt;1,"NA",(N27-N32)/N40)</f>
        <v>#N/A</v>
      </c>
      <c r="O55" s="405" t="e">
        <f aca="false">IF(O40&lt;1,"NA",(O27-O32)/O40)</f>
        <v>#N/A</v>
      </c>
      <c r="P55" s="405" t="e">
        <f aca="false">IF(P40&lt;1,"NA",(P27-P32)/P40)</f>
        <v>#N/A</v>
      </c>
      <c r="Q55" s="405" t="e">
        <f aca="false">IF(Q40&lt;1,"NA",(Q27-Q32)/Q40)</f>
        <v>#N/A</v>
      </c>
      <c r="R55" s="405" t="e">
        <f aca="false">IF(R40&lt;1,"NA",(R27-R32)/R40)</f>
        <v>#N/A</v>
      </c>
      <c r="S55" s="405" t="e">
        <f aca="false">IF(S40&lt;1,"NA",(S27-S32)/S40)</f>
        <v>#N/A</v>
      </c>
      <c r="T55" s="405" t="e">
        <f aca="false">IF(T40&lt;1,"NA",(T27-T32)/T40)</f>
        <v>#N/A</v>
      </c>
      <c r="U55" s="405" t="e">
        <f aca="false">IF(U40&lt;1,"NA",(U27-U32)/U40)</f>
        <v>#N/A</v>
      </c>
      <c r="V55" s="405" t="e">
        <f aca="false">IF(V40&lt;1,"NA",(V27-V32)/V40)</f>
        <v>#N/A</v>
      </c>
      <c r="W55" s="405" t="e">
        <f aca="false">IF(W40&lt;1,"NA",(W27-W32)/W40)</f>
        <v>#N/A</v>
      </c>
      <c r="X55" s="405" t="e">
        <f aca="false">IF(X40&lt;1,"NA",(X27-X32)/X40)</f>
        <v>#N/A</v>
      </c>
      <c r="Y55" s="405" t="e">
        <f aca="false">IF(Y40&lt;1,"NA",(Y27-Y32)/Y40)</f>
        <v>#N/A</v>
      </c>
      <c r="Z55" s="405" t="e">
        <f aca="false">IF(Z40&lt;1,"NA",(Z27-Z32)/Z40)</f>
        <v>#N/A</v>
      </c>
      <c r="AA55" s="405" t="e">
        <f aca="false">IF(AA40&lt;1,"NA",(AA27-AA32)/AA40)</f>
        <v>#N/A</v>
      </c>
      <c r="AB55" s="405" t="e">
        <f aca="false">IF(AB40&lt;1,"NA",(AB27-AB32)/AB40)</f>
        <v>#N/A</v>
      </c>
      <c r="AC55" s="405" t="e">
        <f aca="false">IF(AC40&lt;1,"NA",(AC27-AC32)/AC40)</f>
        <v>#N/A</v>
      </c>
      <c r="AD55" s="67"/>
      <c r="AE55" s="67"/>
      <c r="AF55" s="67"/>
      <c r="AG55" s="67"/>
    </row>
    <row r="56" customFormat="false" ht="11.25" hidden="false" customHeight="false" outlineLevel="0" collapsed="false">
      <c r="A56" s="43" t="s">
        <v>642</v>
      </c>
      <c r="F56" s="397" t="str">
        <f aca="false">IF(F48+F49+F50=0,"NA",F47/(F48+F49+F50))</f>
        <v>NA</v>
      </c>
      <c r="G56" s="397" t="str">
        <f aca="false">IF(G48+G49+G50=0,"NA",G47/(G48+G49+G50))</f>
        <v>NA</v>
      </c>
      <c r="H56" s="398" t="str">
        <f aca="false">IF(H48+H49+H50=0,"NA",H47/(H48+H49+H50))</f>
        <v>NA</v>
      </c>
      <c r="I56" s="408" t="e">
        <f aca="false">IF(I48+I49+I50=0,"NA",I47/(I48+I49+I50))</f>
        <v>#VALUE!</v>
      </c>
      <c r="J56" s="409" t="e">
        <f aca="false">IF(J48+J49+J50=0,"NA",J47/(J48+J49+J50))</f>
        <v>#VALUE!</v>
      </c>
      <c r="K56" s="409" t="e">
        <f aca="false">IF(K48+K49+K50=0,"NA",K47/(K48+K49+K50))</f>
        <v>#VALUE!</v>
      </c>
      <c r="L56" s="409" t="e">
        <f aca="false">IF(L48+L49+L50=0,"NA",L47/(L48+L49+L50))</f>
        <v>#VALUE!</v>
      </c>
      <c r="M56" s="409" t="e">
        <f aca="false">IF(M48+M49+M50=0,"NA",M47/(M48+M49+M50))</f>
        <v>#VALUE!</v>
      </c>
      <c r="N56" s="409" t="e">
        <f aca="false">IF(N48+N49+N50=0,"NA",N47/(N48+N49+N50))</f>
        <v>#VALUE!</v>
      </c>
      <c r="O56" s="409" t="e">
        <f aca="false">IF(O48+O49+O50=0,"NA",O47/(O48+O49+O50))</f>
        <v>#VALUE!</v>
      </c>
      <c r="P56" s="409" t="e">
        <f aca="false">IF(P48+P49+P50=0,"NA",P47/(P48+P49+P50))</f>
        <v>#VALUE!</v>
      </c>
      <c r="Q56" s="409" t="e">
        <f aca="false">IF(Q48+Q49+Q50=0,"NA",Q47/(Q48+Q49+Q50))</f>
        <v>#VALUE!</v>
      </c>
      <c r="R56" s="409" t="e">
        <f aca="false">IF(R48+R49+R50=0,"NA",R47/(R48+R49+R50))</f>
        <v>#VALUE!</v>
      </c>
      <c r="S56" s="409" t="e">
        <f aca="false">IF(S48+S49+S50=0,"NA",S47/(S48+S49+S50))</f>
        <v>#VALUE!</v>
      </c>
      <c r="T56" s="409" t="e">
        <f aca="false">IF(T48+T49+T50=0,"NA",T47/(T48+T49+T50))</f>
        <v>#VALUE!</v>
      </c>
      <c r="U56" s="409" t="e">
        <f aca="false">IF(U48+U49+U50=0,"NA",U47/(U48+U49+U50))</f>
        <v>#VALUE!</v>
      </c>
      <c r="V56" s="409" t="e">
        <f aca="false">IF(V48+V49+V50=0,"NA",V47/(V48+V49+V50))</f>
        <v>#VALUE!</v>
      </c>
      <c r="W56" s="409" t="e">
        <f aca="false">IF(W48+W49+W50=0,"NA",W47/(W48+W49+W50))</f>
        <v>#VALUE!</v>
      </c>
      <c r="X56" s="409" t="e">
        <f aca="false">IF(X48+X49+X50=0,"NA",X47/(X48+X49+X50))</f>
        <v>#VALUE!</v>
      </c>
      <c r="Y56" s="409" t="e">
        <f aca="false">IF(Y48+Y49+Y50=0,"NA",Y47/(Y48+Y49+Y50))</f>
        <v>#VALUE!</v>
      </c>
      <c r="Z56" s="409" t="e">
        <f aca="false">IF(Z48+Z49+Z50=0,"NA",Z47/(Z48+Z49+Z50))</f>
        <v>#VALUE!</v>
      </c>
      <c r="AA56" s="409" t="e">
        <f aca="false">IF(AA48+AA49+AA50=0,"NA",AA47/(AA48+AA49+AA50))</f>
        <v>#VALUE!</v>
      </c>
      <c r="AB56" s="409" t="e">
        <f aca="false">IF(AB48+AB49+AB50=0,"NA",AB47/(AB48+AB49+AB50))</f>
        <v>#VALUE!</v>
      </c>
      <c r="AC56" s="409" t="e">
        <f aca="false">IF(AC48+AC49+AC50=0,"NA",AC47/(AC48+AC49+AC50))</f>
        <v>#VALUE!</v>
      </c>
      <c r="AD56" s="67"/>
      <c r="AE56" s="67"/>
      <c r="AF56" s="67"/>
      <c r="AG56" s="67"/>
    </row>
    <row r="57" customFormat="false" ht="11.25" hidden="false" customHeight="false" outlineLevel="0" collapsed="false">
      <c r="A57" s="43" t="s">
        <v>643</v>
      </c>
      <c r="E57" s="65"/>
      <c r="F57" s="397" t="str">
        <f aca="false">IF(F50+F49=0,"NA",(F48+F47)/(F49+F50))</f>
        <v>NA</v>
      </c>
      <c r="G57" s="397" t="str">
        <f aca="false">IF(G50+G49=0,"NA",(G48+G47)/(G49+G50))</f>
        <v>NA</v>
      </c>
      <c r="H57" s="398" t="str">
        <f aca="false">IF(H50+H49=0,"NA",(H48+H47)/(H49+H50))</f>
        <v>NA</v>
      </c>
      <c r="I57" s="408" t="e">
        <f aca="false">IF(I50+I49=0,"NA",(I48+I47)/(I49+I50))</f>
        <v>#VALUE!</v>
      </c>
      <c r="J57" s="409" t="e">
        <f aca="false">IF(J50+J49=0,"NA",(J48+J47)/(J49+J50))</f>
        <v>#VALUE!</v>
      </c>
      <c r="K57" s="409" t="e">
        <f aca="false">IF(K50+K49=0,"NA",(K48+K47)/(K49+K50))</f>
        <v>#VALUE!</v>
      </c>
      <c r="L57" s="409" t="e">
        <f aca="false">IF(L50+L49=0,"NA",(L48+L47)/(L49+L50))</f>
        <v>#VALUE!</v>
      </c>
      <c r="M57" s="409" t="e">
        <f aca="false">IF(M50+M49=0,"NA",(M48+M47)/(M49+M50))</f>
        <v>#VALUE!</v>
      </c>
      <c r="N57" s="409" t="e">
        <f aca="false">IF(N50+N49=0,"NA",(N48+N47)/(N49+N50))</f>
        <v>#VALUE!</v>
      </c>
      <c r="O57" s="409" t="e">
        <f aca="false">IF(O50+O49=0,"NA",(O48+O47)/(O49+O50))</f>
        <v>#VALUE!</v>
      </c>
      <c r="P57" s="409" t="e">
        <f aca="false">IF(P50+P49=0,"NA",(P48+P47)/(P49+P50))</f>
        <v>#VALUE!</v>
      </c>
      <c r="Q57" s="409" t="e">
        <f aca="false">IF(Q50+Q49=0,"NA",(Q48+Q47)/(Q49+Q50))</f>
        <v>#VALUE!</v>
      </c>
      <c r="R57" s="409" t="e">
        <f aca="false">IF(R50+R49=0,"NA",(R48+R47)/(R49+R50))</f>
        <v>#VALUE!</v>
      </c>
      <c r="S57" s="409" t="e">
        <f aca="false">IF(S50+S49=0,"NA",(S48+S47)/(S49+S50))</f>
        <v>#VALUE!</v>
      </c>
      <c r="T57" s="409" t="e">
        <f aca="false">IF(T50+T49=0,"NA",(T48+T47)/(T49+T50))</f>
        <v>#VALUE!</v>
      </c>
      <c r="U57" s="409" t="e">
        <f aca="false">IF(U50+U49=0,"NA",(U48+U47)/(U49+U50))</f>
        <v>#VALUE!</v>
      </c>
      <c r="V57" s="409" t="e">
        <f aca="false">IF(V50+V49=0,"NA",(V48+V47)/(V49+V50))</f>
        <v>#VALUE!</v>
      </c>
      <c r="W57" s="409" t="e">
        <f aca="false">IF(W50+W49=0,"NA",(W48+W47)/(W49+W50))</f>
        <v>#VALUE!</v>
      </c>
      <c r="X57" s="409" t="e">
        <f aca="false">IF(X50+X49=0,"NA",(X48+X47)/(X49+X50))</f>
        <v>#VALUE!</v>
      </c>
      <c r="Y57" s="409" t="e">
        <f aca="false">IF(Y50+Y49=0,"NA",(Y48+Y47)/(Y49+Y50))</f>
        <v>#VALUE!</v>
      </c>
      <c r="Z57" s="409" t="e">
        <f aca="false">IF(Z50+Z49=0,"NA",(Z48+Z47)/(Z49+Z50))</f>
        <v>#VALUE!</v>
      </c>
      <c r="AA57" s="409" t="e">
        <f aca="false">IF(AA50+AA49=0,"NA",(AA48+AA47)/(AA49+AA50))</f>
        <v>#VALUE!</v>
      </c>
      <c r="AB57" s="409" t="e">
        <f aca="false">IF(AB50+AB49=0,"NA",(AB48+AB47)/(AB49+AB50))</f>
        <v>#VALUE!</v>
      </c>
      <c r="AC57" s="409" t="e">
        <f aca="false">IF(AC50+AC49=0,"NA",(AC48+AC47)/(AC49+AC50))</f>
        <v>#VALUE!</v>
      </c>
      <c r="AD57" s="67"/>
      <c r="AE57" s="67"/>
      <c r="AF57" s="67"/>
      <c r="AG57" s="67"/>
    </row>
    <row r="58" customFormat="false" ht="11.25" hidden="false" customHeight="false" outlineLevel="0" collapsed="false">
      <c r="A58" s="43" t="s">
        <v>644</v>
      </c>
      <c r="B58" s="67"/>
      <c r="C58" s="67"/>
      <c r="D58" s="67"/>
      <c r="E58" s="67"/>
      <c r="F58" s="410" t="str">
        <f aca="false">IF(ISERR((F47)/(F47+F48+F49+F50)),"NA",(F47)/(F47+F48+F49+F50))</f>
        <v>NA</v>
      </c>
      <c r="G58" s="410" t="str">
        <f aca="false">IF(ISERR((G47)/(G47+G48+G49+G50)),"NA",(G47)/(G47+G48+G49+G50))</f>
        <v>NA</v>
      </c>
      <c r="H58" s="411" t="str">
        <f aca="false">IF(ISERR((H47)/(H47+H48+H49+H50)),"NA",(H47)/(H47+H48+H49+H50))</f>
        <v>NA</v>
      </c>
      <c r="I58" s="412" t="str">
        <f aca="false">IF(ISERR((I47)/(I47+I48+I49+I50)),"NA",(I47)/(I47+I48+I49+I50))</f>
        <v>NA</v>
      </c>
      <c r="J58" s="413" t="str">
        <f aca="false">IF(ISERR((J47)/(J47+J48+J49+J50)),"NA",(J47)/(J47+J48+J49+J50))</f>
        <v>NA</v>
      </c>
      <c r="K58" s="413" t="str">
        <f aca="false">IF(ISERR((K47)/(K47+K48+K49+K50)),"NA",(K47)/(K47+K48+K49+K50))</f>
        <v>NA</v>
      </c>
      <c r="L58" s="413" t="str">
        <f aca="false">IF(ISERR((L47)/(L47+L48+L49+L50)),"NA",(L47)/(L47+L48+L49+L50))</f>
        <v>NA</v>
      </c>
      <c r="M58" s="413" t="str">
        <f aca="false">IF(ISERR((M47)/(M47+M48+M49+M50)),"NA",(M47)/(M47+M48+M49+M50))</f>
        <v>NA</v>
      </c>
      <c r="N58" s="413" t="str">
        <f aca="false">IF(ISERR((N47)/(N47+N48+N49+N50)),"NA",(N47)/(N47+N48+N49+N50))</f>
        <v>NA</v>
      </c>
      <c r="O58" s="413" t="str">
        <f aca="false">IF(ISERR((O47)/(O47+O48+O49+O50)),"NA",(O47)/(O47+O48+O49+O50))</f>
        <v>NA</v>
      </c>
      <c r="P58" s="413" t="str">
        <f aca="false">IF(ISERR((P47)/(P47+P48+P49+P50)),"NA",(P47)/(P47+P48+P49+P50))</f>
        <v>NA</v>
      </c>
      <c r="Q58" s="413" t="str">
        <f aca="false">IF(ISERR((Q47)/(Q47+Q48+Q49+Q50)),"NA",(Q47)/(Q47+Q48+Q49+Q50))</f>
        <v>NA</v>
      </c>
      <c r="R58" s="413" t="str">
        <f aca="false">IF(ISERR((R47)/(R47+R48+R49+R50)),"NA",(R47)/(R47+R48+R49+R50))</f>
        <v>NA</v>
      </c>
      <c r="S58" s="413" t="str">
        <f aca="false">IF(ISERR((S47)/(S47+S48+S49+S50)),"NA",(S47)/(S47+S48+S49+S50))</f>
        <v>NA</v>
      </c>
      <c r="T58" s="413" t="str">
        <f aca="false">IF(ISERR((T47)/(T47+T48+T49+T50)),"NA",(T47)/(T47+T48+T49+T50))</f>
        <v>NA</v>
      </c>
      <c r="U58" s="413" t="str">
        <f aca="false">IF(ISERR((U47)/(U47+U48+U49+U50)),"NA",(U47)/(U47+U48+U49+U50))</f>
        <v>NA</v>
      </c>
      <c r="V58" s="413" t="str">
        <f aca="false">IF(ISERR((V47)/(V47+V48+V49+V50)),"NA",(V47)/(V47+V48+V49+V50))</f>
        <v>NA</v>
      </c>
      <c r="W58" s="413" t="str">
        <f aca="false">IF(ISERR((W47)/(W47+W48+W49+W50)),"NA",(W47)/(W47+W48+W49+W50))</f>
        <v>NA</v>
      </c>
      <c r="X58" s="413" t="str">
        <f aca="false">IF(ISERR((X47)/(X47+X48+X49+X50)),"NA",(X47)/(X47+X48+X49+X50))</f>
        <v>NA</v>
      </c>
      <c r="Y58" s="413" t="str">
        <f aca="false">IF(ISERR((Y47)/(Y47+Y48+Y49+Y50)),"NA",(Y47)/(Y47+Y48+Y49+Y50))</f>
        <v>NA</v>
      </c>
      <c r="Z58" s="413" t="str">
        <f aca="false">IF(ISERR((Z47)/(Z47+Z48+Z49+Z50)),"NA",(Z47)/(Z47+Z48+Z49+Z50))</f>
        <v>NA</v>
      </c>
      <c r="AA58" s="413" t="str">
        <f aca="false">IF(ISERR((AA47)/(AA47+AA48+AA49+AA50)),"NA",(AA47)/(AA47+AA48+AA49+AA50))</f>
        <v>NA</v>
      </c>
      <c r="AB58" s="413" t="str">
        <f aca="false">IF(ISERR((AB47)/(AB47+AB48+AB49+AB50)),"NA",(AB47)/(AB47+AB48+AB49+AB50))</f>
        <v>NA</v>
      </c>
      <c r="AC58" s="413" t="str">
        <f aca="false">IF(ISERR((AC47)/(AC47+AC48+AC49+AC50)),"NA",(AC47)/(AC47+AC48+AC49+AC50))</f>
        <v>NA</v>
      </c>
      <c r="AD58" s="67"/>
      <c r="AE58" s="67"/>
      <c r="AF58" s="67"/>
      <c r="AG58" s="67"/>
    </row>
    <row r="59" customFormat="false" ht="11.25" hidden="false" customHeight="false" outlineLevel="0" collapsed="false">
      <c r="A59" s="43" t="s">
        <v>645</v>
      </c>
      <c r="E59" s="65"/>
      <c r="F59" s="410" t="str">
        <f aca="false">IF(ISERR((F47+F48)/(F47+F48+F49+F50)),"NA",(F47+F48)/(F47+F48+F49+F50))</f>
        <v>NA</v>
      </c>
      <c r="G59" s="410" t="str">
        <f aca="false">IF(ISERR((G47+G48)/(G47+G48+G49+G50)),"NA",(G47+G48)/(G47+G48+G49+G50))</f>
        <v>NA</v>
      </c>
      <c r="H59" s="411" t="str">
        <f aca="false">IF(ISERR((H47+H48)/(H47+H48+H49+H50)),"NA",(H47+H48)/(H47+H48+H49+H50))</f>
        <v>NA</v>
      </c>
      <c r="I59" s="412" t="e">
        <f aca="false">IF(ISERR((I47+I48)/(I47+I48+I49+I50)),"NA",(I47+I48)/(I47+I48+I49+I50))</f>
        <v>#N/A</v>
      </c>
      <c r="J59" s="413" t="str">
        <f aca="false">IF(ISERR((J47+J48)/(J47+J48+J49+J50)),"NA",(J47+J48)/(J47+J48+J49+J50))</f>
        <v>NA</v>
      </c>
      <c r="K59" s="413" t="str">
        <f aca="false">IF(ISERR((K47+K48)/(K47+K48+K49+K50)),"NA",(K47+K48)/(K47+K48+K49+K50))</f>
        <v>NA</v>
      </c>
      <c r="L59" s="413" t="str">
        <f aca="false">IF(ISERR((L47+L48)/(L47+L48+L49+L50)),"NA",(L47+L48)/(L47+L48+L49+L50))</f>
        <v>NA</v>
      </c>
      <c r="M59" s="413" t="str">
        <f aca="false">IF(ISERR((M47+M48)/(M47+M48+M49+M50)),"NA",(M47+M48)/(M47+M48+M49+M50))</f>
        <v>NA</v>
      </c>
      <c r="N59" s="413" t="str">
        <f aca="false">IF(ISERR((N47+N48)/(N47+N48+N49+N50)),"NA",(N47+N48)/(N47+N48+N49+N50))</f>
        <v>NA</v>
      </c>
      <c r="O59" s="413" t="str">
        <f aca="false">IF(ISERR((O47+O48)/(O47+O48+O49+O50)),"NA",(O47+O48)/(O47+O48+O49+O50))</f>
        <v>NA</v>
      </c>
      <c r="P59" s="413" t="str">
        <f aca="false">IF(ISERR((P47+P48)/(P47+P48+P49+P50)),"NA",(P47+P48)/(P47+P48+P49+P50))</f>
        <v>NA</v>
      </c>
      <c r="Q59" s="413" t="str">
        <f aca="false">IF(ISERR((Q47+Q48)/(Q47+Q48+Q49+Q50)),"NA",(Q47+Q48)/(Q47+Q48+Q49+Q50))</f>
        <v>NA</v>
      </c>
      <c r="R59" s="413" t="str">
        <f aca="false">IF(ISERR((R47+R48)/(R47+R48+R49+R50)),"NA",(R47+R48)/(R47+R48+R49+R50))</f>
        <v>NA</v>
      </c>
      <c r="S59" s="413" t="str">
        <f aca="false">IF(ISERR((S47+S48)/(S47+S48+S49+S50)),"NA",(S47+S48)/(S47+S48+S49+S50))</f>
        <v>NA</v>
      </c>
      <c r="T59" s="413" t="str">
        <f aca="false">IF(ISERR((T47+T48)/(T47+T48+T49+T50)),"NA",(T47+T48)/(T47+T48+T49+T50))</f>
        <v>NA</v>
      </c>
      <c r="U59" s="413" t="str">
        <f aca="false">IF(ISERR((U47+U48)/(U47+U48+U49+U50)),"NA",(U47+U48)/(U47+U48+U49+U50))</f>
        <v>NA</v>
      </c>
      <c r="V59" s="413" t="str">
        <f aca="false">IF(ISERR((V47+V48)/(V47+V48+V49+V50)),"NA",(V47+V48)/(V47+V48+V49+V50))</f>
        <v>NA</v>
      </c>
      <c r="W59" s="413" t="str">
        <f aca="false">IF(ISERR((W47+W48)/(W47+W48+W49+W50)),"NA",(W47+W48)/(W47+W48+W49+W50))</f>
        <v>NA</v>
      </c>
      <c r="X59" s="413" t="str">
        <f aca="false">IF(ISERR((X47+X48)/(X47+X48+X49+X50)),"NA",(X47+X48)/(X47+X48+X49+X50))</f>
        <v>NA</v>
      </c>
      <c r="Y59" s="413" t="str">
        <f aca="false">IF(ISERR((Y47+Y48)/(Y47+Y48+Y49+Y50)),"NA",(Y47+Y48)/(Y47+Y48+Y49+Y50))</f>
        <v>NA</v>
      </c>
      <c r="Z59" s="413" t="str">
        <f aca="false">IF(ISERR((Z47+Z48)/(Z47+Z48+Z49+Z50)),"NA",(Z47+Z48)/(Z47+Z48+Z49+Z50))</f>
        <v>NA</v>
      </c>
      <c r="AA59" s="413" t="str">
        <f aca="false">IF(ISERR((AA47+AA48)/(AA47+AA48+AA49+AA50)),"NA",(AA47+AA48)/(AA47+AA48+AA49+AA50))</f>
        <v>NA</v>
      </c>
      <c r="AB59" s="413" t="str">
        <f aca="false">IF(ISERR((AB47+AB48)/(AB47+AB48+AB49+AB50)),"NA",(AB47+AB48)/(AB47+AB48+AB49+AB50))</f>
        <v>NA</v>
      </c>
      <c r="AC59" s="413" t="str">
        <f aca="false">IF(ISERR((AC47+AC48)/(AC47+AC48+AC49+AC50)),"NA",(AC47+AC48)/(AC47+AC48+AC49+AC50))</f>
        <v>NA</v>
      </c>
      <c r="AD59" s="67"/>
      <c r="AE59" s="67"/>
      <c r="AF59" s="67"/>
      <c r="AG59" s="67"/>
    </row>
    <row r="60" customFormat="false" ht="11.25" hidden="false" customHeight="false" outlineLevel="0" collapsed="false">
      <c r="A60" s="43" t="s">
        <v>646</v>
      </c>
      <c r="F60" s="405" t="str">
        <f aca="false">IF(F27&lt;1,"NA",(F47+F48)/(F27-F32))</f>
        <v>NA</v>
      </c>
      <c r="G60" s="405" t="str">
        <f aca="false">IF(G27&lt;1,"NA",(G47+G48)/(G27-G32))</f>
        <v>NA</v>
      </c>
      <c r="H60" s="406" t="str">
        <f aca="false">IF(H27&lt;1,"NA",(H47+H48)/(H27-H32))</f>
        <v>NA</v>
      </c>
      <c r="I60" s="407" t="str">
        <f aca="false">IF(I27&lt;1,"NA",(I47+I48)/(I27-I32))</f>
        <v>NA</v>
      </c>
      <c r="J60" s="405" t="str">
        <f aca="false">IF(J27&lt;1,"NA",(J47+J48)/(J27-J32))</f>
        <v>NA</v>
      </c>
      <c r="K60" s="405" t="str">
        <f aca="false">IF(K27&lt;1,"NA",(K47+K48)/(K27-K32))</f>
        <v>NA</v>
      </c>
      <c r="L60" s="405" t="str">
        <f aca="false">IF(L27&lt;1,"NA",(L47+L48)/(L27-L32))</f>
        <v>NA</v>
      </c>
      <c r="M60" s="405" t="str">
        <f aca="false">IF(M27&lt;1,"NA",(M47+M48)/(M27-M32))</f>
        <v>NA</v>
      </c>
      <c r="N60" s="405" t="str">
        <f aca="false">IF(N27&lt;1,"NA",(N47+N48)/(N27-N32))</f>
        <v>NA</v>
      </c>
      <c r="O60" s="405" t="str">
        <f aca="false">IF(O27&lt;1,"NA",(O47+O48)/(O27-O32))</f>
        <v>NA</v>
      </c>
      <c r="P60" s="405" t="str">
        <f aca="false">IF(P27&lt;1,"NA",(P47+P48)/(P27-P32))</f>
        <v>NA</v>
      </c>
      <c r="Q60" s="405" t="str">
        <f aca="false">IF(Q27&lt;1,"NA",(Q47+Q48)/(Q27-Q32))</f>
        <v>NA</v>
      </c>
      <c r="R60" s="405" t="str">
        <f aca="false">IF(R27&lt;1,"NA",(R47+R48)/(R27-R32))</f>
        <v>NA</v>
      </c>
      <c r="S60" s="405" t="str">
        <f aca="false">IF(S27&lt;1,"NA",(S47+S48)/(S27-S32))</f>
        <v>NA</v>
      </c>
      <c r="T60" s="405" t="str">
        <f aca="false">IF(T27&lt;1,"NA",(T47+T48)/(T27-T32))</f>
        <v>NA</v>
      </c>
      <c r="U60" s="405" t="str">
        <f aca="false">IF(U27&lt;1,"NA",(U47+U48)/(U27-U32))</f>
        <v>NA</v>
      </c>
      <c r="V60" s="405" t="str">
        <f aca="false">IF(V27&lt;1,"NA",(V47+V48)/(V27-V32))</f>
        <v>NA</v>
      </c>
      <c r="W60" s="405" t="str">
        <f aca="false">IF(W27&lt;1,"NA",(W47+W48)/(W27-W32))</f>
        <v>NA</v>
      </c>
      <c r="X60" s="405" t="str">
        <f aca="false">IF(X27&lt;1,"NA",(X47+X48)/(X27-X32))</f>
        <v>NA</v>
      </c>
      <c r="Y60" s="405" t="str">
        <f aca="false">IF(Y27&lt;1,"NA",(Y47+Y48)/(Y27-Y32))</f>
        <v>NA</v>
      </c>
      <c r="Z60" s="405" t="str">
        <f aca="false">IF(Z27&lt;1,"NA",(Z47+Z48)/(Z27-Z32))</f>
        <v>NA</v>
      </c>
      <c r="AA60" s="405" t="str">
        <f aca="false">IF(AA27&lt;1,"NA",(AA47+AA48)/(AA27-AA32))</f>
        <v>NA</v>
      </c>
      <c r="AB60" s="405" t="str">
        <f aca="false">IF(AB27&lt;1,"NA",(AB47+AB48)/(AB27-AB32))</f>
        <v>NA</v>
      </c>
      <c r="AC60" s="405" t="str">
        <f aca="false">IF(AC27&lt;1,"NA",(AC47+AC48)/(AC27-AC32))</f>
        <v>NA</v>
      </c>
      <c r="AD60" s="67"/>
      <c r="AE60" s="67"/>
      <c r="AF60" s="67"/>
      <c r="AG60" s="67"/>
    </row>
    <row r="61" customFormat="false" ht="11.25" hidden="false" customHeight="false" outlineLevel="0" collapsed="false">
      <c r="A61" s="43" t="s">
        <v>647</v>
      </c>
      <c r="F61" s="405" t="str">
        <f aca="false">IF(E197=0,"NA",E176/E197)</f>
        <v>NA</v>
      </c>
      <c r="G61" s="405" t="str">
        <f aca="false">IF(F197=0,"NA",F176/F197)</f>
        <v>NA</v>
      </c>
      <c r="H61" s="406" t="str">
        <f aca="false">IF(G197=0,"NA",G176/G197)</f>
        <v>NA</v>
      </c>
      <c r="I61" s="407" t="e">
        <f aca="false">IF(I197=0,"NA",I176/I197)</f>
        <v>#N/A</v>
      </c>
      <c r="J61" s="405" t="e">
        <f aca="false">IF(J197=0,"NA",J176/J197)</f>
        <v>#VALUE!</v>
      </c>
      <c r="K61" s="405" t="e">
        <f aca="false">IF(K197=0,"NA",K176/K197)</f>
        <v>#VALUE!</v>
      </c>
      <c r="L61" s="405" t="e">
        <f aca="false">IF(L197=0,"NA",L176/L197)</f>
        <v>#VALUE!</v>
      </c>
      <c r="M61" s="405" t="e">
        <f aca="false">IF(M197=0,"NA",M176/M197)</f>
        <v>#VALUE!</v>
      </c>
      <c r="N61" s="405" t="e">
        <f aca="false">IF(N197=0,"NA",N176/N197)</f>
        <v>#VALUE!</v>
      </c>
      <c r="O61" s="405" t="e">
        <f aca="false">IF(O197=0,"NA",O176/O197)</f>
        <v>#VALUE!</v>
      </c>
      <c r="P61" s="405" t="e">
        <f aca="false">IF(P197=0,"NA",P176/P197)</f>
        <v>#VALUE!</v>
      </c>
      <c r="Q61" s="405" t="e">
        <f aca="false">IF(Q197=0,"NA",Q176/Q197)</f>
        <v>#VALUE!</v>
      </c>
      <c r="R61" s="405" t="e">
        <f aca="false">IF(R197=0,"NA",R176/R197)</f>
        <v>#VALUE!</v>
      </c>
      <c r="S61" s="405" t="e">
        <f aca="false">IF(S197=0,"NA",S176/S197)</f>
        <v>#VALUE!</v>
      </c>
      <c r="T61" s="405" t="e">
        <f aca="false">IF(T197=0,"NA",T176/T197)</f>
        <v>#VALUE!</v>
      </c>
      <c r="U61" s="405" t="e">
        <f aca="false">IF(U197=0,"NA",U176/U197)</f>
        <v>#VALUE!</v>
      </c>
      <c r="V61" s="405" t="e">
        <f aca="false">IF(V197=0,"NA",V176/V197)</f>
        <v>#VALUE!</v>
      </c>
      <c r="W61" s="405" t="e">
        <f aca="false">IF(W197=0,"NA",W176/W197)</f>
        <v>#VALUE!</v>
      </c>
      <c r="X61" s="405" t="e">
        <f aca="false">IF(X197=0,"NA",X176/X197)</f>
        <v>#VALUE!</v>
      </c>
      <c r="Y61" s="405" t="e">
        <f aca="false">IF(Y197=0,"NA",Y176/Y197)</f>
        <v>#VALUE!</v>
      </c>
      <c r="Z61" s="405" t="e">
        <f aca="false">IF(Z197=0,"NA",Z176/Z197)</f>
        <v>#VALUE!</v>
      </c>
      <c r="AA61" s="405" t="e">
        <f aca="false">IF(AA197=0,"NA",AA176/AA197)</f>
        <v>#VALUE!</v>
      </c>
      <c r="AB61" s="405" t="e">
        <f aca="false">IF(AB197=0,"NA",AB176/AB197)</f>
        <v>#VALUE!</v>
      </c>
      <c r="AC61" s="405" t="e">
        <f aca="false">IF(AC197=0,"NA",AC176/AC197)</f>
        <v>#N/A</v>
      </c>
      <c r="AD61" s="67"/>
      <c r="AE61" s="67"/>
      <c r="AF61" s="67"/>
      <c r="AG61" s="67"/>
    </row>
    <row r="62" customFormat="false" ht="4.5" hidden="false" customHeight="true" outlineLevel="0" collapsed="false">
      <c r="A62" s="43"/>
      <c r="F62" s="405"/>
      <c r="G62" s="405"/>
      <c r="H62" s="406"/>
      <c r="I62" s="407"/>
      <c r="J62" s="405"/>
      <c r="K62" s="405"/>
      <c r="L62" s="405"/>
      <c r="M62" s="405"/>
      <c r="N62" s="405"/>
      <c r="O62" s="405"/>
      <c r="P62" s="405"/>
      <c r="Q62" s="405"/>
      <c r="R62" s="405"/>
      <c r="S62" s="405"/>
      <c r="T62" s="405"/>
      <c r="U62" s="405"/>
      <c r="V62" s="405"/>
      <c r="W62" s="405"/>
      <c r="X62" s="405"/>
      <c r="Y62" s="405"/>
      <c r="Z62" s="405"/>
      <c r="AA62" s="405"/>
      <c r="AB62" s="405"/>
      <c r="AC62" s="405"/>
      <c r="AD62" s="67"/>
      <c r="AE62" s="67"/>
      <c r="AF62" s="67"/>
      <c r="AG62" s="67"/>
    </row>
    <row r="63" customFormat="false" ht="11.25" hidden="false" customHeight="false" outlineLevel="0" collapsed="false">
      <c r="A63" s="307" t="s">
        <v>648</v>
      </c>
      <c r="F63" s="405"/>
      <c r="G63" s="405"/>
      <c r="H63" s="406"/>
      <c r="I63" s="414"/>
      <c r="J63" s="405"/>
      <c r="K63" s="405"/>
      <c r="L63" s="405"/>
      <c r="M63" s="405"/>
      <c r="N63" s="405"/>
      <c r="O63" s="405"/>
      <c r="P63" s="405"/>
      <c r="Q63" s="405"/>
      <c r="R63" s="405"/>
      <c r="S63" s="405"/>
      <c r="T63" s="405"/>
      <c r="U63" s="405"/>
      <c r="V63" s="405"/>
      <c r="W63" s="405"/>
      <c r="X63" s="405"/>
      <c r="Y63" s="405"/>
      <c r="Z63" s="405"/>
      <c r="AA63" s="405"/>
      <c r="AB63" s="405"/>
      <c r="AC63" s="405"/>
      <c r="AD63" s="67"/>
      <c r="AE63" s="67"/>
      <c r="AF63" s="67"/>
      <c r="AG63" s="67"/>
    </row>
    <row r="64" customFormat="false" ht="11.25" hidden="false" customHeight="false" outlineLevel="0" collapsed="false">
      <c r="A64" s="43" t="s">
        <v>649</v>
      </c>
      <c r="F64" s="402" t="n">
        <f aca="false">$K$788</f>
        <v>0</v>
      </c>
      <c r="G64" s="402" t="n">
        <f aca="false">$K$788</f>
        <v>0</v>
      </c>
      <c r="H64" s="402" t="n">
        <f aca="false">$K$788</f>
        <v>0</v>
      </c>
      <c r="I64" s="403" t="n">
        <f aca="false">$K$788</f>
        <v>0</v>
      </c>
      <c r="J64" s="402" t="n">
        <f aca="false">$K$788</f>
        <v>0</v>
      </c>
      <c r="K64" s="402" t="n">
        <f aca="false">$K$788</f>
        <v>0</v>
      </c>
      <c r="L64" s="402" t="n">
        <f aca="false">$K$788</f>
        <v>0</v>
      </c>
      <c r="M64" s="402" t="n">
        <f aca="false">$K$788</f>
        <v>0</v>
      </c>
      <c r="N64" s="402" t="n">
        <f aca="false">$K$788</f>
        <v>0</v>
      </c>
      <c r="O64" s="402" t="n">
        <f aca="false">$K$788</f>
        <v>0</v>
      </c>
      <c r="P64" s="402" t="n">
        <f aca="false">$K$788</f>
        <v>0</v>
      </c>
      <c r="Q64" s="402" t="n">
        <f aca="false">$K$788</f>
        <v>0</v>
      </c>
      <c r="R64" s="402" t="n">
        <f aca="false">$K$788</f>
        <v>0</v>
      </c>
      <c r="S64" s="402" t="n">
        <f aca="false">$K$788</f>
        <v>0</v>
      </c>
      <c r="T64" s="402" t="n">
        <f aca="false">$K$788</f>
        <v>0</v>
      </c>
      <c r="U64" s="402" t="n">
        <f aca="false">$K$788</f>
        <v>0</v>
      </c>
      <c r="V64" s="402" t="n">
        <f aca="false">$K$788</f>
        <v>0</v>
      </c>
      <c r="W64" s="402" t="n">
        <f aca="false">$K$788</f>
        <v>0</v>
      </c>
      <c r="X64" s="402" t="n">
        <f aca="false">$K$788</f>
        <v>0</v>
      </c>
      <c r="Y64" s="402" t="n">
        <f aca="false">$K$788</f>
        <v>0</v>
      </c>
      <c r="Z64" s="402" t="n">
        <f aca="false">$K$788</f>
        <v>0</v>
      </c>
      <c r="AA64" s="402" t="n">
        <f aca="false">$K$788</f>
        <v>0</v>
      </c>
      <c r="AB64" s="402" t="n">
        <f aca="false">$K$788</f>
        <v>0</v>
      </c>
      <c r="AC64" s="402" t="n">
        <f aca="false">$K$788</f>
        <v>0</v>
      </c>
      <c r="AD64" s="67"/>
      <c r="AE64" s="67"/>
      <c r="AF64" s="67"/>
      <c r="AG64" s="67"/>
    </row>
    <row r="65" customFormat="false" ht="11.25" hidden="false" customHeight="false" outlineLevel="0" collapsed="false">
      <c r="A65" s="43" t="s">
        <v>650</v>
      </c>
      <c r="E65" s="67"/>
      <c r="F65" s="117" t="n">
        <f aca="false">F27*F64</f>
        <v>0</v>
      </c>
      <c r="G65" s="117" t="n">
        <f aca="false">G27*G64</f>
        <v>0</v>
      </c>
      <c r="H65" s="117" t="n">
        <f aca="false">H27*H64</f>
        <v>0</v>
      </c>
      <c r="I65" s="414" t="e">
        <f aca="false">I64*I29</f>
        <v>#VALUE!</v>
      </c>
      <c r="J65" s="117" t="e">
        <f aca="false">J64*J29</f>
        <v>#VALUE!</v>
      </c>
      <c r="K65" s="117" t="e">
        <f aca="false">K64*K29</f>
        <v>#VALUE!</v>
      </c>
      <c r="L65" s="117" t="e">
        <f aca="false">L64*L29</f>
        <v>#VALUE!</v>
      </c>
      <c r="M65" s="117" t="e">
        <f aca="false">M64*M29</f>
        <v>#VALUE!</v>
      </c>
      <c r="N65" s="117" t="e">
        <f aca="false">N64*N29</f>
        <v>#VALUE!</v>
      </c>
      <c r="O65" s="117" t="e">
        <f aca="false">O64*O29</f>
        <v>#VALUE!</v>
      </c>
      <c r="P65" s="117" t="e">
        <f aca="false">P64*P29</f>
        <v>#VALUE!</v>
      </c>
      <c r="Q65" s="117" t="e">
        <f aca="false">Q64*Q29</f>
        <v>#VALUE!</v>
      </c>
      <c r="R65" s="117" t="e">
        <f aca="false">R64*R29</f>
        <v>#VALUE!</v>
      </c>
      <c r="S65" s="117" t="e">
        <f aca="false">S64*S29</f>
        <v>#VALUE!</v>
      </c>
      <c r="T65" s="117" t="e">
        <f aca="false">T64*T29</f>
        <v>#VALUE!</v>
      </c>
      <c r="U65" s="117" t="e">
        <f aca="false">U64*U29</f>
        <v>#VALUE!</v>
      </c>
      <c r="V65" s="117" t="e">
        <f aca="false">V64*V29</f>
        <v>#VALUE!</v>
      </c>
      <c r="W65" s="117" t="e">
        <f aca="false">W64*W29</f>
        <v>#VALUE!</v>
      </c>
      <c r="X65" s="117" t="e">
        <f aca="false">X64*X29</f>
        <v>#VALUE!</v>
      </c>
      <c r="Y65" s="117" t="e">
        <f aca="false">Y64*Y29</f>
        <v>#VALUE!</v>
      </c>
      <c r="Z65" s="117" t="e">
        <f aca="false">Z64*Z29</f>
        <v>#VALUE!</v>
      </c>
      <c r="AA65" s="117" t="e">
        <f aca="false">AA64*AA29</f>
        <v>#VALUE!</v>
      </c>
      <c r="AB65" s="117" t="e">
        <f aca="false">AB64*AB29</f>
        <v>#VALUE!</v>
      </c>
      <c r="AC65" s="117" t="e">
        <f aca="false">AC64*AC29</f>
        <v>#VALUE!</v>
      </c>
      <c r="AD65" s="67"/>
      <c r="AE65" s="67"/>
      <c r="AF65" s="67"/>
      <c r="AG65" s="67"/>
    </row>
    <row r="66" customFormat="false" ht="12" hidden="false" customHeight="false" outlineLevel="0" collapsed="false">
      <c r="A66" s="43" t="s">
        <v>651</v>
      </c>
      <c r="F66" s="117" t="n">
        <f aca="false">F65-(E195+E196+E199+E200+E202+E208)+E172</f>
        <v>0</v>
      </c>
      <c r="G66" s="117" t="n">
        <f aca="false">G65-(F195+F196+F199+F200+F202+F208)+F172</f>
        <v>0</v>
      </c>
      <c r="H66" s="117" t="n">
        <f aca="false">H65-(G195+G196+G199+G200+G202+G208)+G172</f>
        <v>0</v>
      </c>
      <c r="I66" s="414" t="e">
        <f aca="false">I65-(I195+I196+I199+I200+I202+I208)+(I172-I450)</f>
        <v>#VALUE!</v>
      </c>
      <c r="J66" s="117" t="e">
        <f aca="false">J65-(J195+J196+J199+J200+J202+J208)+(J172-J450)</f>
        <v>#N/A</v>
      </c>
      <c r="K66" s="117" t="e">
        <f aca="false">K65-(K195+K196+K199+K200+K202+K208)+(K172-K450)</f>
        <v>#N/A</v>
      </c>
      <c r="L66" s="117" t="e">
        <f aca="false">L65-(L195+L196+L199+L200+L202+L208)+(L172-L450)</f>
        <v>#N/A</v>
      </c>
      <c r="M66" s="117" t="e">
        <f aca="false">M65-(M195+M196+M199+M200+M202+M208)+(M172-M450)</f>
        <v>#N/A</v>
      </c>
      <c r="N66" s="117" t="e">
        <f aca="false">N65-(N195+N196+N199+N200+N202+N208)+(N172-N450)</f>
        <v>#N/A</v>
      </c>
      <c r="O66" s="117" t="e">
        <f aca="false">O65-(O195+O196+O199+O200+O202+O208)+(O172-O450)</f>
        <v>#N/A</v>
      </c>
      <c r="P66" s="117" t="e">
        <f aca="false">P65-(P195+P196+P199+P200+P202+P208)+(P172-P450)</f>
        <v>#N/A</v>
      </c>
      <c r="Q66" s="117" t="e">
        <f aca="false">Q65-(Q195+Q196+Q199+Q200+Q202+Q208)+(Q172-Q450)</f>
        <v>#N/A</v>
      </c>
      <c r="R66" s="117" t="e">
        <f aca="false">R65-(R195+R196+R199+R200+R202+R208)+(R172-R450)</f>
        <v>#N/A</v>
      </c>
      <c r="S66" s="117" t="e">
        <f aca="false">S65-(S195+S196+S199+S200+S202+S208)+(S172-S450)</f>
        <v>#N/A</v>
      </c>
      <c r="T66" s="117" t="e">
        <f aca="false">T65-(T195+T196+T199+T200+T202+T208)+(T172-T450)</f>
        <v>#N/A</v>
      </c>
      <c r="U66" s="117" t="e">
        <f aca="false">U65-(U195+U196+U199+U200+U202+U208)+(U172-U450)</f>
        <v>#N/A</v>
      </c>
      <c r="V66" s="117" t="e">
        <f aca="false">V65-(V195+V196+V199+V200+V202+V208)+(V172-V450)</f>
        <v>#N/A</v>
      </c>
      <c r="W66" s="117" t="e">
        <f aca="false">W65-(W195+W196+W199+W200+W202+W208)+(W172-W450)</f>
        <v>#N/A</v>
      </c>
      <c r="X66" s="117" t="e">
        <f aca="false">X65-(X195+X196+X199+X200+X202+X208)+(X172-X450)</f>
        <v>#N/A</v>
      </c>
      <c r="Y66" s="117" t="e">
        <f aca="false">Y65-(Y195+Y196+Y199+Y200+Y202+Y208)+(Y172-Y450)</f>
        <v>#N/A</v>
      </c>
      <c r="Z66" s="117" t="e">
        <f aca="false">Z65-(Z195+Z196+Z199+Z200+Z202+Z208)+(Z172-Z450)</f>
        <v>#N/A</v>
      </c>
      <c r="AA66" s="117" t="e">
        <f aca="false">AA65-(AA195+AA196+AA199+AA200+AA202+AA208)+(AA172-AA450)</f>
        <v>#N/A</v>
      </c>
      <c r="AB66" s="117" t="e">
        <f aca="false">AB65-(AB195+AB196+AB199+AB200+AB202+AB208)+(AB172-AB450)</f>
        <v>#N/A</v>
      </c>
      <c r="AC66" s="117" t="e">
        <f aca="false">AC65-(AC195+AC196+AC199+AC200+AC202+AC208)+(AC172-AC450)</f>
        <v>#N/A</v>
      </c>
      <c r="AD66" s="67"/>
      <c r="AE66" s="67"/>
      <c r="AF66" s="67"/>
      <c r="AG66" s="67"/>
    </row>
    <row r="67" customFormat="false" ht="12.75" hidden="false" customHeight="false" outlineLevel="0" collapsed="false">
      <c r="E67" s="395" t="n">
        <f aca="false">E580</f>
        <v>1996</v>
      </c>
      <c r="F67" s="395" t="n">
        <f aca="false">F580</f>
        <v>1997</v>
      </c>
      <c r="G67" s="395" t="n">
        <f aca="false">G580</f>
        <v>1998</v>
      </c>
      <c r="H67" s="415" t="str">
        <f aca="false">$H$579&amp;"/"&amp;TEXT($H$580,"0")</f>
        <v>6 M/1999</v>
      </c>
      <c r="I67" s="416" t="str">
        <f aca="false">$I$579&amp;"/"&amp;TEXT($I$580,"0")</f>
        <v>6 M/1999</v>
      </c>
      <c r="J67" s="395" t="n">
        <f aca="false">J580</f>
        <v>2000</v>
      </c>
      <c r="K67" s="395" t="n">
        <f aca="false">K580</f>
        <v>2001</v>
      </c>
      <c r="L67" s="395" t="n">
        <f aca="false">L580</f>
        <v>2002</v>
      </c>
      <c r="M67" s="395" t="n">
        <f aca="false">M580</f>
        <v>2003</v>
      </c>
      <c r="N67" s="395" t="n">
        <f aca="false">N580</f>
        <v>2004</v>
      </c>
      <c r="O67" s="395" t="n">
        <f aca="false">O580</f>
        <v>2005</v>
      </c>
      <c r="P67" s="395" t="n">
        <f aca="false">P580</f>
        <v>2006</v>
      </c>
      <c r="Q67" s="395" t="n">
        <f aca="false">Q580</f>
        <v>2007</v>
      </c>
      <c r="R67" s="395" t="n">
        <f aca="false">R580</f>
        <v>2008</v>
      </c>
      <c r="S67" s="395" t="n">
        <f aca="false">S580</f>
        <v>2009</v>
      </c>
      <c r="T67" s="395" t="n">
        <f aca="false">T580</f>
        <v>2010</v>
      </c>
      <c r="U67" s="395" t="n">
        <f aca="false">U580</f>
        <v>2011</v>
      </c>
      <c r="V67" s="395" t="n">
        <f aca="false">V580</f>
        <v>2012</v>
      </c>
      <c r="W67" s="395" t="n">
        <f aca="false">W580</f>
        <v>2013</v>
      </c>
      <c r="X67" s="395" t="n">
        <f aca="false">X580</f>
        <v>2014</v>
      </c>
      <c r="Y67" s="395" t="n">
        <f aca="false">Y580</f>
        <v>2015</v>
      </c>
      <c r="Z67" s="395" t="n">
        <f aca="false">Z580</f>
        <v>2016</v>
      </c>
      <c r="AA67" s="395" t="n">
        <f aca="false">AA580</f>
        <v>2017</v>
      </c>
      <c r="AB67" s="395" t="n">
        <f aca="false">AB580</f>
        <v>2018</v>
      </c>
      <c r="AC67" s="395" t="n">
        <f aca="false">AC580</f>
        <v>2019</v>
      </c>
      <c r="AG67" s="332" t="b">
        <f aca="false">FALSE()</f>
        <v>0</v>
      </c>
    </row>
    <row r="68" customFormat="false" ht="12" hidden="false" customHeight="false" outlineLevel="0" collapsed="false">
      <c r="A68" s="153" t="s">
        <v>652</v>
      </c>
      <c r="D68" s="260"/>
      <c r="E68" s="151"/>
      <c r="F68" s="67"/>
      <c r="G68" s="67"/>
      <c r="H68" s="206"/>
      <c r="I68" s="67"/>
      <c r="J68" s="67"/>
      <c r="K68" s="67"/>
      <c r="L68" s="67"/>
      <c r="M68" s="67"/>
      <c r="N68" s="67"/>
      <c r="O68" s="67"/>
      <c r="P68" s="67"/>
      <c r="Q68" s="67"/>
      <c r="R68" s="67"/>
      <c r="S68" s="67"/>
      <c r="T68" s="67"/>
      <c r="U68" s="67"/>
      <c r="V68" s="67"/>
      <c r="W68" s="67"/>
      <c r="X68" s="67"/>
      <c r="Y68" s="67"/>
      <c r="Z68" s="67"/>
      <c r="AA68" s="67"/>
      <c r="AB68" s="67"/>
      <c r="AC68" s="67"/>
    </row>
    <row r="69" customFormat="false" ht="11.25" hidden="false" customHeight="false" outlineLevel="0" collapsed="false">
      <c r="A69" s="43" t="s">
        <v>613</v>
      </c>
      <c r="C69" s="172"/>
      <c r="D69" s="417"/>
      <c r="E69" s="417" t="n">
        <f aca="false">+E938</f>
        <v>0</v>
      </c>
      <c r="F69" s="417" t="n">
        <f aca="false">+F938</f>
        <v>0</v>
      </c>
      <c r="G69" s="417" t="n">
        <f aca="false">+G938</f>
        <v>0</v>
      </c>
      <c r="H69" s="418" t="n">
        <f aca="false">+H938</f>
        <v>0</v>
      </c>
      <c r="I69" s="417" t="n">
        <f aca="false">+I938+I493</f>
        <v>-515.877565773314</v>
      </c>
      <c r="J69" s="417" t="n">
        <f aca="false">+J938+J493</f>
        <v>-1162.54350654663</v>
      </c>
      <c r="K69" s="417" t="n">
        <f aca="false">+K938+K493</f>
        <v>-1085.45950212042</v>
      </c>
      <c r="L69" s="417" t="n">
        <f aca="false">+L938+L493</f>
        <v>-1027.41601890568</v>
      </c>
      <c r="M69" s="417" t="n">
        <f aca="false">+M938+M493</f>
        <v>-963.056539564255</v>
      </c>
      <c r="N69" s="417" t="n">
        <f aca="false">+N938+N493</f>
        <v>-883.410575541736</v>
      </c>
      <c r="O69" s="417" t="n">
        <f aca="false">+O938+O493</f>
        <v>-772.930292818879</v>
      </c>
      <c r="P69" s="417" t="n">
        <f aca="false">+P938+P493</f>
        <v>-663.985585352189</v>
      </c>
      <c r="Q69" s="417" t="n">
        <f aca="false">+Q938+Q493</f>
        <v>-575.554802621274</v>
      </c>
      <c r="R69" s="417" t="n">
        <f aca="false">+R938+R493</f>
        <v>-490.942886245924</v>
      </c>
      <c r="S69" s="417" t="n">
        <f aca="false">+S938+S493</f>
        <v>-415.810547775154</v>
      </c>
      <c r="T69" s="417" t="n">
        <f aca="false">+T938+T493</f>
        <v>-349.231262706301</v>
      </c>
      <c r="U69" s="417" t="n">
        <f aca="false">+U938+U493</f>
        <v>-292.675688653077</v>
      </c>
      <c r="V69" s="417" t="n">
        <f aca="false">+V938+V493</f>
        <v>-240.26942708397</v>
      </c>
      <c r="W69" s="417" t="n">
        <f aca="false">+W938+W493</f>
        <v>-197.011743773664</v>
      </c>
      <c r="X69" s="417" t="n">
        <f aca="false">+X938+X493</f>
        <v>-159.804967193502</v>
      </c>
      <c r="Y69" s="417" t="n">
        <f aca="false">+Y938+Y493</f>
        <v>-125.942690582738</v>
      </c>
      <c r="Z69" s="417" t="n">
        <f aca="false">+Z938+Z493</f>
        <v>-92.5136274585116</v>
      </c>
      <c r="AA69" s="417" t="n">
        <f aca="false">+AA938+AA493</f>
        <v>-70.7513987503899</v>
      </c>
      <c r="AB69" s="417" t="n">
        <f aca="false">+AB938+AB493</f>
        <v>-54.431797004145</v>
      </c>
      <c r="AC69" s="417" t="n">
        <f aca="false">+AC938+AC493</f>
        <v>-44.9810616418182</v>
      </c>
    </row>
    <row r="70" customFormat="false" ht="11.25" hidden="false" customHeight="false" outlineLevel="0" collapsed="false">
      <c r="A70" s="43" t="s">
        <v>653</v>
      </c>
      <c r="C70" s="172"/>
      <c r="D70" s="417"/>
      <c r="E70" s="417" t="n">
        <f aca="false">E939</f>
        <v>0</v>
      </c>
      <c r="F70" s="417" t="n">
        <f aca="false">F939</f>
        <v>0</v>
      </c>
      <c r="G70" s="417" t="n">
        <f aca="false">G939</f>
        <v>0</v>
      </c>
      <c r="H70" s="418" t="n">
        <f aca="false">H939</f>
        <v>0</v>
      </c>
      <c r="I70" s="417" t="n">
        <f aca="false">I939</f>
        <v>-37.4717360511448</v>
      </c>
      <c r="J70" s="417" t="n">
        <f aca="false">J939</f>
        <v>-63.3560026022897</v>
      </c>
      <c r="K70" s="417" t="n">
        <f aca="false">K939</f>
        <v>-56.2642741950787</v>
      </c>
      <c r="L70" s="417" t="n">
        <f aca="false">L939</f>
        <v>-50.9242737393223</v>
      </c>
      <c r="M70" s="417" t="n">
        <f aca="false">M939</f>
        <v>-45.0032016399115</v>
      </c>
      <c r="N70" s="417" t="n">
        <f aca="false">N939</f>
        <v>-37.6757729498397</v>
      </c>
      <c r="O70" s="417" t="n">
        <f aca="false">O939</f>
        <v>-27.5115869393369</v>
      </c>
      <c r="P70" s="417" t="n">
        <f aca="false">P939</f>
        <v>-17.4886738524014</v>
      </c>
      <c r="Q70" s="417" t="n">
        <f aca="false">Q939</f>
        <v>2.88895815884282</v>
      </c>
      <c r="R70" s="417" t="n">
        <f aca="false">R939</f>
        <v>13.128254465375</v>
      </c>
      <c r="S70" s="417" t="n">
        <f aca="false">S939</f>
        <v>1.62142960468582</v>
      </c>
      <c r="T70" s="417" t="n">
        <f aca="false">T939</f>
        <v>7.74672383102027</v>
      </c>
      <c r="U70" s="417" t="n">
        <f aca="false">U939</f>
        <v>12.949836643917</v>
      </c>
      <c r="V70" s="417" t="n">
        <f aca="false">V939</f>
        <v>17.7712127082748</v>
      </c>
      <c r="W70" s="417" t="n">
        <f aca="false">W939</f>
        <v>1.43191957282293</v>
      </c>
      <c r="X70" s="417" t="n">
        <f aca="false">X939</f>
        <v>4.85494301819779</v>
      </c>
      <c r="Y70" s="417" t="n">
        <f aca="false">Y939</f>
        <v>-6.72672753361186</v>
      </c>
      <c r="Z70" s="417" t="n">
        <f aca="false">Z939</f>
        <v>-8.51125372618306</v>
      </c>
      <c r="AA70" s="417" t="n">
        <f aca="false">AA939</f>
        <v>-6.50912868503587</v>
      </c>
      <c r="AB70" s="417" t="n">
        <f aca="false">AB939</f>
        <v>-5.00772532438134</v>
      </c>
      <c r="AC70" s="417" t="n">
        <f aca="false">AC939</f>
        <v>-4.13825767104727</v>
      </c>
    </row>
    <row r="71" customFormat="false" ht="11.25" hidden="false" customHeight="false" outlineLevel="0" collapsed="false">
      <c r="A71" s="307" t="s">
        <v>654</v>
      </c>
      <c r="C71" s="172"/>
      <c r="D71" s="417"/>
      <c r="E71" s="419" t="n">
        <f aca="false">E69-E70</f>
        <v>0</v>
      </c>
      <c r="F71" s="419" t="n">
        <f aca="false">F69-F70</f>
        <v>0</v>
      </c>
      <c r="G71" s="419" t="n">
        <f aca="false">G69-G70</f>
        <v>0</v>
      </c>
      <c r="H71" s="420" t="n">
        <f aca="false">H69-H70</f>
        <v>0</v>
      </c>
      <c r="I71" s="419" t="n">
        <f aca="false">I69-I70</f>
        <v>-478.405829722169</v>
      </c>
      <c r="J71" s="419" t="n">
        <f aca="false">J69-J70</f>
        <v>-1099.18750394434</v>
      </c>
      <c r="K71" s="419" t="n">
        <f aca="false">K69-K70</f>
        <v>-1029.19522792534</v>
      </c>
      <c r="L71" s="419" t="n">
        <f aca="false">L69-L70</f>
        <v>-976.491745166355</v>
      </c>
      <c r="M71" s="419" t="n">
        <f aca="false">M69-M70</f>
        <v>-918.053337924344</v>
      </c>
      <c r="N71" s="419" t="n">
        <f aca="false">N69-N70</f>
        <v>-845.734802591897</v>
      </c>
      <c r="O71" s="419" t="n">
        <f aca="false">O69-O70</f>
        <v>-745.418705879542</v>
      </c>
      <c r="P71" s="419" t="n">
        <f aca="false">P69-P70</f>
        <v>-646.496911499788</v>
      </c>
      <c r="Q71" s="419" t="n">
        <f aca="false">Q69-Q70</f>
        <v>-578.443760780117</v>
      </c>
      <c r="R71" s="419" t="n">
        <f aca="false">R69-R70</f>
        <v>-504.071140711299</v>
      </c>
      <c r="S71" s="419" t="n">
        <f aca="false">S69-S70</f>
        <v>-417.43197737984</v>
      </c>
      <c r="T71" s="419" t="n">
        <f aca="false">T69-T70</f>
        <v>-356.977986537322</v>
      </c>
      <c r="U71" s="419" t="n">
        <f aca="false">U69-U70</f>
        <v>-305.625525296994</v>
      </c>
      <c r="V71" s="419" t="n">
        <f aca="false">V69-V70</f>
        <v>-258.040639792245</v>
      </c>
      <c r="W71" s="419" t="n">
        <f aca="false">W69-W70</f>
        <v>-198.443663346487</v>
      </c>
      <c r="X71" s="419" t="n">
        <f aca="false">X69-X70</f>
        <v>-164.6599102117</v>
      </c>
      <c r="Y71" s="419" t="n">
        <f aca="false">Y69-Y70</f>
        <v>-119.215963049126</v>
      </c>
      <c r="Z71" s="419" t="n">
        <f aca="false">Z69-Z70</f>
        <v>-84.0023737323285</v>
      </c>
      <c r="AA71" s="419" t="n">
        <f aca="false">AA69-AA70</f>
        <v>-64.242270065354</v>
      </c>
      <c r="AB71" s="419" t="n">
        <f aca="false">AB69-AB70</f>
        <v>-49.4240716797637</v>
      </c>
      <c r="AC71" s="419" t="n">
        <f aca="false">AC69-AC70</f>
        <v>-40.8428039707709</v>
      </c>
    </row>
    <row r="72" customFormat="false" ht="11.25" hidden="false" customHeight="false" outlineLevel="0" collapsed="false">
      <c r="C72" s="172"/>
      <c r="D72" s="417"/>
      <c r="E72" s="417"/>
      <c r="F72" s="417"/>
      <c r="G72" s="417"/>
      <c r="H72" s="418"/>
      <c r="I72" s="417"/>
      <c r="J72" s="417"/>
      <c r="K72" s="417"/>
      <c r="L72" s="417"/>
      <c r="M72" s="417"/>
      <c r="N72" s="417"/>
      <c r="O72" s="417"/>
      <c r="P72" s="417"/>
      <c r="Q72" s="417"/>
      <c r="R72" s="417"/>
      <c r="S72" s="417"/>
      <c r="T72" s="417"/>
      <c r="U72" s="417"/>
      <c r="V72" s="417"/>
      <c r="W72" s="417"/>
      <c r="X72" s="417"/>
      <c r="Y72" s="417"/>
      <c r="Z72" s="417"/>
      <c r="AA72" s="417"/>
      <c r="AB72" s="417"/>
      <c r="AC72" s="417"/>
      <c r="AG72" s="332" t="b">
        <f aca="false">FALSE()</f>
        <v>0</v>
      </c>
    </row>
    <row r="73" customFormat="false" ht="11.25" hidden="false" customHeight="false" outlineLevel="0" collapsed="false">
      <c r="A73" s="43" t="s">
        <v>655</v>
      </c>
      <c r="C73" s="172"/>
      <c r="D73" s="417"/>
      <c r="E73" s="417" t="n">
        <f aca="false">E940</f>
        <v>0</v>
      </c>
      <c r="F73" s="417" t="n">
        <f aca="false">F940</f>
        <v>0</v>
      </c>
      <c r="G73" s="417" t="n">
        <f aca="false">G940</f>
        <v>0</v>
      </c>
      <c r="H73" s="418" t="n">
        <f aca="false">H940</f>
        <v>0</v>
      </c>
      <c r="I73" s="417" t="n">
        <f aca="false">I940</f>
        <v>0</v>
      </c>
      <c r="J73" s="417" t="n">
        <f aca="false">J940</f>
        <v>0</v>
      </c>
      <c r="K73" s="417" t="n">
        <f aca="false">K940</f>
        <v>0</v>
      </c>
      <c r="L73" s="417" t="n">
        <f aca="false">L940</f>
        <v>0</v>
      </c>
      <c r="M73" s="417" t="n">
        <f aca="false">M940</f>
        <v>0</v>
      </c>
      <c r="N73" s="417" t="n">
        <f aca="false">N940</f>
        <v>0</v>
      </c>
      <c r="O73" s="417" t="n">
        <f aca="false">O940</f>
        <v>0</v>
      </c>
      <c r="P73" s="417" t="n">
        <f aca="false">P940</f>
        <v>0</v>
      </c>
      <c r="Q73" s="417" t="n">
        <f aca="false">Q940</f>
        <v>0</v>
      </c>
      <c r="R73" s="417" t="n">
        <f aca="false">R940</f>
        <v>0</v>
      </c>
      <c r="S73" s="417" t="n">
        <f aca="false">S940</f>
        <v>0</v>
      </c>
      <c r="T73" s="417" t="n">
        <f aca="false">T940</f>
        <v>0</v>
      </c>
      <c r="U73" s="417" t="n">
        <f aca="false">U940</f>
        <v>0</v>
      </c>
      <c r="V73" s="417" t="n">
        <f aca="false">V940</f>
        <v>0</v>
      </c>
      <c r="W73" s="417" t="n">
        <f aca="false">W940</f>
        <v>0</v>
      </c>
      <c r="X73" s="417" t="n">
        <f aca="false">X940</f>
        <v>0</v>
      </c>
      <c r="Y73" s="417" t="n">
        <f aca="false">Y940</f>
        <v>0</v>
      </c>
      <c r="Z73" s="417" t="n">
        <f aca="false">Z940</f>
        <v>0</v>
      </c>
      <c r="AA73" s="417" t="n">
        <f aca="false">AA940</f>
        <v>0</v>
      </c>
      <c r="AB73" s="417" t="n">
        <f aca="false">AB940</f>
        <v>0</v>
      </c>
      <c r="AC73" s="417" t="n">
        <f aca="false">AC940</f>
        <v>0</v>
      </c>
      <c r="AG73" s="332" t="b">
        <f aca="false">FALSE()</f>
        <v>0</v>
      </c>
    </row>
    <row r="74" customFormat="false" ht="11.25" hidden="false" customHeight="false" outlineLevel="0" collapsed="false">
      <c r="A74" s="307" t="s">
        <v>616</v>
      </c>
      <c r="C74" s="172"/>
      <c r="D74" s="417"/>
      <c r="E74" s="419" t="n">
        <f aca="false">E71-E73</f>
        <v>0</v>
      </c>
      <c r="F74" s="419" t="n">
        <f aca="false">F71-F73</f>
        <v>0</v>
      </c>
      <c r="G74" s="419" t="n">
        <f aca="false">G71-G73</f>
        <v>0</v>
      </c>
      <c r="H74" s="420" t="n">
        <f aca="false">H71-H73</f>
        <v>0</v>
      </c>
      <c r="I74" s="419" t="n">
        <f aca="false">I71-I73</f>
        <v>-478.405829722169</v>
      </c>
      <c r="J74" s="419" t="n">
        <f aca="false">J71-J73</f>
        <v>-1099.18750394434</v>
      </c>
      <c r="K74" s="419" t="n">
        <f aca="false">K71-K73</f>
        <v>-1029.19522792534</v>
      </c>
      <c r="L74" s="419" t="n">
        <f aca="false">L71-L73</f>
        <v>-976.491745166355</v>
      </c>
      <c r="M74" s="419" t="n">
        <f aca="false">M71-M73</f>
        <v>-918.053337924344</v>
      </c>
      <c r="N74" s="419" t="n">
        <f aca="false">N71-N73</f>
        <v>-845.734802591897</v>
      </c>
      <c r="O74" s="419" t="n">
        <f aca="false">O71-O73</f>
        <v>-745.418705879542</v>
      </c>
      <c r="P74" s="419" t="n">
        <f aca="false">P71-P73</f>
        <v>-646.496911499788</v>
      </c>
      <c r="Q74" s="419" t="n">
        <f aca="false">Q71-Q73</f>
        <v>-578.443760780117</v>
      </c>
      <c r="R74" s="419" t="n">
        <f aca="false">R71-R73</f>
        <v>-504.071140711299</v>
      </c>
      <c r="S74" s="419" t="n">
        <f aca="false">S71-S73</f>
        <v>-417.43197737984</v>
      </c>
      <c r="T74" s="419" t="n">
        <f aca="false">T71-T73</f>
        <v>-356.977986537322</v>
      </c>
      <c r="U74" s="419" t="n">
        <f aca="false">U71-U73</f>
        <v>-305.625525296994</v>
      </c>
      <c r="V74" s="419" t="n">
        <f aca="false">V71-V73</f>
        <v>-258.040639792245</v>
      </c>
      <c r="W74" s="419" t="n">
        <f aca="false">W71-W73</f>
        <v>-198.443663346487</v>
      </c>
      <c r="X74" s="419" t="n">
        <f aca="false">X71-X73</f>
        <v>-164.6599102117</v>
      </c>
      <c r="Y74" s="419" t="n">
        <f aca="false">Y71-Y73</f>
        <v>-119.215963049126</v>
      </c>
      <c r="Z74" s="419" t="n">
        <f aca="false">Z71-Z73</f>
        <v>-84.0023737323285</v>
      </c>
      <c r="AA74" s="419" t="n">
        <f aca="false">AA71-AA73</f>
        <v>-64.242270065354</v>
      </c>
      <c r="AB74" s="419" t="n">
        <f aca="false">AB71-AB73</f>
        <v>-49.4240716797637</v>
      </c>
      <c r="AC74" s="419" t="n">
        <f aca="false">AC71-AC73</f>
        <v>-40.8428039707709</v>
      </c>
      <c r="AG74" s="332" t="b">
        <f aca="false">FALSE()</f>
        <v>0</v>
      </c>
    </row>
    <row r="75" customFormat="false" ht="11.25" hidden="false" customHeight="false" outlineLevel="0" collapsed="false">
      <c r="C75" s="172"/>
      <c r="D75" s="417"/>
      <c r="E75" s="417"/>
      <c r="F75" s="417"/>
      <c r="G75" s="417"/>
      <c r="H75" s="418"/>
      <c r="I75" s="417"/>
      <c r="J75" s="417"/>
      <c r="K75" s="417"/>
      <c r="L75" s="417"/>
      <c r="M75" s="417"/>
      <c r="N75" s="417"/>
      <c r="O75" s="417"/>
      <c r="P75" s="417"/>
      <c r="Q75" s="417"/>
      <c r="R75" s="417"/>
      <c r="S75" s="417"/>
      <c r="T75" s="417"/>
      <c r="U75" s="417"/>
      <c r="V75" s="417"/>
      <c r="W75" s="417"/>
      <c r="X75" s="417"/>
      <c r="Y75" s="417"/>
      <c r="Z75" s="417"/>
      <c r="AA75" s="417"/>
      <c r="AB75" s="417"/>
      <c r="AC75" s="417"/>
      <c r="AG75" s="332" t="b">
        <f aca="false">FALSE()</f>
        <v>0</v>
      </c>
    </row>
    <row r="76" customFormat="false" ht="11.25" hidden="false" customHeight="false" outlineLevel="0" collapsed="false">
      <c r="A76" s="35" t="s">
        <v>656</v>
      </c>
      <c r="C76" s="172"/>
      <c r="D76" s="417"/>
      <c r="E76" s="417" t="n">
        <f aca="false">E945+E954</f>
        <v>0</v>
      </c>
      <c r="F76" s="417" t="n">
        <f aca="false">F945+F954</f>
        <v>0</v>
      </c>
      <c r="G76" s="417" t="n">
        <f aca="false">G945+G954</f>
        <v>0</v>
      </c>
      <c r="H76" s="418" t="n">
        <f aca="false">H945+H954</f>
        <v>0</v>
      </c>
      <c r="I76" s="417" t="n">
        <f aca="false">I945+I954+I607</f>
        <v>0</v>
      </c>
      <c r="J76" s="417" t="n">
        <f aca="false">J945+J954+J607</f>
        <v>0</v>
      </c>
      <c r="K76" s="417" t="n">
        <f aca="false">K945+K954+K607</f>
        <v>0</v>
      </c>
      <c r="L76" s="417" t="n">
        <f aca="false">L945+L954+L607</f>
        <v>0</v>
      </c>
      <c r="M76" s="417" t="n">
        <f aca="false">M945+M954+M607</f>
        <v>0</v>
      </c>
      <c r="N76" s="417" t="n">
        <f aca="false">N945+N954+N607</f>
        <v>0</v>
      </c>
      <c r="O76" s="417" t="n">
        <f aca="false">O945+O954+O607</f>
        <v>4.37940610692124</v>
      </c>
      <c r="P76" s="417" t="n">
        <f aca="false">P945+P954+P607</f>
        <v>4.73479130132525</v>
      </c>
      <c r="Q76" s="417" t="n">
        <f aca="false">Q945+Q954+Q607</f>
        <v>7.10183406065871</v>
      </c>
      <c r="R76" s="417" t="n">
        <f aca="false">R945+R954+R607</f>
        <v>6.06029350365411</v>
      </c>
      <c r="S76" s="417" t="n">
        <f aca="false">S945+S954+S607</f>
        <v>5.13462160166333</v>
      </c>
      <c r="T76" s="417" t="n">
        <f aca="false">T945+T954+T607</f>
        <v>4.31369340045704</v>
      </c>
      <c r="U76" s="417" t="n">
        <f aca="false">U945+U954+U607</f>
        <v>3.61604708594512</v>
      </c>
      <c r="V76" s="417" t="n">
        <f aca="false">V945+V954+V607</f>
        <v>2.96902765639283</v>
      </c>
      <c r="W76" s="417" t="n">
        <f aca="false">W945+W954+W607</f>
        <v>2.43484435655219</v>
      </c>
      <c r="X76" s="417" t="n">
        <f aca="false">X945+X954+X607</f>
        <v>1.9752031273748</v>
      </c>
      <c r="Y76" s="417" t="n">
        <f aca="false">Y945+Y954+Y607</f>
        <v>1.55663930896327</v>
      </c>
      <c r="Z76" s="417" t="n">
        <f aca="false">Z945+Z954+Z607</f>
        <v>1.14351365103143</v>
      </c>
      <c r="AA76" s="417" t="n">
        <f aca="false">AA945+AA954+AA607</f>
        <v>0.874427280159617</v>
      </c>
      <c r="AB76" s="417" t="n">
        <f aca="false">AB945+AB954+AB607</f>
        <v>0.672671998471635</v>
      </c>
      <c r="AC76" s="417" t="n">
        <f aca="false">AC945+AC954+AC607</f>
        <v>0.555985560429433</v>
      </c>
      <c r="AG76" s="332" t="b">
        <f aca="false">FALSE()</f>
        <v>0</v>
      </c>
    </row>
    <row r="77" customFormat="false" ht="11.25" hidden="false" customHeight="false" outlineLevel="0" collapsed="false">
      <c r="A77" s="35" t="str">
        <f aca="false">A590</f>
        <v>Amortization   -  Transaction Fees</v>
      </c>
      <c r="C77" s="172"/>
      <c r="D77" s="417"/>
      <c r="E77" s="417" t="n">
        <f aca="false">E590</f>
        <v>0</v>
      </c>
      <c r="F77" s="417" t="n">
        <f aca="false">F590</f>
        <v>0</v>
      </c>
      <c r="G77" s="417" t="n">
        <f aca="false">G590</f>
        <v>0</v>
      </c>
      <c r="H77" s="418" t="n">
        <f aca="false">H590</f>
        <v>0</v>
      </c>
      <c r="I77" s="417" t="n">
        <f aca="false">I590</f>
        <v>0</v>
      </c>
      <c r="J77" s="417" t="n">
        <f aca="false">J590</f>
        <v>0</v>
      </c>
      <c r="K77" s="417" t="n">
        <f aca="false">K590</f>
        <v>0</v>
      </c>
      <c r="L77" s="417" t="n">
        <f aca="false">L590</f>
        <v>0</v>
      </c>
      <c r="M77" s="417" t="n">
        <f aca="false">M590</f>
        <v>0</v>
      </c>
      <c r="N77" s="417" t="n">
        <f aca="false">N590</f>
        <v>0</v>
      </c>
      <c r="O77" s="417" t="n">
        <f aca="false">O590</f>
        <v>0</v>
      </c>
      <c r="P77" s="417" t="n">
        <f aca="false">P590</f>
        <v>0</v>
      </c>
      <c r="Q77" s="417" t="n">
        <f aca="false">Q590</f>
        <v>0</v>
      </c>
      <c r="R77" s="417" t="n">
        <f aca="false">R590</f>
        <v>0</v>
      </c>
      <c r="S77" s="417" t="n">
        <f aca="false">S590</f>
        <v>0</v>
      </c>
      <c r="T77" s="417" t="n">
        <f aca="false">T590</f>
        <v>0</v>
      </c>
      <c r="U77" s="417" t="n">
        <f aca="false">U590</f>
        <v>0</v>
      </c>
      <c r="V77" s="417" t="n">
        <f aca="false">V590</f>
        <v>0</v>
      </c>
      <c r="W77" s="417" t="n">
        <f aca="false">W590</f>
        <v>0</v>
      </c>
      <c r="X77" s="417" t="n">
        <f aca="false">X590</f>
        <v>0</v>
      </c>
      <c r="Y77" s="417" t="n">
        <f aca="false">Y590</f>
        <v>0</v>
      </c>
      <c r="Z77" s="417" t="n">
        <f aca="false">Z590</f>
        <v>0</v>
      </c>
      <c r="AA77" s="417" t="n">
        <f aca="false">AA590</f>
        <v>0</v>
      </c>
      <c r="AB77" s="417" t="n">
        <f aca="false">AB590</f>
        <v>0</v>
      </c>
      <c r="AC77" s="417" t="n">
        <f aca="false">AC590</f>
        <v>0</v>
      </c>
      <c r="AG77" s="332" t="b">
        <f aca="false">FALSE()</f>
        <v>0</v>
      </c>
    </row>
    <row r="78" customFormat="false" ht="11.25" hidden="false" customHeight="false" outlineLevel="0" collapsed="false">
      <c r="A78" s="35" t="s">
        <v>657</v>
      </c>
      <c r="C78" s="172"/>
      <c r="D78" s="417"/>
      <c r="E78" s="417" t="n">
        <f aca="false">E589+E588</f>
        <v>0</v>
      </c>
      <c r="F78" s="417" t="n">
        <f aca="false">F589+F588</f>
        <v>0</v>
      </c>
      <c r="G78" s="417" t="n">
        <f aca="false">G587+G588</f>
        <v>0</v>
      </c>
      <c r="H78" s="418" t="n">
        <f aca="false">H589+H588</f>
        <v>0</v>
      </c>
      <c r="I78" s="417" t="n">
        <f aca="false">I589+I588</f>
        <v>0</v>
      </c>
      <c r="J78" s="417" t="n">
        <f aca="false">J589+J588</f>
        <v>0</v>
      </c>
      <c r="K78" s="417" t="n">
        <f aca="false">K589+K588</f>
        <v>0</v>
      </c>
      <c r="L78" s="417" t="n">
        <f aca="false">L589+L588</f>
        <v>0</v>
      </c>
      <c r="M78" s="417" t="n">
        <f aca="false">M589+M588</f>
        <v>0</v>
      </c>
      <c r="N78" s="417" t="n">
        <f aca="false">N589+N588</f>
        <v>0</v>
      </c>
      <c r="O78" s="417" t="n">
        <f aca="false">O589+O588</f>
        <v>0</v>
      </c>
      <c r="P78" s="417" t="n">
        <f aca="false">P589+P588</f>
        <v>0</v>
      </c>
      <c r="Q78" s="417" t="n">
        <f aca="false">Q589+Q588</f>
        <v>0</v>
      </c>
      <c r="R78" s="417" t="n">
        <f aca="false">R589+R588</f>
        <v>0</v>
      </c>
      <c r="S78" s="417" t="n">
        <f aca="false">S589+S588</f>
        <v>0</v>
      </c>
      <c r="T78" s="417" t="n">
        <f aca="false">T589+T588</f>
        <v>0</v>
      </c>
      <c r="U78" s="417" t="n">
        <f aca="false">U589+U588</f>
        <v>0</v>
      </c>
      <c r="V78" s="417" t="n">
        <f aca="false">V589+V588</f>
        <v>0</v>
      </c>
      <c r="W78" s="417" t="n">
        <f aca="false">W589+W588</f>
        <v>0</v>
      </c>
      <c r="X78" s="417" t="n">
        <f aca="false">X589+X588</f>
        <v>0</v>
      </c>
      <c r="Y78" s="417" t="n">
        <f aca="false">Y589+Y588</f>
        <v>0</v>
      </c>
      <c r="Z78" s="417" t="n">
        <f aca="false">Z589+Z588</f>
        <v>0</v>
      </c>
      <c r="AA78" s="417" t="n">
        <f aca="false">AA589+AA588</f>
        <v>0</v>
      </c>
      <c r="AB78" s="417" t="n">
        <f aca="false">AB589+AB588</f>
        <v>0</v>
      </c>
      <c r="AC78" s="417" t="n">
        <f aca="false">AC589+AC588</f>
        <v>0</v>
      </c>
      <c r="AG78" s="332" t="b">
        <f aca="false">FALSE()</f>
        <v>0</v>
      </c>
    </row>
    <row r="79" customFormat="false" ht="11.25" hidden="false" customHeight="false" outlineLevel="0" collapsed="false">
      <c r="A79" s="35" t="str">
        <f aca="false">A591</f>
        <v>Amortization   -  Intangibles (from operating sheet)</v>
      </c>
      <c r="C79" s="172"/>
      <c r="D79" s="417"/>
      <c r="E79" s="417" t="n">
        <f aca="false">E948</f>
        <v>0</v>
      </c>
      <c r="F79" s="417" t="n">
        <f aca="false">F948</f>
        <v>0</v>
      </c>
      <c r="G79" s="417" t="n">
        <f aca="false">G948</f>
        <v>0</v>
      </c>
      <c r="H79" s="418" t="n">
        <f aca="false">H948</f>
        <v>0</v>
      </c>
      <c r="I79" s="417" t="n">
        <f aca="false">I948</f>
        <v>0</v>
      </c>
      <c r="J79" s="417" t="n">
        <f aca="false">J948</f>
        <v>0</v>
      </c>
      <c r="K79" s="417" t="n">
        <f aca="false">K948</f>
        <v>0</v>
      </c>
      <c r="L79" s="417" t="n">
        <f aca="false">L948</f>
        <v>0</v>
      </c>
      <c r="M79" s="417" t="n">
        <f aca="false">M948</f>
        <v>0</v>
      </c>
      <c r="N79" s="417" t="n">
        <f aca="false">N948</f>
        <v>0</v>
      </c>
      <c r="O79" s="417" t="n">
        <f aca="false">O948</f>
        <v>0</v>
      </c>
      <c r="P79" s="417" t="n">
        <f aca="false">P948</f>
        <v>0</v>
      </c>
      <c r="Q79" s="417" t="n">
        <f aca="false">Q948</f>
        <v>0</v>
      </c>
      <c r="R79" s="417" t="n">
        <f aca="false">R948</f>
        <v>0</v>
      </c>
      <c r="S79" s="417" t="n">
        <f aca="false">S948</f>
        <v>0</v>
      </c>
      <c r="T79" s="417" t="n">
        <f aca="false">T948</f>
        <v>0</v>
      </c>
      <c r="U79" s="417" t="n">
        <f aca="false">U948</f>
        <v>0</v>
      </c>
      <c r="V79" s="417" t="n">
        <f aca="false">V948</f>
        <v>0</v>
      </c>
      <c r="W79" s="417" t="n">
        <f aca="false">W948</f>
        <v>0</v>
      </c>
      <c r="X79" s="417" t="n">
        <f aca="false">X948</f>
        <v>0</v>
      </c>
      <c r="Y79" s="417" t="n">
        <f aca="false">Y948</f>
        <v>0</v>
      </c>
      <c r="Z79" s="417" t="n">
        <f aca="false">Z948</f>
        <v>0</v>
      </c>
      <c r="AA79" s="417" t="n">
        <f aca="false">AA948</f>
        <v>0</v>
      </c>
      <c r="AB79" s="417" t="n">
        <f aca="false">AB948</f>
        <v>0</v>
      </c>
      <c r="AC79" s="417" t="n">
        <f aca="false">AC948</f>
        <v>0</v>
      </c>
      <c r="AG79" s="332" t="b">
        <f aca="false">FALSE()</f>
        <v>0</v>
      </c>
    </row>
    <row r="80" customFormat="false" ht="11.25" hidden="false" customHeight="false" outlineLevel="0" collapsed="false">
      <c r="A80" s="43" t="s">
        <v>658</v>
      </c>
      <c r="B80" s="43"/>
      <c r="C80" s="172"/>
      <c r="H80" s="421"/>
      <c r="I80" s="35" t="n">
        <f aca="false">I501+I632</f>
        <v>0</v>
      </c>
      <c r="J80" s="35" t="n">
        <f aca="false">J501+J632</f>
        <v>0</v>
      </c>
      <c r="K80" s="35" t="n">
        <f aca="false">K501+K632</f>
        <v>0</v>
      </c>
      <c r="L80" s="35" t="n">
        <f aca="false">L501+L632</f>
        <v>0</v>
      </c>
      <c r="M80" s="35" t="n">
        <f aca="false">M501+M632</f>
        <v>0</v>
      </c>
      <c r="N80" s="35" t="n">
        <f aca="false">N501+N632</f>
        <v>0</v>
      </c>
      <c r="O80" s="35" t="n">
        <f aca="false">O501+O632</f>
        <v>0</v>
      </c>
      <c r="P80" s="35" t="n">
        <f aca="false">P501+P632</f>
        <v>0</v>
      </c>
      <c r="Q80" s="35" t="n">
        <f aca="false">Q501+Q632</f>
        <v>0</v>
      </c>
      <c r="R80" s="35" t="n">
        <f aca="false">R501+R632</f>
        <v>0</v>
      </c>
      <c r="S80" s="35" t="n">
        <f aca="false">S501+S632</f>
        <v>0</v>
      </c>
      <c r="T80" s="35" t="n">
        <f aca="false">T501+T632</f>
        <v>0</v>
      </c>
      <c r="U80" s="35" t="n">
        <f aca="false">U501+U632</f>
        <v>0</v>
      </c>
      <c r="V80" s="35" t="n">
        <f aca="false">V501+V632</f>
        <v>0</v>
      </c>
      <c r="W80" s="35" t="n">
        <f aca="false">W501+W632</f>
        <v>0</v>
      </c>
      <c r="X80" s="35" t="n">
        <f aca="false">X501+X632</f>
        <v>0</v>
      </c>
      <c r="Y80" s="35" t="n">
        <f aca="false">Y501+Y632</f>
        <v>0</v>
      </c>
      <c r="Z80" s="35" t="n">
        <f aca="false">Z501+Z632</f>
        <v>0</v>
      </c>
      <c r="AA80" s="35" t="n">
        <f aca="false">AA501+AA632</f>
        <v>0</v>
      </c>
      <c r="AB80" s="35" t="n">
        <f aca="false">AB501+AB632</f>
        <v>0</v>
      </c>
      <c r="AC80" s="35" t="n">
        <f aca="false">AC501+AC632</f>
        <v>0</v>
      </c>
    </row>
    <row r="81" customFormat="false" ht="11.25" hidden="false" customHeight="false" outlineLevel="0" collapsed="false">
      <c r="A81" s="43" t="s">
        <v>659</v>
      </c>
      <c r="B81" s="43"/>
      <c r="C81" s="172"/>
      <c r="E81" s="158" t="n">
        <f aca="false">SUM(E76:E80)</f>
        <v>0</v>
      </c>
      <c r="F81" s="158" t="n">
        <f aca="false">SUM(F76:F80)</f>
        <v>0</v>
      </c>
      <c r="G81" s="158" t="n">
        <f aca="false">SUM(G76:G80)</f>
        <v>0</v>
      </c>
      <c r="H81" s="422" t="n">
        <f aca="false">SUM(H76:H80)</f>
        <v>0</v>
      </c>
      <c r="I81" s="158" t="n">
        <f aca="false">SUM(I76:I80)</f>
        <v>0</v>
      </c>
      <c r="J81" s="158" t="n">
        <f aca="false">SUM(J76:J80)</f>
        <v>0</v>
      </c>
      <c r="K81" s="158" t="n">
        <f aca="false">SUM(K76:K80)</f>
        <v>0</v>
      </c>
      <c r="L81" s="158" t="n">
        <f aca="false">SUM(L76:L80)</f>
        <v>0</v>
      </c>
      <c r="M81" s="158" t="n">
        <f aca="false">SUM(M76:M80)</f>
        <v>0</v>
      </c>
      <c r="N81" s="158" t="n">
        <f aca="false">SUM(N76:N80)</f>
        <v>0</v>
      </c>
      <c r="O81" s="158" t="n">
        <f aca="false">SUM(O76:O80)</f>
        <v>4.37940610692124</v>
      </c>
      <c r="P81" s="158" t="n">
        <f aca="false">SUM(P76:P80)</f>
        <v>4.73479130132525</v>
      </c>
      <c r="Q81" s="158" t="n">
        <f aca="false">SUM(Q76:Q80)</f>
        <v>7.10183406065871</v>
      </c>
      <c r="R81" s="158" t="n">
        <f aca="false">SUM(R76:R80)</f>
        <v>6.06029350365411</v>
      </c>
      <c r="S81" s="158" t="n">
        <f aca="false">SUM(S76:S80)</f>
        <v>5.13462160166333</v>
      </c>
      <c r="T81" s="158" t="n">
        <f aca="false">SUM(T76:T80)</f>
        <v>4.31369340045704</v>
      </c>
      <c r="U81" s="158" t="n">
        <f aca="false">SUM(U76:U80)</f>
        <v>3.61604708594512</v>
      </c>
      <c r="V81" s="158" t="n">
        <f aca="false">SUM(V76:V80)</f>
        <v>2.96902765639283</v>
      </c>
      <c r="W81" s="158" t="n">
        <f aca="false">SUM(W76:W80)</f>
        <v>2.43484435655219</v>
      </c>
      <c r="X81" s="158" t="n">
        <f aca="false">SUM(X76:X80)</f>
        <v>1.9752031273748</v>
      </c>
      <c r="Y81" s="158" t="n">
        <f aca="false">SUM(Y76:Y80)</f>
        <v>1.55663930896327</v>
      </c>
      <c r="Z81" s="158" t="n">
        <f aca="false">SUM(Z76:Z80)</f>
        <v>1.14351365103143</v>
      </c>
      <c r="AA81" s="158" t="n">
        <f aca="false">SUM(AA76:AA80)</f>
        <v>0.874427280159617</v>
      </c>
      <c r="AB81" s="158" t="n">
        <f aca="false">SUM(AB76:AB80)</f>
        <v>0.672671998471635</v>
      </c>
      <c r="AC81" s="158" t="n">
        <f aca="false">SUM(AC76:AC80)</f>
        <v>0.555985560429433</v>
      </c>
    </row>
    <row r="82" customFormat="false" ht="11.25" hidden="false" customHeight="false" outlineLevel="0" collapsed="false">
      <c r="A82" s="43"/>
      <c r="B82" s="43"/>
      <c r="C82" s="172"/>
      <c r="E82" s="149"/>
      <c r="F82" s="149"/>
      <c r="G82" s="149"/>
      <c r="H82" s="421"/>
      <c r="I82" s="149"/>
      <c r="J82" s="149"/>
      <c r="K82" s="149"/>
      <c r="L82" s="149"/>
      <c r="M82" s="149"/>
      <c r="N82" s="149"/>
      <c r="O82" s="149"/>
      <c r="P82" s="149"/>
      <c r="Q82" s="149"/>
      <c r="R82" s="149"/>
      <c r="S82" s="149"/>
      <c r="T82" s="149"/>
      <c r="U82" s="149"/>
      <c r="V82" s="149"/>
      <c r="W82" s="149"/>
      <c r="X82" s="149"/>
      <c r="Y82" s="149"/>
      <c r="Z82" s="149"/>
      <c r="AA82" s="149"/>
      <c r="AB82" s="149"/>
      <c r="AC82" s="149"/>
      <c r="AG82" s="332" t="b">
        <f aca="false">FALSE()</f>
        <v>0</v>
      </c>
    </row>
    <row r="83" customFormat="false" ht="11.25" hidden="false" customHeight="false" outlineLevel="0" collapsed="false">
      <c r="A83" s="307" t="s">
        <v>619</v>
      </c>
      <c r="C83" s="172"/>
      <c r="D83" s="417"/>
      <c r="E83" s="419" t="n">
        <f aca="false">E74-E81</f>
        <v>0</v>
      </c>
      <c r="F83" s="419" t="n">
        <f aca="false">F74-F81</f>
        <v>0</v>
      </c>
      <c r="G83" s="419" t="n">
        <f aca="false">G74-G81</f>
        <v>0</v>
      </c>
      <c r="H83" s="420" t="n">
        <f aca="false">H74-H81</f>
        <v>0</v>
      </c>
      <c r="I83" s="419" t="n">
        <f aca="false">I74-I81</f>
        <v>-478.405829722169</v>
      </c>
      <c r="J83" s="419" t="n">
        <f aca="false">J74-J81</f>
        <v>-1099.18750394434</v>
      </c>
      <c r="K83" s="419" t="n">
        <f aca="false">K74-K81</f>
        <v>-1029.19522792534</v>
      </c>
      <c r="L83" s="419" t="n">
        <f aca="false">L74-L81</f>
        <v>-976.491745166355</v>
      </c>
      <c r="M83" s="419" t="n">
        <f aca="false">M74-M81</f>
        <v>-918.053337924344</v>
      </c>
      <c r="N83" s="419" t="n">
        <f aca="false">N74-N81</f>
        <v>-845.734802591897</v>
      </c>
      <c r="O83" s="419" t="n">
        <f aca="false">O74-O81</f>
        <v>-749.798111986464</v>
      </c>
      <c r="P83" s="419" t="n">
        <f aca="false">P74-P81</f>
        <v>-651.231702801113</v>
      </c>
      <c r="Q83" s="419" t="n">
        <f aca="false">Q74-Q81</f>
        <v>-585.545594840775</v>
      </c>
      <c r="R83" s="419" t="n">
        <f aca="false">R74-R81</f>
        <v>-510.131434214954</v>
      </c>
      <c r="S83" s="419" t="n">
        <f aca="false">S74-S81</f>
        <v>-422.566598981503</v>
      </c>
      <c r="T83" s="419" t="n">
        <f aca="false">T74-T81</f>
        <v>-361.291679937779</v>
      </c>
      <c r="U83" s="419" t="n">
        <f aca="false">U74-U81</f>
        <v>-309.241572382939</v>
      </c>
      <c r="V83" s="419" t="n">
        <f aca="false">V74-V81</f>
        <v>-261.009667448638</v>
      </c>
      <c r="W83" s="419" t="n">
        <f aca="false">W74-W81</f>
        <v>-200.878507703039</v>
      </c>
      <c r="X83" s="419" t="n">
        <f aca="false">X74-X81</f>
        <v>-166.635113339075</v>
      </c>
      <c r="Y83" s="419" t="n">
        <f aca="false">Y74-Y81</f>
        <v>-120.772602358089</v>
      </c>
      <c r="Z83" s="419" t="n">
        <f aca="false">Z74-Z81</f>
        <v>-85.1458873833599</v>
      </c>
      <c r="AA83" s="419" t="n">
        <f aca="false">AA74-AA81</f>
        <v>-65.1166973455136</v>
      </c>
      <c r="AB83" s="419" t="n">
        <f aca="false">AB74-AB81</f>
        <v>-50.0967436782353</v>
      </c>
      <c r="AC83" s="419" t="n">
        <f aca="false">AC74-AC81</f>
        <v>-41.3987895312003</v>
      </c>
      <c r="AG83" s="332" t="b">
        <f aca="false">FALSE()</f>
        <v>0</v>
      </c>
    </row>
    <row r="84" customFormat="false" ht="11.25" hidden="false" customHeight="false" outlineLevel="0" collapsed="false">
      <c r="C84" s="172"/>
      <c r="D84" s="417"/>
      <c r="E84" s="417"/>
      <c r="F84" s="417"/>
      <c r="G84" s="417"/>
      <c r="H84" s="418"/>
      <c r="I84" s="417"/>
      <c r="J84" s="423"/>
      <c r="K84" s="423"/>
      <c r="L84" s="423"/>
      <c r="M84" s="423"/>
      <c r="N84" s="423"/>
      <c r="O84" s="417"/>
      <c r="P84" s="417"/>
      <c r="Q84" s="417"/>
      <c r="R84" s="417"/>
      <c r="S84" s="417"/>
      <c r="T84" s="417"/>
      <c r="U84" s="417"/>
      <c r="V84" s="417"/>
      <c r="W84" s="417"/>
      <c r="X84" s="417"/>
      <c r="Y84" s="417"/>
      <c r="Z84" s="417"/>
      <c r="AA84" s="417"/>
      <c r="AB84" s="417"/>
      <c r="AC84" s="417"/>
    </row>
    <row r="85" customFormat="false" ht="11.25" hidden="false" customHeight="false" outlineLevel="0" collapsed="false">
      <c r="A85" s="307" t="s">
        <v>660</v>
      </c>
      <c r="C85" s="172"/>
      <c r="D85" s="417"/>
      <c r="E85" s="417"/>
      <c r="F85" s="417"/>
      <c r="G85" s="417"/>
      <c r="H85" s="418"/>
      <c r="I85" s="417"/>
      <c r="J85" s="417"/>
      <c r="K85" s="417"/>
      <c r="L85" s="417"/>
      <c r="M85" s="417"/>
      <c r="N85" s="417"/>
      <c r="O85" s="417"/>
      <c r="P85" s="417"/>
      <c r="Q85" s="417"/>
      <c r="R85" s="417"/>
      <c r="S85" s="417"/>
      <c r="T85" s="417"/>
      <c r="U85" s="417"/>
      <c r="V85" s="417"/>
      <c r="W85" s="417"/>
      <c r="X85" s="417"/>
      <c r="Y85" s="417"/>
      <c r="Z85" s="417"/>
      <c r="AA85" s="417"/>
      <c r="AB85" s="417"/>
      <c r="AC85" s="417"/>
      <c r="AG85" s="332" t="b">
        <f aca="false">FALSE()</f>
        <v>0</v>
      </c>
    </row>
    <row r="86" customFormat="false" ht="11.25" hidden="false" customHeight="false" outlineLevel="0" collapsed="false">
      <c r="A86" s="43" t="s">
        <v>661</v>
      </c>
      <c r="C86" s="67"/>
      <c r="D86" s="172"/>
      <c r="E86" s="417" t="n">
        <f aca="false">E575</f>
        <v>0</v>
      </c>
      <c r="F86" s="417" t="n">
        <f aca="false">F575</f>
        <v>184.623</v>
      </c>
      <c r="G86" s="417" t="n">
        <f aca="false">G575</f>
        <v>134.18</v>
      </c>
      <c r="H86" s="418" t="n">
        <f aca="false">H575</f>
        <v>40.479</v>
      </c>
      <c r="I86" s="417" t="e">
        <f aca="false">IF($E$574="YES",I575*(((I162-H450)+(I168-I450))/2),0)*C328</f>
        <v>#VALUE!</v>
      </c>
      <c r="J86" s="417" t="e">
        <f aca="false">IF($E$574="YES",J575*(((J162-I450)+(J168-J450))/2),0)</f>
        <v>#VALUE!</v>
      </c>
      <c r="K86" s="417" t="e">
        <f aca="false">IF($E$574="YES",K575*(((K162-J450)+(K168-K450))/2),0)</f>
        <v>#VALUE!</v>
      </c>
      <c r="L86" s="417" t="e">
        <f aca="false">IF($E$574="YES",L575*(((L162-K450)+(L168-L450))/2),0)</f>
        <v>#VALUE!</v>
      </c>
      <c r="M86" s="417" t="e">
        <f aca="false">IF($E$574="YES",M575*(((M162-L450)+(M168-M450))/2),0)</f>
        <v>#VALUE!</v>
      </c>
      <c r="N86" s="417" t="e">
        <f aca="false">IF($E$574="YES",N575*(((N162-M450)+(N168-N450))/2),0)</f>
        <v>#VALUE!</v>
      </c>
      <c r="O86" s="417" t="e">
        <f aca="false">IF($E$574="YES",O575*(((O162-N450)+(O168-O450))/2),0)</f>
        <v>#VALUE!</v>
      </c>
      <c r="P86" s="417" t="e">
        <f aca="false">IF($E$574="YES",P575*(((P162-O450)+(P168-P450))/2),0)</f>
        <v>#VALUE!</v>
      </c>
      <c r="Q86" s="417" t="e">
        <f aca="false">IF($E$574="YES",Q575*(((Q162-P450)+(Q168-Q450))/2),0)</f>
        <v>#VALUE!</v>
      </c>
      <c r="R86" s="417" t="e">
        <f aca="false">IF($E$574="YES",R575*(((R162-Q450)+(R168-R450))/2),0)</f>
        <v>#VALUE!</v>
      </c>
      <c r="S86" s="417" t="e">
        <f aca="false">IF($E$574="YES",S575*(((S162-R450)+(S168-S450))/2),0)</f>
        <v>#VALUE!</v>
      </c>
      <c r="T86" s="417" t="e">
        <f aca="false">IF($E$574="YES",T575*(((T162-S450)+(T168-T450))/2),0)</f>
        <v>#VALUE!</v>
      </c>
      <c r="U86" s="417" t="e">
        <f aca="false">IF($E$574="YES",U575*(((U162-T450)+(U168-U450))/2),0)</f>
        <v>#VALUE!</v>
      </c>
      <c r="V86" s="417" t="e">
        <f aca="false">IF($E$574="YES",V575*(((V162-U450)+(V168-V450))/2),0)</f>
        <v>#VALUE!</v>
      </c>
      <c r="W86" s="417" t="e">
        <f aca="false">IF($E$574="YES",W575*(((W162-V450)+(W168-W450))/2),0)</f>
        <v>#VALUE!</v>
      </c>
      <c r="X86" s="417" t="e">
        <f aca="false">IF($E$574="YES",X575*(((X162-W450)+(X168-X450))/2),0)</f>
        <v>#VALUE!</v>
      </c>
      <c r="Y86" s="417" t="e">
        <f aca="false">IF($E$574="YES",Y575*(((Y162-X450)+(Y168-Y450))/2),0)</f>
        <v>#VALUE!</v>
      </c>
      <c r="Z86" s="417" t="e">
        <f aca="false">IF($E$574="YES",Z575*(((Z162-Y450)+(Z168-Z450))/2),0)</f>
        <v>#VALUE!</v>
      </c>
      <c r="AA86" s="417" t="e">
        <f aca="false">IF($E$574="YES",AA575*(((AA162-Z450)+(AA168-AA450))/2),0)</f>
        <v>#VALUE!</v>
      </c>
      <c r="AB86" s="417" t="e">
        <f aca="false">IF($E$574="YES",AB575*(((AB162-AA450)+(AB168-AB450))/2),0)</f>
        <v>#VALUE!</v>
      </c>
      <c r="AC86" s="417" t="e">
        <f aca="false">IF($E$574="YES",AC575*(((AC162-AB450)+(AC168-AC450))/2),0)</f>
        <v>#VALUE!</v>
      </c>
    </row>
    <row r="87" customFormat="false" ht="11.25" hidden="false" customHeight="false" outlineLevel="0" collapsed="false">
      <c r="A87" s="35" t="str">
        <f aca="false">A596</f>
        <v>Other Income (excluding interest income)</v>
      </c>
      <c r="C87" s="67"/>
      <c r="E87" s="35" t="n">
        <f aca="false">E596</f>
        <v>0</v>
      </c>
      <c r="F87" s="35" t="n">
        <f aca="false">F596</f>
        <v>0</v>
      </c>
      <c r="G87" s="35" t="n">
        <f aca="false">G596</f>
        <v>0</v>
      </c>
      <c r="H87" s="421" t="n">
        <f aca="false">H596</f>
        <v>0</v>
      </c>
      <c r="I87" s="35" t="n">
        <f aca="false">I596</f>
        <v>0</v>
      </c>
      <c r="J87" s="35" t="n">
        <f aca="false">J596</f>
        <v>0</v>
      </c>
      <c r="K87" s="35" t="n">
        <f aca="false">K596</f>
        <v>0</v>
      </c>
      <c r="L87" s="35" t="n">
        <f aca="false">L596</f>
        <v>0</v>
      </c>
      <c r="M87" s="35" t="n">
        <f aca="false">M596</f>
        <v>0</v>
      </c>
      <c r="N87" s="35" t="n">
        <f aca="false">N596</f>
        <v>0</v>
      </c>
      <c r="O87" s="35" t="n">
        <f aca="false">O596</f>
        <v>0</v>
      </c>
      <c r="P87" s="35" t="n">
        <f aca="false">P596</f>
        <v>0</v>
      </c>
      <c r="Q87" s="35" t="n">
        <f aca="false">Q596</f>
        <v>0</v>
      </c>
      <c r="R87" s="35" t="n">
        <f aca="false">R596</f>
        <v>0</v>
      </c>
      <c r="S87" s="35" t="n">
        <f aca="false">S596</f>
        <v>0</v>
      </c>
      <c r="T87" s="35" t="n">
        <f aca="false">T596</f>
        <v>0</v>
      </c>
      <c r="U87" s="35" t="n">
        <f aca="false">U596</f>
        <v>0</v>
      </c>
      <c r="V87" s="35" t="n">
        <f aca="false">V596</f>
        <v>0</v>
      </c>
      <c r="W87" s="35" t="n">
        <f aca="false">W596</f>
        <v>0</v>
      </c>
      <c r="X87" s="35" t="n">
        <f aca="false">X596</f>
        <v>0</v>
      </c>
      <c r="Y87" s="35" t="n">
        <f aca="false">Y596</f>
        <v>0</v>
      </c>
      <c r="Z87" s="35" t="n">
        <f aca="false">Z596</f>
        <v>0</v>
      </c>
      <c r="AA87" s="35" t="n">
        <f aca="false">AA596</f>
        <v>0</v>
      </c>
      <c r="AB87" s="35" t="n">
        <f aca="false">AB596</f>
        <v>0</v>
      </c>
      <c r="AC87" s="35" t="n">
        <f aca="false">AC596</f>
        <v>0</v>
      </c>
    </row>
    <row r="88" customFormat="false" ht="11.25" hidden="false" customHeight="false" outlineLevel="0" collapsed="false">
      <c r="A88" s="43" t="s">
        <v>662</v>
      </c>
      <c r="C88" s="67"/>
      <c r="H88" s="421"/>
      <c r="I88" s="35" t="e">
        <f aca="false">-(IF(I483-I236&lt;=0,0,I562*(I483-I236))+I563)*C328</f>
        <v>#VALUE!</v>
      </c>
      <c r="J88" s="35" t="e">
        <f aca="false">-(IF(J483-J236&lt;=0,0,J562*(J483-J236))+J563)</f>
        <v>#VALUE!</v>
      </c>
      <c r="K88" s="35" t="e">
        <f aca="false">-(IF(K483-K236&lt;=0,0,K562*(K483-K236))+K563)</f>
        <v>#VALUE!</v>
      </c>
      <c r="L88" s="35" t="e">
        <f aca="false">-(IF(L483-L236&lt;=0,0,L562*(L483-L236))+L563)</f>
        <v>#VALUE!</v>
      </c>
      <c r="M88" s="35" t="e">
        <f aca="false">-(IF(M483-M236&lt;=0,0,M562*(M483-M236))+M563)</f>
        <v>#VALUE!</v>
      </c>
      <c r="N88" s="35" t="e">
        <f aca="false">-(IF(N483-N236&lt;=0,0,N562*(N483-N236))+N563)</f>
        <v>#VALUE!</v>
      </c>
      <c r="O88" s="35" t="e">
        <f aca="false">-(IF(O483-O236&lt;=0,0,O562*(O483-O236))+O563)</f>
        <v>#VALUE!</v>
      </c>
      <c r="P88" s="35" t="e">
        <f aca="false">-(IF(P483-P236&lt;=0,0,P562*(P483-P236))+P563)</f>
        <v>#VALUE!</v>
      </c>
      <c r="Q88" s="35" t="e">
        <f aca="false">-(IF(Q483-Q236&lt;=0,0,Q562*(Q483-Q236))+Q563)</f>
        <v>#VALUE!</v>
      </c>
      <c r="R88" s="35" t="e">
        <f aca="false">-(IF(R483-R236&lt;=0,0,R562*(R483-R236))+R563)</f>
        <v>#VALUE!</v>
      </c>
      <c r="S88" s="35" t="e">
        <f aca="false">-(IF(S483-S236&lt;=0,0,S562*(S483-S236))+S563)</f>
        <v>#VALUE!</v>
      </c>
      <c r="T88" s="35" t="e">
        <f aca="false">-(IF(T483-T236&lt;=0,0,T562*(T483-T236))+T563)</f>
        <v>#VALUE!</v>
      </c>
      <c r="U88" s="35" t="e">
        <f aca="false">-(IF(U483-U236&lt;=0,0,U562*(U483-U236))+U563)</f>
        <v>#VALUE!</v>
      </c>
      <c r="V88" s="35" t="e">
        <f aca="false">-(IF(V483-V236&lt;=0,0,V562*(V483-V236))+V563)</f>
        <v>#VALUE!</v>
      </c>
      <c r="W88" s="35" t="e">
        <f aca="false">-(IF(W483-W236&lt;=0,0,W562*(W483-W236))+W563)</f>
        <v>#VALUE!</v>
      </c>
      <c r="X88" s="35" t="e">
        <f aca="false">-(IF(X483-X236&lt;=0,0,X562*(X483-X236))+X563)</f>
        <v>#VALUE!</v>
      </c>
      <c r="Y88" s="35" t="e">
        <f aca="false">-(IF(Y483-Y236&lt;=0,0,Y562*(Y483-Y236))+Y563)</f>
        <v>#VALUE!</v>
      </c>
      <c r="Z88" s="35" t="e">
        <f aca="false">-(IF(Z483-Z236&lt;=0,0,Z562*(Z483-Z236))+Z563)</f>
        <v>#VALUE!</v>
      </c>
      <c r="AA88" s="35" t="e">
        <f aca="false">-(IF(AA483-AA236&lt;=0,0,AA562*(AA483-AA236))+AA563)</f>
        <v>#VALUE!</v>
      </c>
      <c r="AB88" s="35" t="e">
        <f aca="false">-(IF(AB483-AB236&lt;=0,0,AB562*(AB483-AB236))+AB563)</f>
        <v>#VALUE!</v>
      </c>
      <c r="AC88" s="35" t="e">
        <f aca="false">-(IF(AC483-AC236&lt;=0,0,AC562*(AC483-AC236))+AC563)</f>
        <v>#VALUE!</v>
      </c>
    </row>
    <row r="89" customFormat="false" ht="11.25" hidden="false" customHeight="false" outlineLevel="0" collapsed="false">
      <c r="A89" s="307" t="s">
        <v>663</v>
      </c>
      <c r="C89" s="67"/>
      <c r="E89" s="158" t="n">
        <f aca="false">SUM(E86:E88)</f>
        <v>0</v>
      </c>
      <c r="F89" s="158" t="n">
        <f aca="false">SUM(F86:F88)</f>
        <v>184.623</v>
      </c>
      <c r="G89" s="158" t="n">
        <f aca="false">SUM(G86:G88)</f>
        <v>134.18</v>
      </c>
      <c r="H89" s="422" t="n">
        <f aca="false">SUM(H86:H88)</f>
        <v>40.479</v>
      </c>
      <c r="I89" s="158" t="e">
        <f aca="false">SUM(I86:I88)</f>
        <v>#VALUE!</v>
      </c>
      <c r="J89" s="158" t="e">
        <f aca="false">SUM(J86:J88)</f>
        <v>#VALUE!</v>
      </c>
      <c r="K89" s="158" t="e">
        <f aca="false">SUM(K86:K88)</f>
        <v>#VALUE!</v>
      </c>
      <c r="L89" s="158" t="e">
        <f aca="false">SUM(L86:L88)</f>
        <v>#VALUE!</v>
      </c>
      <c r="M89" s="158" t="e">
        <f aca="false">SUM(M86:M88)</f>
        <v>#VALUE!</v>
      </c>
      <c r="N89" s="158" t="e">
        <f aca="false">SUM(N86:N88)</f>
        <v>#VALUE!</v>
      </c>
      <c r="O89" s="158" t="e">
        <f aca="false">SUM(O86:O88)</f>
        <v>#VALUE!</v>
      </c>
      <c r="P89" s="158" t="e">
        <f aca="false">SUM(P86:P88)</f>
        <v>#VALUE!</v>
      </c>
      <c r="Q89" s="158" t="e">
        <f aca="false">SUM(Q86:Q88)</f>
        <v>#VALUE!</v>
      </c>
      <c r="R89" s="158" t="e">
        <f aca="false">SUM(R86:R88)</f>
        <v>#VALUE!</v>
      </c>
      <c r="S89" s="158" t="e">
        <f aca="false">SUM(S86:S88)</f>
        <v>#VALUE!</v>
      </c>
      <c r="T89" s="158" t="e">
        <f aca="false">SUM(T86:T88)</f>
        <v>#VALUE!</v>
      </c>
      <c r="U89" s="158" t="e">
        <f aca="false">SUM(U86:U88)</f>
        <v>#VALUE!</v>
      </c>
      <c r="V89" s="158" t="e">
        <f aca="false">SUM(V86:V88)</f>
        <v>#VALUE!</v>
      </c>
      <c r="W89" s="158" t="e">
        <f aca="false">SUM(W86:W88)</f>
        <v>#VALUE!</v>
      </c>
      <c r="X89" s="158" t="e">
        <f aca="false">SUM(X86:X88)</f>
        <v>#VALUE!</v>
      </c>
      <c r="Y89" s="158" t="e">
        <f aca="false">SUM(Y86:Y88)</f>
        <v>#VALUE!</v>
      </c>
      <c r="Z89" s="158" t="e">
        <f aca="false">SUM(Z86:Z88)</f>
        <v>#VALUE!</v>
      </c>
      <c r="AA89" s="158" t="e">
        <f aca="false">SUM(AA86:AA88)</f>
        <v>#VALUE!</v>
      </c>
      <c r="AB89" s="158" t="e">
        <f aca="false">SUM(AB86:AB88)</f>
        <v>#VALUE!</v>
      </c>
      <c r="AC89" s="158" t="e">
        <f aca="false">SUM(AC86:AC88)</f>
        <v>#VALUE!</v>
      </c>
    </row>
    <row r="90" customFormat="false" ht="11.25" hidden="false" customHeight="false" outlineLevel="0" collapsed="false">
      <c r="H90" s="421"/>
      <c r="AD90" s="67"/>
      <c r="AE90" s="67"/>
      <c r="AF90" s="67"/>
      <c r="AG90" s="67"/>
    </row>
    <row r="91" customFormat="false" ht="11.25" hidden="false" customHeight="false" outlineLevel="0" collapsed="false">
      <c r="A91" s="307" t="s">
        <v>664</v>
      </c>
      <c r="C91" s="370"/>
      <c r="D91" s="417"/>
      <c r="E91" s="417"/>
      <c r="F91" s="417"/>
      <c r="G91" s="417"/>
      <c r="H91" s="424"/>
      <c r="I91" s="417"/>
      <c r="J91" s="417"/>
      <c r="K91" s="417"/>
      <c r="L91" s="417"/>
      <c r="M91" s="417"/>
      <c r="N91" s="417"/>
      <c r="O91" s="417"/>
      <c r="P91" s="417"/>
      <c r="Q91" s="417"/>
      <c r="R91" s="417"/>
      <c r="S91" s="417"/>
      <c r="T91" s="417"/>
      <c r="U91" s="417"/>
      <c r="V91" s="417"/>
      <c r="W91" s="417"/>
      <c r="X91" s="417"/>
      <c r="Y91" s="417"/>
      <c r="Z91" s="417"/>
      <c r="AA91" s="417"/>
      <c r="AB91" s="417"/>
      <c r="AC91" s="417"/>
    </row>
    <row r="92" customFormat="false" ht="11.25" hidden="false" customHeight="false" outlineLevel="0" collapsed="false">
      <c r="A92" s="43" t="s">
        <v>665</v>
      </c>
      <c r="D92" s="172"/>
      <c r="E92" s="417" t="n">
        <f aca="false">E555+E554</f>
        <v>0</v>
      </c>
      <c r="F92" s="417" t="n">
        <f aca="false">F555+F554</f>
        <v>0</v>
      </c>
      <c r="G92" s="417" t="n">
        <f aca="false">G555+G554</f>
        <v>0</v>
      </c>
      <c r="H92" s="418" t="n">
        <f aca="false">H555+H554</f>
        <v>0</v>
      </c>
      <c r="I92" s="417" t="n">
        <f aca="false">(I554*((I301+I304)/2)+(I554*(I295+I298)/2)+I555*((I307+I310)/2))*C328</f>
        <v>0</v>
      </c>
      <c r="J92" s="417" t="n">
        <f aca="false">(J554*((J301+J304)/2)+(J554*(J295+J298)/2)+J555*((J307+J310)/2))</f>
        <v>0</v>
      </c>
      <c r="K92" s="417" t="n">
        <f aca="false">(K554*((K301+K304)/2)+(K554*(K295+K298)/2)+K555*((K307+K310)/2))</f>
        <v>0</v>
      </c>
      <c r="L92" s="417" t="n">
        <f aca="false">(L554*((L301+L304)/2)+(L554*(L295+L298)/2)+L555*((L307+L310)/2))</f>
        <v>0</v>
      </c>
      <c r="M92" s="417" t="n">
        <f aca="false">(M554*((M301+M304)/2)+(M554*(M295+M298)/2)+M555*((M307+M310)/2))</f>
        <v>0</v>
      </c>
      <c r="N92" s="417" t="n">
        <f aca="false">(N554*((N301+N304)/2)+(N554*(N295+N298)/2)+N555*((N307+N310)/2))</f>
        <v>0</v>
      </c>
      <c r="O92" s="417" t="n">
        <f aca="false">(O554*((O301+O304)/2)+(O554*(O295+O298)/2)+O555*((O307+O310)/2))</f>
        <v>0</v>
      </c>
      <c r="P92" s="417" t="n">
        <f aca="false">(P554*((P301+P304)/2)+(P554*(P295+P298)/2)+P555*((P307+P310)/2))</f>
        <v>0</v>
      </c>
      <c r="Q92" s="417" t="n">
        <f aca="false">(Q554*((Q301+Q304)/2)+(Q554*(Q295+Q298)/2)+Q555*((Q307+Q310)/2))</f>
        <v>0</v>
      </c>
      <c r="R92" s="417" t="n">
        <f aca="false">(R554*((R301+R304)/2)+(R554*(R295+R298)/2)+R555*((R307+R310)/2))</f>
        <v>0</v>
      </c>
      <c r="S92" s="417" t="n">
        <f aca="false">(S554*((S301+S304)/2)+(S554*(S295+S298)/2)+S555*((S307+S310)/2))</f>
        <v>0</v>
      </c>
      <c r="T92" s="417" t="n">
        <f aca="false">(T554*((T301+T304)/2)+(T554*(T295+T298)/2)+T555*((T307+T310)/2))</f>
        <v>0</v>
      </c>
      <c r="U92" s="417" t="n">
        <f aca="false">(U554*((U301+U304)/2)+(U554*(U295+U298)/2)+U555*((U307+U310)/2))</f>
        <v>0</v>
      </c>
      <c r="V92" s="417" t="n">
        <f aca="false">(V554*((V301+V304)/2)+(V554*(V295+V298)/2)+V555*((V307+V310)/2))</f>
        <v>0</v>
      </c>
      <c r="W92" s="417" t="n">
        <f aca="false">(W554*((W301+W304)/2)+(W554*(W295+W298)/2)+W555*((W307+W310)/2))</f>
        <v>0</v>
      </c>
      <c r="X92" s="417" t="n">
        <f aca="false">(X554*((X301+X304)/2)+(X554*(X295+X298)/2)+X555*((X307+X310)/2))</f>
        <v>0</v>
      </c>
      <c r="Y92" s="417" t="n">
        <f aca="false">(Y554*((Y301+Y304)/2)+(Y554*(Y295+Y298)/2)+Y555*((Y307+Y310)/2))</f>
        <v>0</v>
      </c>
      <c r="Z92" s="417" t="n">
        <f aca="false">(Z554*((Z301+Z304)/2)+(Z554*(Z295+Z298)/2)+Z555*((Z307+Z310)/2))</f>
        <v>0</v>
      </c>
      <c r="AA92" s="417" t="n">
        <f aca="false">(AA554*((AA301+AA304)/2)+(AA554*(AA295+AA298)/2)+AA555*((AA307+AA310)/2))</f>
        <v>0</v>
      </c>
      <c r="AB92" s="417" t="n">
        <f aca="false">(AB554*((AB301+AB304)/2)+(AB554*(AB295+AB298)/2)+AB555*((AB307+AB310)/2))</f>
        <v>0</v>
      </c>
      <c r="AC92" s="417" t="n">
        <f aca="false">(AC554*((AC301+AC304)/2)+(AC554*(AC295+AC298)/2)+AC555*((AC307+AC310)/2))</f>
        <v>0</v>
      </c>
    </row>
    <row r="93" customFormat="false" ht="11.25" hidden="false" customHeight="false" outlineLevel="0" collapsed="false">
      <c r="A93" s="43" t="str">
        <f aca="false">B337&amp;" and "&amp;B338</f>
        <v>Revolving Loan and Term Loan</v>
      </c>
      <c r="D93" s="172"/>
      <c r="E93" s="417"/>
      <c r="F93" s="417"/>
      <c r="G93" s="417"/>
      <c r="H93" s="418"/>
      <c r="I93" s="417" t="e">
        <f aca="false">((((I224+I227)/2)*I559)+(((I230+I236)/2)*I560)+(((I241+I245)/2)*I561)+(I491*I560))</f>
        <v>#VALUE!</v>
      </c>
      <c r="J93" s="417" t="e">
        <f aca="false">((((J224+J227)/2)*J559)+(((J230+J236)/2)*J560)+(((J241+J245)/2)*J561)+(J491*J560))</f>
        <v>#N/A</v>
      </c>
      <c r="K93" s="417" t="e">
        <f aca="false">((((K224+K227)/2)*K559)+(((K230+K236)/2)*K560)+(((K241+K245)/2)*K561)+(K491*K560))</f>
        <v>#N/A</v>
      </c>
      <c r="L93" s="417" t="e">
        <f aca="false">((((L224+L227)/2)*L559)+(((L230+L236)/2)*L560)+(((L241+L245)/2)*L561)+(L491*L560))</f>
        <v>#N/A</v>
      </c>
      <c r="M93" s="417" t="e">
        <f aca="false">((((M224+M227)/2)*M559)+(((M230+M236)/2)*M560)+(((M241+M245)/2)*M561)+(M491*M560))</f>
        <v>#N/A</v>
      </c>
      <c r="N93" s="417" t="e">
        <f aca="false">((((N224+N227)/2)*N559)+(((N230+N236)/2)*N560)+(((N241+N245)/2)*N561)+(N491*N560))</f>
        <v>#N/A</v>
      </c>
      <c r="O93" s="417" t="e">
        <f aca="false">((((O224+O227)/2)*O559)+(((O230+O236)/2)*O560)+(((O241+O245)/2)*O561)+(O491*O560))</f>
        <v>#N/A</v>
      </c>
      <c r="P93" s="417" t="e">
        <f aca="false">((((P224+P227)/2)*P559)+(((P230+P236)/2)*P560)+(((P241+P245)/2)*P561)+(P491*P560))</f>
        <v>#N/A</v>
      </c>
      <c r="Q93" s="417" t="e">
        <f aca="false">((((Q224+Q227)/2)*Q559)+(((Q230+Q236)/2)*Q560)+(((Q241+Q245)/2)*Q561)+(Q491*Q560))</f>
        <v>#N/A</v>
      </c>
      <c r="R93" s="417" t="e">
        <f aca="false">((((R224+R227)/2)*R559)+(((R230+R236)/2)*R560)+(((R241+R245)/2)*R561)+(R491*R560))</f>
        <v>#N/A</v>
      </c>
      <c r="S93" s="417" t="e">
        <f aca="false">((((S224+S227)/2)*S559)+(((S230+S236)/2)*S560)+(((S241+S245)/2)*S561)+(S491*S560))</f>
        <v>#N/A</v>
      </c>
      <c r="T93" s="417" t="e">
        <f aca="false">((((T224+T227)/2)*T559)+(((T230+T236)/2)*T560)+(((T241+T245)/2)*T561)+(T491*T560))</f>
        <v>#N/A</v>
      </c>
      <c r="U93" s="417" t="e">
        <f aca="false">((((U224+U227)/2)*U559)+(((U230+U236)/2)*U560)+(((U241+U245)/2)*U561)+(U491*U560))</f>
        <v>#N/A</v>
      </c>
      <c r="V93" s="417" t="e">
        <f aca="false">((((V224+V227)/2)*V559)+(((V230+V236)/2)*V560)+(((V241+V245)/2)*V561)+(V491*V560))</f>
        <v>#N/A</v>
      </c>
      <c r="W93" s="417" t="e">
        <f aca="false">((((W224+W227)/2)*W559)+(((W230+W236)/2)*W560)+(((W241+W245)/2)*W561)+(W491*W560))</f>
        <v>#N/A</v>
      </c>
      <c r="X93" s="417" t="e">
        <f aca="false">((((X224+X227)/2)*X559)+(((X230+X236)/2)*X560)+(((X241+X245)/2)*X561)+(X491*X560))</f>
        <v>#N/A</v>
      </c>
      <c r="Y93" s="417" t="e">
        <f aca="false">((((Y224+Y227)/2)*Y559)+(((Y230+Y236)/2)*Y560)+(((Y241+Y245)/2)*Y561)+(Y491*Y560))</f>
        <v>#N/A</v>
      </c>
      <c r="Z93" s="417" t="e">
        <f aca="false">((((Z224+Z227)/2)*Z559)+(((Z230+Z236)/2)*Z560)+(((Z241+Z245)/2)*Z561)+(Z491*Z560))</f>
        <v>#N/A</v>
      </c>
      <c r="AA93" s="417" t="e">
        <f aca="false">((((AA224+AA227)/2)*AA559)+(((AA230+AA236)/2)*AA560)+(((AA241+AA245)/2)*AA561)+(AA491*AA560))</f>
        <v>#N/A</v>
      </c>
      <c r="AB93" s="417" t="e">
        <f aca="false">((((AB224+AB227)/2)*AB559)+(((AB230+AB236)/2)*AB560)+(((AB241+AB245)/2)*AB561)+(AB491*AB560))</f>
        <v>#N/A</v>
      </c>
      <c r="AC93" s="417" t="e">
        <f aca="false">((((AC224+AC227)/2)*AC559)+(((AC230+AC236)/2)*AC560)+(((AC241+AC245)/2)*AC561)+(AC491*AC560))</f>
        <v>#N/A</v>
      </c>
    </row>
    <row r="94" customFormat="false" ht="11.25" hidden="false" customHeight="false" outlineLevel="0" collapsed="false">
      <c r="A94" s="35" t="str">
        <f aca="false">B340</f>
        <v>ESOP Notes</v>
      </c>
      <c r="H94" s="421"/>
      <c r="I94" s="35" t="n">
        <f aca="false">(I565*(I256+I259)/2)*C328</f>
        <v>0</v>
      </c>
      <c r="J94" s="35" t="n">
        <f aca="false">J565*(J256+J259)/2</f>
        <v>0</v>
      </c>
      <c r="K94" s="35" t="n">
        <f aca="false">K565*(K256+K259)/2</f>
        <v>0</v>
      </c>
      <c r="L94" s="35" t="n">
        <f aca="false">L565*(L256+L259)/2</f>
        <v>0</v>
      </c>
      <c r="M94" s="35" t="n">
        <f aca="false">M565*(M256+M259)/2</f>
        <v>0</v>
      </c>
      <c r="N94" s="35" t="n">
        <f aca="false">N565*(N256+N259)/2</f>
        <v>0</v>
      </c>
      <c r="O94" s="35" t="n">
        <f aca="false">O565*(O256+O259)/2</f>
        <v>0</v>
      </c>
      <c r="P94" s="35" t="n">
        <f aca="false">P565*(P256+P259)/2</f>
        <v>0</v>
      </c>
      <c r="Q94" s="35" t="n">
        <f aca="false">Q565*(Q256+Q259)/2</f>
        <v>0</v>
      </c>
      <c r="R94" s="35" t="n">
        <f aca="false">R565*(R256+R259)/2</f>
        <v>0</v>
      </c>
      <c r="S94" s="35" t="n">
        <f aca="false">S565*(S256+S259)/2</f>
        <v>0</v>
      </c>
      <c r="T94" s="35" t="n">
        <f aca="false">T565*(T256+T259)/2</f>
        <v>0</v>
      </c>
      <c r="U94" s="35" t="n">
        <f aca="false">U565*(U256+U259)/2</f>
        <v>0</v>
      </c>
      <c r="V94" s="35" t="n">
        <f aca="false">V565*(V256+V259)/2</f>
        <v>0</v>
      </c>
      <c r="W94" s="35" t="n">
        <f aca="false">W565*(W256+W259)/2</f>
        <v>0</v>
      </c>
      <c r="X94" s="35" t="n">
        <f aca="false">X565*(X256+X259)/2</f>
        <v>0</v>
      </c>
      <c r="Y94" s="35" t="n">
        <f aca="false">Y565*(Y256+Y259)/2</f>
        <v>0</v>
      </c>
      <c r="Z94" s="35" t="n">
        <f aca="false">Z565*(Z256+Z259)/2</f>
        <v>0</v>
      </c>
      <c r="AA94" s="35" t="n">
        <f aca="false">AA565*(AA256+AA259)/2</f>
        <v>0</v>
      </c>
      <c r="AB94" s="35" t="n">
        <f aca="false">AB565*(AB256+AB259)/2</f>
        <v>0</v>
      </c>
      <c r="AC94" s="35" t="n">
        <f aca="false">AC565*(AC256+AC259)/2</f>
        <v>0</v>
      </c>
    </row>
    <row r="95" customFormat="false" ht="11.25" hidden="false" customHeight="false" outlineLevel="0" collapsed="false">
      <c r="A95" s="35" t="str">
        <f aca="false">B341</f>
        <v>Placement 1</v>
      </c>
      <c r="D95" s="172"/>
      <c r="E95" s="417"/>
      <c r="F95" s="417"/>
      <c r="G95" s="417"/>
      <c r="H95" s="418"/>
      <c r="I95" s="417" t="n">
        <f aca="false">(I566*I262)*C328</f>
        <v>0</v>
      </c>
      <c r="J95" s="417" t="n">
        <f aca="false">(J566*J262)</f>
        <v>0</v>
      </c>
      <c r="K95" s="417" t="n">
        <f aca="false">(K566*K262)</f>
        <v>0</v>
      </c>
      <c r="L95" s="417" t="n">
        <f aca="false">(L566*L262)</f>
        <v>0</v>
      </c>
      <c r="M95" s="417" t="n">
        <f aca="false">(M566*M262)</f>
        <v>0</v>
      </c>
      <c r="N95" s="417" t="n">
        <f aca="false">(N566*N262)</f>
        <v>0</v>
      </c>
      <c r="O95" s="417" t="n">
        <f aca="false">(O566*O262)</f>
        <v>0</v>
      </c>
      <c r="P95" s="417" t="n">
        <f aca="false">(P566*P262)</f>
        <v>0</v>
      </c>
      <c r="Q95" s="417" t="n">
        <f aca="false">(Q566*Q262)</f>
        <v>0</v>
      </c>
      <c r="R95" s="417" t="n">
        <f aca="false">(R566*R262)</f>
        <v>0</v>
      </c>
      <c r="S95" s="417" t="n">
        <f aca="false">(S566*S262)</f>
        <v>0</v>
      </c>
      <c r="T95" s="417" t="n">
        <f aca="false">(T566*T262)</f>
        <v>0</v>
      </c>
      <c r="U95" s="417" t="n">
        <f aca="false">(U566*U262)</f>
        <v>0</v>
      </c>
      <c r="V95" s="417" t="n">
        <f aca="false">(V566*V262)</f>
        <v>0</v>
      </c>
      <c r="W95" s="417" t="n">
        <f aca="false">(W566*W262)</f>
        <v>0</v>
      </c>
      <c r="X95" s="417" t="n">
        <f aca="false">(X566*X262)</f>
        <v>0</v>
      </c>
      <c r="Y95" s="417" t="n">
        <f aca="false">(Y566*Y262)</f>
        <v>0</v>
      </c>
      <c r="Z95" s="417" t="n">
        <f aca="false">(Z566*Z262)</f>
        <v>0</v>
      </c>
      <c r="AA95" s="417" t="n">
        <f aca="false">(AA566*AA262)</f>
        <v>0</v>
      </c>
      <c r="AB95" s="417" t="n">
        <f aca="false">(AB566*AB262)</f>
        <v>0</v>
      </c>
      <c r="AC95" s="417" t="n">
        <f aca="false">(AC566*AC262)</f>
        <v>0</v>
      </c>
    </row>
    <row r="96" customFormat="false" ht="11.25" hidden="false" customHeight="false" outlineLevel="0" collapsed="false">
      <c r="A96" s="5" t="str">
        <f aca="false">B342</f>
        <v>Placement 2</v>
      </c>
      <c r="D96" s="172"/>
      <c r="E96" s="417"/>
      <c r="F96" s="417"/>
      <c r="G96" s="417"/>
      <c r="H96" s="418"/>
      <c r="I96" s="417" t="e">
        <f aca="false">(I268+I271)/2*I567*C328</f>
        <v>#N/A</v>
      </c>
      <c r="J96" s="417" t="e">
        <f aca="false">(J268+J271)/2*J567</f>
        <v>#N/A</v>
      </c>
      <c r="K96" s="417" t="e">
        <f aca="false">(K268+K271)/2*K567</f>
        <v>#N/A</v>
      </c>
      <c r="L96" s="417" t="e">
        <f aca="false">(L268+L271)/2*L567</f>
        <v>#N/A</v>
      </c>
      <c r="M96" s="417" t="e">
        <f aca="false">(M268+M271)/2*M567</f>
        <v>#N/A</v>
      </c>
      <c r="N96" s="417" t="e">
        <f aca="false">(N268+N271)/2*N567</f>
        <v>#N/A</v>
      </c>
      <c r="O96" s="417" t="e">
        <f aca="false">(O268+O271)/2*O567</f>
        <v>#N/A</v>
      </c>
      <c r="P96" s="417" t="e">
        <f aca="false">(P268+P271)/2*P567</f>
        <v>#N/A</v>
      </c>
      <c r="Q96" s="417" t="e">
        <f aca="false">(Q268+Q271)/2*Q567</f>
        <v>#N/A</v>
      </c>
      <c r="R96" s="417" t="e">
        <f aca="false">(R268+R271)/2*R567</f>
        <v>#N/A</v>
      </c>
      <c r="S96" s="417" t="e">
        <f aca="false">(S268+S271)/2*S567</f>
        <v>#N/A</v>
      </c>
      <c r="T96" s="417" t="e">
        <f aca="false">(T268+T271)/2*T567</f>
        <v>#N/A</v>
      </c>
      <c r="U96" s="417" t="e">
        <f aca="false">(U268+U271)/2*U567</f>
        <v>#N/A</v>
      </c>
      <c r="V96" s="417" t="e">
        <f aca="false">(V268+V271)/2*V567</f>
        <v>#N/A</v>
      </c>
      <c r="W96" s="417" t="e">
        <f aca="false">(W268+W271)/2*W567</f>
        <v>#N/A</v>
      </c>
      <c r="X96" s="417" t="e">
        <f aca="false">(X268+X271)/2*X567</f>
        <v>#N/A</v>
      </c>
      <c r="Y96" s="417" t="e">
        <f aca="false">(Y268+Y271)/2*Y567</f>
        <v>#N/A</v>
      </c>
      <c r="Z96" s="417" t="e">
        <f aca="false">(Z268+Z271)/2*Z567</f>
        <v>#N/A</v>
      </c>
      <c r="AA96" s="417" t="e">
        <f aca="false">(AA268+AA271)/2*AA567</f>
        <v>#N/A</v>
      </c>
      <c r="AB96" s="417" t="e">
        <f aca="false">(AB268+AB271)/2*AB567</f>
        <v>#N/A</v>
      </c>
      <c r="AC96" s="417" t="e">
        <f aca="false">(AC268+AC271)/2*AC567</f>
        <v>#N/A</v>
      </c>
    </row>
    <row r="97" customFormat="false" ht="11.25" hidden="false" customHeight="false" outlineLevel="0" collapsed="false">
      <c r="A97" s="35" t="str">
        <f aca="false">B343</f>
        <v>Sr Sub Notes</v>
      </c>
      <c r="D97" s="172"/>
      <c r="E97" s="417"/>
      <c r="F97" s="417"/>
      <c r="G97" s="417"/>
      <c r="H97" s="418"/>
      <c r="I97" s="417" t="n">
        <f aca="false">IF(I516="YES",IF($I$517="YES",-I519+((I568-I518)*I276*C328),0),I568*I276*C328)</f>
        <v>0</v>
      </c>
      <c r="J97" s="417" t="e">
        <f aca="false">IF(J516="YES",IF($I$517="YES",-J519+((J568-J518)*J276),0),J568*J276)</f>
        <v>#VALUE!</v>
      </c>
      <c r="K97" s="417" t="e">
        <f aca="false">IF(K516="YES",IF($I$517="YES",-K519+((K568-K518)*K276),0),K568*K276)</f>
        <v>#VALUE!</v>
      </c>
      <c r="L97" s="417" t="e">
        <f aca="false">IF(L516="YES",IF($I$517="YES",-L519+((L568-L518)*L276),0),L568*L276)</f>
        <v>#VALUE!</v>
      </c>
      <c r="M97" s="417" t="e">
        <f aca="false">IF(M516="YES",IF($I$517="YES",-M519+((M568-M518)*M276),0),M568*M276)</f>
        <v>#VALUE!</v>
      </c>
      <c r="N97" s="417" t="e">
        <f aca="false">IF(N516="YES",IF($I$517="YES",-N519+((N568-N518)*N276),0),N568*N276)</f>
        <v>#VALUE!</v>
      </c>
      <c r="O97" s="417" t="e">
        <f aca="false">IF(O516="YES",IF($I$517="YES",-O519+((O568-O518)*O276),0),O568*O276)</f>
        <v>#VALUE!</v>
      </c>
      <c r="P97" s="417" t="e">
        <f aca="false">IF(P516="YES",IF($I$517="YES",-P519+((P568-P518)*P276),0),P568*P276)</f>
        <v>#VALUE!</v>
      </c>
      <c r="Q97" s="417" t="e">
        <f aca="false">IF(Q516="YES",IF($I$517="YES",-Q519+((Q568-Q518)*Q276),0),Q568*Q276)</f>
        <v>#VALUE!</v>
      </c>
      <c r="R97" s="417" t="e">
        <f aca="false">IF(R516="YES",IF($I$517="YES",-R519+((R568-R518)*R276),0),R568*R276)</f>
        <v>#VALUE!</v>
      </c>
      <c r="S97" s="417" t="e">
        <f aca="false">IF(S516="YES",IF($I$517="YES",-S519+((S568-S518)*S276),0),S568*S276)</f>
        <v>#VALUE!</v>
      </c>
      <c r="T97" s="417" t="e">
        <f aca="false">IF(T516="YES",IF($I$517="YES",-T519+((T568-T518)*T276),0),T568*T276)</f>
        <v>#VALUE!</v>
      </c>
      <c r="U97" s="417" t="e">
        <f aca="false">IF(U516="YES",IF($I$517="YES",-U519+((U568-U518)*U276),0),U568*U276)</f>
        <v>#VALUE!</v>
      </c>
      <c r="V97" s="417" t="e">
        <f aca="false">IF(V516="YES",IF($I$517="YES",-V519+((V568-V518)*V276),0),V568*V276)</f>
        <v>#VALUE!</v>
      </c>
      <c r="W97" s="417" t="e">
        <f aca="false">IF(W516="YES",IF($I$517="YES",-W519+((W568-W518)*W276),0),W568*W276)</f>
        <v>#VALUE!</v>
      </c>
      <c r="X97" s="417" t="e">
        <f aca="false">IF(X516="YES",IF($I$517="YES",-X519+((X568-X518)*X276),0),X568*X276)</f>
        <v>#VALUE!</v>
      </c>
      <c r="Y97" s="417" t="e">
        <f aca="false">IF(Y516="YES",IF($I$517="YES",-Y519+((Y568-Y518)*Y276),0),Y568*Y276)</f>
        <v>#VALUE!</v>
      </c>
      <c r="Z97" s="417" t="e">
        <f aca="false">IF(Z516="YES",IF($I$517="YES",-Z519+((Z568-Z518)*Z276),0),Z568*Z276)</f>
        <v>#VALUE!</v>
      </c>
      <c r="AA97" s="417" t="e">
        <f aca="false">IF(AA516="YES",IF($I$517="YES",-AA519+((AA568-AA518)*AA276),0),AA568*AA276)</f>
        <v>#VALUE!</v>
      </c>
      <c r="AB97" s="417" t="e">
        <f aca="false">IF(AB516="YES",IF($I$517="YES",-AB519+((AB568-AB518)*AB276),0),AB568*AB276)</f>
        <v>#VALUE!</v>
      </c>
      <c r="AC97" s="417" t="e">
        <f aca="false">IF(AC516="YES",IF($I$517="YES",-AC519+((AC568-AC518)*AC276),0),AC568*AC276)</f>
        <v>#VALUE!</v>
      </c>
    </row>
    <row r="98" customFormat="false" ht="11.25" hidden="false" customHeight="false" outlineLevel="0" collapsed="false">
      <c r="A98" s="35" t="str">
        <f aca="false">B344</f>
        <v>Jr. Sub Notes</v>
      </c>
      <c r="D98" s="172"/>
      <c r="E98" s="417"/>
      <c r="F98" s="417"/>
      <c r="G98" s="417"/>
      <c r="H98" s="418"/>
      <c r="I98" s="417" t="n">
        <f aca="false">IF(I524="YES",IF($I$525="YES",-I527+((I569-I526)*I283)*C328,0),I569*I283*C328)</f>
        <v>0</v>
      </c>
      <c r="J98" s="417" t="n">
        <f aca="false">IF(J524="YES",IF($I$525="YES",-J527+((J569-J526)*J283),0),J569*J283)</f>
        <v>0</v>
      </c>
      <c r="K98" s="417" t="n">
        <f aca="false">IF(K524="YES",IF($I$525="YES",-K527+((K569-K526)*K283),0),K569*K283)</f>
        <v>0</v>
      </c>
      <c r="L98" s="417" t="n">
        <f aca="false">IF(L524="YES",IF($I$525="YES",-L527+((L569-L526)*L283),0),L569*L283)</f>
        <v>0</v>
      </c>
      <c r="M98" s="417" t="n">
        <f aca="false">IF(M524="YES",IF($I$525="YES",-M527+((M569-M526)*M283),0),M569*M283)</f>
        <v>0</v>
      </c>
      <c r="N98" s="417" t="n">
        <f aca="false">IF(N524="YES",IF($I$525="YES",-N527+((N569-N526)*N283),0),N569*N283)</f>
        <v>0</v>
      </c>
      <c r="O98" s="417" t="n">
        <f aca="false">IF(O524="YES",IF($I$525="YES",-O527+((O569-O526)*O283),0),O569*O283)</f>
        <v>0</v>
      </c>
      <c r="P98" s="417" t="n">
        <f aca="false">IF(P524="YES",IF($I$525="YES",-P527+((P569-P526)*P283),0),P569*P283)</f>
        <v>0</v>
      </c>
      <c r="Q98" s="417" t="n">
        <f aca="false">IF(Q524="YES",IF($I$525="YES",-Q527+((Q569-Q526)*Q283),0),Q569*Q283)</f>
        <v>0</v>
      </c>
      <c r="R98" s="417" t="n">
        <f aca="false">IF(R524="YES",IF($I$525="YES",-R527+((R569-R526)*R283),0),R569*R283)</f>
        <v>0</v>
      </c>
      <c r="S98" s="417" t="n">
        <f aca="false">IF(S524="YES",IF($I$525="YES",-S527+((S569-S526)*S283),0),S569*S283)</f>
        <v>0</v>
      </c>
      <c r="T98" s="417" t="n">
        <f aca="false">IF(T524="YES",IF($I$525="YES",-T527+((T569-T526)*T283),0),T569*T283)</f>
        <v>0</v>
      </c>
      <c r="U98" s="417" t="n">
        <f aca="false">IF(U524="YES",IF($I$525="YES",-U527+((U569-U526)*U283),0),U569*U283)</f>
        <v>0</v>
      </c>
      <c r="V98" s="417" t="n">
        <f aca="false">IF(V524="YES",IF($I$525="YES",-V527+((V569-V526)*V283),0),V569*V283)</f>
        <v>0</v>
      </c>
      <c r="W98" s="417" t="n">
        <f aca="false">IF(W524="YES",IF($I$525="YES",-W527+((W569-W526)*W283),0),W569*W283)</f>
        <v>0</v>
      </c>
      <c r="X98" s="417" t="n">
        <f aca="false">IF(X524="YES",IF($I$525="YES",-X527+((X569-X526)*X283),0),X569*X283)</f>
        <v>0</v>
      </c>
      <c r="Y98" s="417" t="n">
        <f aca="false">IF(Y524="YES",IF($I$525="YES",-Y527+((Y569-Y526)*Y283),0),Y569*Y283)</f>
        <v>0</v>
      </c>
      <c r="Z98" s="417" t="n">
        <f aca="false">IF(Z524="YES",IF($I$525="YES",-Z527+((Z569-Z526)*Z283),0),Z569*Z283)</f>
        <v>0</v>
      </c>
      <c r="AA98" s="417" t="n">
        <f aca="false">IF(AA524="YES",IF($I$525="YES",-AA527+((AA569-AA526)*AA283),0),AA569*AA283)</f>
        <v>0</v>
      </c>
      <c r="AB98" s="417" t="n">
        <f aca="false">IF(AB524="YES",IF($I$525="YES",-AB527+((AB569-AB526)*AB283),0),AB569*AB283)</f>
        <v>0</v>
      </c>
      <c r="AC98" s="417" t="n">
        <f aca="false">IF(AC524="YES",IF($I$525="YES",-AC527+((AC569-AC526)*AC283),0),AC569*AC283)</f>
        <v>0</v>
      </c>
    </row>
    <row r="99" customFormat="false" ht="11.25" hidden="false" customHeight="false" outlineLevel="0" collapsed="false">
      <c r="A99" s="307" t="s">
        <v>666</v>
      </c>
      <c r="C99" s="370"/>
      <c r="D99" s="417"/>
      <c r="E99" s="419" t="n">
        <f aca="false">SUM(E92:E98)</f>
        <v>0</v>
      </c>
      <c r="F99" s="419" t="n">
        <f aca="false">SUM(F92:F98)</f>
        <v>0</v>
      </c>
      <c r="G99" s="419" t="n">
        <f aca="false">SUM(G92:G98)</f>
        <v>0</v>
      </c>
      <c r="H99" s="420" t="n">
        <f aca="false">SUM(H92:H98)</f>
        <v>0</v>
      </c>
      <c r="I99" s="419" t="e">
        <f aca="false">SUM(I92:I98)</f>
        <v>#VALUE!</v>
      </c>
      <c r="J99" s="419" t="e">
        <f aca="false">SUM(J92:J98)</f>
        <v>#N/A</v>
      </c>
      <c r="K99" s="419" t="e">
        <f aca="false">SUM(K92:K98)</f>
        <v>#N/A</v>
      </c>
      <c r="L99" s="419" t="e">
        <f aca="false">SUM(L92:L98)</f>
        <v>#N/A</v>
      </c>
      <c r="M99" s="419" t="e">
        <f aca="false">SUM(M92:M98)</f>
        <v>#N/A</v>
      </c>
      <c r="N99" s="419" t="e">
        <f aca="false">SUM(N92:N98)</f>
        <v>#N/A</v>
      </c>
      <c r="O99" s="419" t="e">
        <f aca="false">SUM(O92:O98)</f>
        <v>#N/A</v>
      </c>
      <c r="P99" s="419" t="e">
        <f aca="false">SUM(P92:P98)</f>
        <v>#N/A</v>
      </c>
      <c r="Q99" s="419" t="e">
        <f aca="false">SUM(Q92:Q98)</f>
        <v>#N/A</v>
      </c>
      <c r="R99" s="419" t="e">
        <f aca="false">SUM(R92:R98)</f>
        <v>#N/A</v>
      </c>
      <c r="S99" s="419" t="e">
        <f aca="false">SUM(S92:S98)</f>
        <v>#N/A</v>
      </c>
      <c r="T99" s="419" t="e">
        <f aca="false">SUM(T92:T98)</f>
        <v>#N/A</v>
      </c>
      <c r="U99" s="419" t="e">
        <f aca="false">SUM(U92:U98)</f>
        <v>#N/A</v>
      </c>
      <c r="V99" s="419" t="e">
        <f aca="false">SUM(V92:V98)</f>
        <v>#N/A</v>
      </c>
      <c r="W99" s="419" t="e">
        <f aca="false">SUM(W92:W98)</f>
        <v>#N/A</v>
      </c>
      <c r="X99" s="419" t="e">
        <f aca="false">SUM(X92:X98)</f>
        <v>#N/A</v>
      </c>
      <c r="Y99" s="419" t="e">
        <f aca="false">SUM(Y92:Y98)</f>
        <v>#N/A</v>
      </c>
      <c r="Z99" s="419" t="e">
        <f aca="false">SUM(Z92:Z98)</f>
        <v>#N/A</v>
      </c>
      <c r="AA99" s="419" t="e">
        <f aca="false">SUM(AA92:AA98)</f>
        <v>#N/A</v>
      </c>
      <c r="AB99" s="419" t="e">
        <f aca="false">SUM(AB92:AB98)</f>
        <v>#N/A</v>
      </c>
      <c r="AC99" s="419" t="e">
        <f aca="false">SUM(AC92:AC98)</f>
        <v>#N/A</v>
      </c>
    </row>
    <row r="100" customFormat="false" ht="11.25" hidden="false" customHeight="false" outlineLevel="0" collapsed="false">
      <c r="H100" s="421"/>
    </row>
    <row r="101" customFormat="false" ht="11.25" hidden="false" customHeight="false" outlineLevel="0" collapsed="false">
      <c r="A101" s="307" t="s">
        <v>667</v>
      </c>
      <c r="D101" s="417"/>
      <c r="E101" s="417" t="n">
        <f aca="false">E83+E89-E99</f>
        <v>0</v>
      </c>
      <c r="F101" s="417" t="n">
        <f aca="false">F83+F89-F99</f>
        <v>184.623</v>
      </c>
      <c r="G101" s="417" t="n">
        <f aca="false">G83+G89-G99</f>
        <v>134.18</v>
      </c>
      <c r="H101" s="418" t="n">
        <f aca="false">H83+H89-H99</f>
        <v>40.479</v>
      </c>
      <c r="I101" s="417" t="e">
        <f aca="false">I83+I89-I99</f>
        <v>#VALUE!</v>
      </c>
      <c r="J101" s="417" t="e">
        <f aca="false">J83+J89-J99</f>
        <v>#VALUE!</v>
      </c>
      <c r="K101" s="417" t="e">
        <f aca="false">K83+K89-K99</f>
        <v>#VALUE!</v>
      </c>
      <c r="L101" s="417" t="e">
        <f aca="false">L83+L89-L99</f>
        <v>#VALUE!</v>
      </c>
      <c r="M101" s="417" t="e">
        <f aca="false">M83+M89-M99</f>
        <v>#VALUE!</v>
      </c>
      <c r="N101" s="417" t="e">
        <f aca="false">N83+N89-N99</f>
        <v>#VALUE!</v>
      </c>
      <c r="O101" s="417" t="e">
        <f aca="false">O83+O89-O99</f>
        <v>#VALUE!</v>
      </c>
      <c r="P101" s="417" t="e">
        <f aca="false">P83+P89-P99</f>
        <v>#VALUE!</v>
      </c>
      <c r="Q101" s="417" t="e">
        <f aca="false">Q83+Q89-Q99</f>
        <v>#VALUE!</v>
      </c>
      <c r="R101" s="417" t="e">
        <f aca="false">R83+R89-R99</f>
        <v>#VALUE!</v>
      </c>
      <c r="S101" s="417" t="e">
        <f aca="false">S83+S89-S99</f>
        <v>#VALUE!</v>
      </c>
      <c r="T101" s="417" t="e">
        <f aca="false">T83+T89-T99</f>
        <v>#VALUE!</v>
      </c>
      <c r="U101" s="417" t="e">
        <f aca="false">U83+U89-U99</f>
        <v>#VALUE!</v>
      </c>
      <c r="V101" s="417" t="e">
        <f aca="false">V83+V89-V99</f>
        <v>#VALUE!</v>
      </c>
      <c r="W101" s="417" t="e">
        <f aca="false">W83+W89-W99</f>
        <v>#VALUE!</v>
      </c>
      <c r="X101" s="417" t="e">
        <f aca="false">X83+X89-X99</f>
        <v>#VALUE!</v>
      </c>
      <c r="Y101" s="417" t="e">
        <f aca="false">Y83+Y89-Y99</f>
        <v>#VALUE!</v>
      </c>
      <c r="Z101" s="417" t="e">
        <f aca="false">Z83+Z89-Z99</f>
        <v>#VALUE!</v>
      </c>
      <c r="AA101" s="417" t="e">
        <f aca="false">AA83+AA89-AA99</f>
        <v>#VALUE!</v>
      </c>
      <c r="AB101" s="417" t="e">
        <f aca="false">AB83+AB89-AB99</f>
        <v>#VALUE!</v>
      </c>
      <c r="AC101" s="417" t="e">
        <f aca="false">AC83+AC89-AC99</f>
        <v>#VALUE!</v>
      </c>
    </row>
    <row r="102" customFormat="false" ht="11.25" hidden="false" customHeight="false" outlineLevel="0" collapsed="false">
      <c r="H102" s="421"/>
      <c r="I102" s="417"/>
    </row>
    <row r="103" customFormat="false" ht="11.25" hidden="false" customHeight="false" outlineLevel="0" collapsed="false">
      <c r="A103" s="43" t="s">
        <v>668</v>
      </c>
      <c r="E103" s="35" t="n">
        <f aca="false">E606</f>
        <v>0</v>
      </c>
      <c r="F103" s="35" t="n">
        <f aca="false">F606</f>
        <v>0</v>
      </c>
      <c r="G103" s="35" t="n">
        <f aca="false">G606</f>
        <v>0</v>
      </c>
      <c r="H103" s="421" t="n">
        <f aca="false">H606</f>
        <v>0</v>
      </c>
      <c r="I103" s="35" t="n">
        <f aca="false">I606</f>
        <v>0</v>
      </c>
      <c r="J103" s="35" t="n">
        <f aca="false">J606</f>
        <v>0</v>
      </c>
      <c r="K103" s="35" t="n">
        <f aca="false">K606</f>
        <v>0</v>
      </c>
      <c r="L103" s="35" t="n">
        <f aca="false">L606</f>
        <v>0</v>
      </c>
      <c r="M103" s="35" t="n">
        <f aca="false">M606</f>
        <v>0</v>
      </c>
      <c r="N103" s="35" t="n">
        <f aca="false">N606</f>
        <v>0</v>
      </c>
      <c r="O103" s="35" t="n">
        <f aca="false">O606</f>
        <v>0</v>
      </c>
      <c r="P103" s="35" t="n">
        <f aca="false">P606</f>
        <v>0</v>
      </c>
      <c r="Q103" s="35" t="n">
        <f aca="false">Q606</f>
        <v>0</v>
      </c>
      <c r="R103" s="35" t="n">
        <f aca="false">R606</f>
        <v>0</v>
      </c>
      <c r="S103" s="35" t="n">
        <f aca="false">S606</f>
        <v>0</v>
      </c>
      <c r="T103" s="35" t="n">
        <f aca="false">T606</f>
        <v>0</v>
      </c>
      <c r="U103" s="35" t="n">
        <f aca="false">U606</f>
        <v>0</v>
      </c>
      <c r="V103" s="35" t="n">
        <f aca="false">V606</f>
        <v>0</v>
      </c>
      <c r="W103" s="35" t="n">
        <f aca="false">W606</f>
        <v>0</v>
      </c>
      <c r="X103" s="35" t="n">
        <f aca="false">X606</f>
        <v>0</v>
      </c>
      <c r="Y103" s="35" t="n">
        <f aca="false">Y606</f>
        <v>0</v>
      </c>
      <c r="Z103" s="35" t="n">
        <f aca="false">Z606</f>
        <v>0</v>
      </c>
      <c r="AA103" s="35" t="n">
        <f aca="false">AA606</f>
        <v>0</v>
      </c>
      <c r="AB103" s="35" t="n">
        <f aca="false">AB606</f>
        <v>0</v>
      </c>
      <c r="AC103" s="35" t="n">
        <f aca="false">AC606</f>
        <v>0</v>
      </c>
    </row>
    <row r="104" customFormat="false" ht="11.25" hidden="false" customHeight="false" outlineLevel="0" collapsed="false">
      <c r="A104" s="307" t="s">
        <v>669</v>
      </c>
      <c r="C104" s="370"/>
      <c r="E104" s="158" t="n">
        <f aca="false">E101+E103</f>
        <v>0</v>
      </c>
      <c r="F104" s="158" t="n">
        <f aca="false">F101+F103</f>
        <v>184.623</v>
      </c>
      <c r="G104" s="158" t="n">
        <f aca="false">G101+G103</f>
        <v>134.18</v>
      </c>
      <c r="H104" s="422" t="n">
        <f aca="false">H101+H103</f>
        <v>40.479</v>
      </c>
      <c r="I104" s="158" t="e">
        <f aca="false">I101+I103</f>
        <v>#VALUE!</v>
      </c>
      <c r="J104" s="158" t="e">
        <f aca="false">J101+J103</f>
        <v>#VALUE!</v>
      </c>
      <c r="K104" s="158" t="e">
        <f aca="false">K101+K103</f>
        <v>#VALUE!</v>
      </c>
      <c r="L104" s="158" t="e">
        <f aca="false">L101+L103</f>
        <v>#VALUE!</v>
      </c>
      <c r="M104" s="158" t="e">
        <f aca="false">M101+M103</f>
        <v>#VALUE!</v>
      </c>
      <c r="N104" s="158" t="e">
        <f aca="false">N101+N103</f>
        <v>#VALUE!</v>
      </c>
      <c r="O104" s="158" t="e">
        <f aca="false">O101+O103</f>
        <v>#VALUE!</v>
      </c>
      <c r="P104" s="158" t="e">
        <f aca="false">P101+P103</f>
        <v>#VALUE!</v>
      </c>
      <c r="Q104" s="158" t="e">
        <f aca="false">Q101+Q103</f>
        <v>#VALUE!</v>
      </c>
      <c r="R104" s="158" t="e">
        <f aca="false">R101+R103</f>
        <v>#VALUE!</v>
      </c>
      <c r="S104" s="158" t="e">
        <f aca="false">S101+S103</f>
        <v>#VALUE!</v>
      </c>
      <c r="T104" s="158" t="e">
        <f aca="false">T101+T103</f>
        <v>#VALUE!</v>
      </c>
      <c r="U104" s="158" t="e">
        <f aca="false">U101+U103</f>
        <v>#VALUE!</v>
      </c>
      <c r="V104" s="158" t="e">
        <f aca="false">V101+V103</f>
        <v>#VALUE!</v>
      </c>
      <c r="W104" s="158" t="e">
        <f aca="false">W101+W103</f>
        <v>#VALUE!</v>
      </c>
      <c r="X104" s="158" t="e">
        <f aca="false">X101+X103</f>
        <v>#VALUE!</v>
      </c>
      <c r="Y104" s="158" t="e">
        <f aca="false">Y101+Y103</f>
        <v>#VALUE!</v>
      </c>
      <c r="Z104" s="158" t="e">
        <f aca="false">Z101+Z103</f>
        <v>#VALUE!</v>
      </c>
      <c r="AA104" s="158" t="e">
        <f aca="false">AA101+AA103</f>
        <v>#VALUE!</v>
      </c>
      <c r="AB104" s="158" t="e">
        <f aca="false">AB101+AB103</f>
        <v>#VALUE!</v>
      </c>
      <c r="AC104" s="158" t="e">
        <f aca="false">AC101+AC103</f>
        <v>#VALUE!</v>
      </c>
    </row>
    <row r="105" customFormat="false" ht="11.25" hidden="false" customHeight="false" outlineLevel="0" collapsed="false">
      <c r="H105" s="421"/>
      <c r="AD105" s="67"/>
      <c r="AE105" s="67"/>
      <c r="AF105" s="67"/>
      <c r="AG105" s="67"/>
    </row>
    <row r="106" customFormat="false" ht="11.25" hidden="false" customHeight="false" outlineLevel="0" collapsed="false">
      <c r="A106" s="43" t="s">
        <v>670</v>
      </c>
      <c r="C106" s="370"/>
      <c r="D106" s="417"/>
      <c r="E106" s="417" t="n">
        <f aca="false">E638</f>
        <v>0</v>
      </c>
      <c r="F106" s="417" t="n">
        <f aca="false">F638</f>
        <v>260</v>
      </c>
      <c r="G106" s="417" t="n">
        <f aca="false">G638</f>
        <v>0</v>
      </c>
      <c r="H106" s="418" t="n">
        <f aca="false">H638</f>
        <v>0</v>
      </c>
      <c r="I106" s="417" t="e">
        <f aca="false">I694</f>
        <v>#VALUE!</v>
      </c>
      <c r="J106" s="417" t="e">
        <f aca="false">J694</f>
        <v>#VALUE!</v>
      </c>
      <c r="K106" s="417" t="e">
        <f aca="false">K694</f>
        <v>#VALUE!</v>
      </c>
      <c r="L106" s="417" t="e">
        <f aca="false">L694</f>
        <v>#VALUE!</v>
      </c>
      <c r="M106" s="417" t="e">
        <f aca="false">M694</f>
        <v>#VALUE!</v>
      </c>
      <c r="N106" s="417" t="e">
        <f aca="false">N694</f>
        <v>#VALUE!</v>
      </c>
      <c r="O106" s="417" t="e">
        <f aca="false">O694</f>
        <v>#VALUE!</v>
      </c>
      <c r="P106" s="417" t="e">
        <f aca="false">P694</f>
        <v>#VALUE!</v>
      </c>
      <c r="Q106" s="417" t="e">
        <f aca="false">Q694</f>
        <v>#VALUE!</v>
      </c>
      <c r="R106" s="417" t="e">
        <f aca="false">R694</f>
        <v>#VALUE!</v>
      </c>
      <c r="S106" s="417" t="e">
        <f aca="false">S694</f>
        <v>#VALUE!</v>
      </c>
      <c r="T106" s="417" t="e">
        <f aca="false">T694</f>
        <v>#VALUE!</v>
      </c>
      <c r="U106" s="417" t="e">
        <f aca="false">U694</f>
        <v>#VALUE!</v>
      </c>
      <c r="V106" s="417" t="e">
        <f aca="false">V694</f>
        <v>#VALUE!</v>
      </c>
      <c r="W106" s="417" t="e">
        <f aca="false">W694</f>
        <v>#VALUE!</v>
      </c>
      <c r="X106" s="417" t="e">
        <f aca="false">X694</f>
        <v>#VALUE!</v>
      </c>
      <c r="Y106" s="417" t="e">
        <f aca="false">Y694</f>
        <v>#VALUE!</v>
      </c>
      <c r="Z106" s="417" t="e">
        <f aca="false">Z694</f>
        <v>#VALUE!</v>
      </c>
      <c r="AA106" s="417" t="e">
        <f aca="false">AA694</f>
        <v>#VALUE!</v>
      </c>
      <c r="AB106" s="417" t="e">
        <f aca="false">AB694</f>
        <v>#VALUE!</v>
      </c>
      <c r="AC106" s="417" t="e">
        <f aca="false">AC694</f>
        <v>#VALUE!</v>
      </c>
      <c r="AD106" s="67"/>
      <c r="AE106" s="67"/>
      <c r="AF106" s="67"/>
      <c r="AG106" s="67"/>
    </row>
    <row r="107" customFormat="false" ht="12" hidden="false" customHeight="false" outlineLevel="0" collapsed="false">
      <c r="A107" s="307" t="s">
        <v>671</v>
      </c>
      <c r="C107" s="370"/>
      <c r="D107" s="417"/>
      <c r="E107" s="425" t="n">
        <f aca="false">E104-E106</f>
        <v>0</v>
      </c>
      <c r="F107" s="425" t="n">
        <f aca="false">F104-F106</f>
        <v>-75.377</v>
      </c>
      <c r="G107" s="425" t="n">
        <f aca="false">G104-G106</f>
        <v>134.18</v>
      </c>
      <c r="H107" s="426" t="n">
        <f aca="false">H104-H106</f>
        <v>40.479</v>
      </c>
      <c r="I107" s="425" t="e">
        <f aca="false">I104-I106</f>
        <v>#VALUE!</v>
      </c>
      <c r="J107" s="425" t="e">
        <f aca="false">J104-J106</f>
        <v>#VALUE!</v>
      </c>
      <c r="K107" s="425" t="e">
        <f aca="false">K104-K106</f>
        <v>#VALUE!</v>
      </c>
      <c r="L107" s="425" t="e">
        <f aca="false">L104-L106</f>
        <v>#VALUE!</v>
      </c>
      <c r="M107" s="425" t="e">
        <f aca="false">M104-M106</f>
        <v>#VALUE!</v>
      </c>
      <c r="N107" s="425" t="e">
        <f aca="false">N104-N106</f>
        <v>#VALUE!</v>
      </c>
      <c r="O107" s="425" t="e">
        <f aca="false">O104-O106</f>
        <v>#VALUE!</v>
      </c>
      <c r="P107" s="425" t="e">
        <f aca="false">P104-P106</f>
        <v>#VALUE!</v>
      </c>
      <c r="Q107" s="425" t="e">
        <f aca="false">Q104-Q106</f>
        <v>#VALUE!</v>
      </c>
      <c r="R107" s="425" t="e">
        <f aca="false">R104-R106</f>
        <v>#VALUE!</v>
      </c>
      <c r="S107" s="425" t="e">
        <f aca="false">S104-S106</f>
        <v>#VALUE!</v>
      </c>
      <c r="T107" s="425" t="e">
        <f aca="false">T104-T106</f>
        <v>#VALUE!</v>
      </c>
      <c r="U107" s="425" t="e">
        <f aca="false">U104-U106</f>
        <v>#VALUE!</v>
      </c>
      <c r="V107" s="425" t="e">
        <f aca="false">V104-V106</f>
        <v>#VALUE!</v>
      </c>
      <c r="W107" s="425" t="e">
        <f aca="false">W104-W106</f>
        <v>#VALUE!</v>
      </c>
      <c r="X107" s="425" t="e">
        <f aca="false">X104-X106</f>
        <v>#VALUE!</v>
      </c>
      <c r="Y107" s="425" t="e">
        <f aca="false">Y104-Y106</f>
        <v>#VALUE!</v>
      </c>
      <c r="Z107" s="425" t="e">
        <f aca="false">Z104-Z106</f>
        <v>#VALUE!</v>
      </c>
      <c r="AA107" s="425" t="e">
        <f aca="false">AA104-AA106</f>
        <v>#VALUE!</v>
      </c>
      <c r="AB107" s="425" t="e">
        <f aca="false">AB104-AB106</f>
        <v>#VALUE!</v>
      </c>
      <c r="AC107" s="425" t="e">
        <f aca="false">AC104-AC106</f>
        <v>#VALUE!</v>
      </c>
      <c r="AD107" s="67"/>
      <c r="AE107" s="67"/>
      <c r="AF107" s="67"/>
      <c r="AG107" s="67"/>
    </row>
    <row r="108" customFormat="false" ht="12" hidden="false" customHeight="false" outlineLevel="0" collapsed="false">
      <c r="H108" s="421"/>
    </row>
    <row r="109" customFormat="false" ht="11.25" hidden="false" customHeight="false" outlineLevel="0" collapsed="false">
      <c r="A109" s="43" t="s">
        <v>672</v>
      </c>
      <c r="D109" s="417"/>
      <c r="E109" s="417" t="n">
        <f aca="false">E556</f>
        <v>0</v>
      </c>
      <c r="F109" s="417" t="n">
        <f aca="false">F556</f>
        <v>0</v>
      </c>
      <c r="G109" s="417" t="n">
        <f aca="false">G556</f>
        <v>0</v>
      </c>
      <c r="H109" s="418" t="n">
        <f aca="false">H556</f>
        <v>0</v>
      </c>
      <c r="I109" s="417" t="n">
        <f aca="false">IF(I531="YES",I533+((I570-I532)*I289)*C328,I570*I289*C328)+(I556*I313*C328)</f>
        <v>0</v>
      </c>
      <c r="J109" s="417" t="n">
        <f aca="false">IF(J531="YES",J533+((J570-J532)*J289),J570*J289)+(J556*J313)</f>
        <v>0</v>
      </c>
      <c r="K109" s="417" t="n">
        <f aca="false">IF(K531="YES",K533+((K570-K532)*K289),K570*K289)+(K556*K313)</f>
        <v>0</v>
      </c>
      <c r="L109" s="417" t="n">
        <f aca="false">IF(L531="YES",L533+((L570-L532)*L289),L570*L289)+(L556*L313)</f>
        <v>0</v>
      </c>
      <c r="M109" s="417" t="n">
        <f aca="false">IF(M531="YES",M533+((M570-M532)*M289),M570*M289)+(M556*M313)</f>
        <v>0</v>
      </c>
      <c r="N109" s="417" t="n">
        <f aca="false">IF(N531="YES",N533+((N570-N532)*N289),N570*N289)+(N556*N313)</f>
        <v>0</v>
      </c>
      <c r="O109" s="417" t="n">
        <f aca="false">IF(O531="YES",O533+((O570-O532)*O289),O570*O289)+(O556*O313)</f>
        <v>0</v>
      </c>
      <c r="P109" s="417" t="n">
        <f aca="false">IF(P531="YES",P533+((P570-P532)*P289),P570*P289)+(P556*P313)</f>
        <v>0</v>
      </c>
      <c r="Q109" s="417" t="n">
        <f aca="false">IF(Q531="YES",Q533+((Q570-Q532)*Q289),Q570*Q289)+(Q556*Q313)</f>
        <v>0</v>
      </c>
      <c r="R109" s="417" t="n">
        <f aca="false">IF(R531="YES",R533+((R570-R532)*R289),R570*R289)+(R556*R313)</f>
        <v>0</v>
      </c>
      <c r="S109" s="417" t="n">
        <f aca="false">IF(S531="YES",S533+((S570-S532)*S289),S570*S289)+(S556*S313)</f>
        <v>0</v>
      </c>
      <c r="T109" s="417" t="n">
        <f aca="false">IF(T531="YES",T533+((T570-T532)*T289),T570*T289)+(T556*T313)</f>
        <v>0</v>
      </c>
      <c r="U109" s="417" t="n">
        <f aca="false">IF(U531="YES",U533+((U570-U532)*U289),U570*U289)+(U556*U313)</f>
        <v>0</v>
      </c>
      <c r="V109" s="417" t="n">
        <f aca="false">IF(V531="YES",V533+((V570-V532)*V289),V570*V289)+(V556*V313)</f>
        <v>0</v>
      </c>
      <c r="W109" s="417" t="n">
        <f aca="false">IF(W531="YES",W533+((W570-W532)*W289),W570*W289)+(W556*W313)</f>
        <v>0</v>
      </c>
      <c r="X109" s="417" t="n">
        <f aca="false">IF(X531="YES",X533+((X570-X532)*X289),X570*X289)+(X556*X313)</f>
        <v>0</v>
      </c>
      <c r="Y109" s="417" t="n">
        <f aca="false">IF(Y531="YES",Y533+((Y570-Y532)*Y289),Y570*Y289)+(Y556*Y313)</f>
        <v>0</v>
      </c>
      <c r="Z109" s="417" t="n">
        <f aca="false">IF(Z531="YES",Z533+((Z570-Z532)*Z289),Z570*Z289)+(Z556*Z313)</f>
        <v>0</v>
      </c>
      <c r="AA109" s="417" t="n">
        <f aca="false">IF(AA531="YES",AA533+((AA570-AA532)*AA289),AA570*AA289)+(AA556*AA313)</f>
        <v>0</v>
      </c>
      <c r="AB109" s="417" t="n">
        <f aca="false">IF(AB531="YES",AB533+((AB570-AB532)*AB289),AB570*AB289)+(AB556*AB313)</f>
        <v>0</v>
      </c>
      <c r="AC109" s="417" t="n">
        <f aca="false">IF(AC531="YES",AC533+((AC570-AC532)*AC289),AC570*AC289)+(AC556*AC313)</f>
        <v>0</v>
      </c>
    </row>
    <row r="110" customFormat="false" ht="12" hidden="false" customHeight="false" outlineLevel="0" collapsed="false">
      <c r="A110" s="307" t="s">
        <v>673</v>
      </c>
      <c r="E110" s="388" t="n">
        <f aca="false">E107-E109</f>
        <v>0</v>
      </c>
      <c r="F110" s="388" t="n">
        <f aca="false">F107-F109</f>
        <v>-75.377</v>
      </c>
      <c r="G110" s="388" t="n">
        <f aca="false">G107-G109</f>
        <v>134.18</v>
      </c>
      <c r="H110" s="427" t="n">
        <f aca="false">H107-H109</f>
        <v>40.479</v>
      </c>
      <c r="I110" s="388" t="e">
        <f aca="false">I107-I109</f>
        <v>#VALUE!</v>
      </c>
      <c r="J110" s="388" t="e">
        <f aca="false">J107-J109</f>
        <v>#VALUE!</v>
      </c>
      <c r="K110" s="388" t="e">
        <f aca="false">K107-K109</f>
        <v>#VALUE!</v>
      </c>
      <c r="L110" s="388" t="e">
        <f aca="false">L107-L109</f>
        <v>#VALUE!</v>
      </c>
      <c r="M110" s="388" t="e">
        <f aca="false">M107-M109</f>
        <v>#VALUE!</v>
      </c>
      <c r="N110" s="388" t="e">
        <f aca="false">N107-N109</f>
        <v>#VALUE!</v>
      </c>
      <c r="O110" s="388" t="e">
        <f aca="false">O107-O109</f>
        <v>#VALUE!</v>
      </c>
      <c r="P110" s="388" t="e">
        <f aca="false">P107-P109</f>
        <v>#VALUE!</v>
      </c>
      <c r="Q110" s="388" t="e">
        <f aca="false">Q107-Q109</f>
        <v>#VALUE!</v>
      </c>
      <c r="R110" s="388" t="e">
        <f aca="false">R107-R109</f>
        <v>#VALUE!</v>
      </c>
      <c r="S110" s="388" t="e">
        <f aca="false">S107-S109</f>
        <v>#VALUE!</v>
      </c>
      <c r="T110" s="388" t="e">
        <f aca="false">T107-T109</f>
        <v>#VALUE!</v>
      </c>
      <c r="U110" s="388" t="e">
        <f aca="false">U107-U109</f>
        <v>#VALUE!</v>
      </c>
      <c r="V110" s="388" t="e">
        <f aca="false">V107-V109</f>
        <v>#VALUE!</v>
      </c>
      <c r="W110" s="388" t="e">
        <f aca="false">W107-W109</f>
        <v>#VALUE!</v>
      </c>
      <c r="X110" s="388" t="e">
        <f aca="false">X107-X109</f>
        <v>#VALUE!</v>
      </c>
      <c r="Y110" s="388" t="e">
        <f aca="false">Y107-Y109</f>
        <v>#VALUE!</v>
      </c>
      <c r="Z110" s="388" t="e">
        <f aca="false">Z107-Z109</f>
        <v>#VALUE!</v>
      </c>
      <c r="AA110" s="388" t="e">
        <f aca="false">AA107-AA109</f>
        <v>#VALUE!</v>
      </c>
      <c r="AB110" s="388" t="e">
        <f aca="false">AB107-AB109</f>
        <v>#VALUE!</v>
      </c>
      <c r="AC110" s="388" t="e">
        <f aca="false">AC107-AC109</f>
        <v>#VALUE!</v>
      </c>
    </row>
    <row r="111" customFormat="false" ht="12" hidden="false" customHeight="false" outlineLevel="0" collapsed="false">
      <c r="H111" s="421"/>
    </row>
    <row r="112" customFormat="false" ht="11.25" hidden="false" customHeight="false" outlineLevel="0" collapsed="false">
      <c r="A112" s="43" t="s">
        <v>674</v>
      </c>
      <c r="E112" s="35" t="n">
        <f aca="false">E557</f>
        <v>0</v>
      </c>
      <c r="F112" s="35" t="n">
        <f aca="false">F557</f>
        <v>0</v>
      </c>
      <c r="G112" s="35" t="n">
        <f aca="false">G557</f>
        <v>0</v>
      </c>
      <c r="H112" s="421" t="n">
        <f aca="false">H557</f>
        <v>0</v>
      </c>
      <c r="I112" s="35" t="e">
        <f aca="false">IF(I110&lt;0,0,I110*I571)*C328</f>
        <v>#VALUE!</v>
      </c>
      <c r="J112" s="35" t="e">
        <f aca="false">IF(J110&lt;0,0,J110*J571)</f>
        <v>#VALUE!</v>
      </c>
      <c r="K112" s="35" t="e">
        <f aca="false">IF(K110&lt;0,0,K110*K571)</f>
        <v>#VALUE!</v>
      </c>
      <c r="L112" s="35" t="e">
        <f aca="false">IF(L110&lt;0,0,L110*L571)</f>
        <v>#VALUE!</v>
      </c>
      <c r="M112" s="35" t="e">
        <f aca="false">IF(M110&lt;0,0,M110*M571)</f>
        <v>#VALUE!</v>
      </c>
      <c r="N112" s="35" t="e">
        <f aca="false">IF(N110&lt;0,0,N110*N571)</f>
        <v>#VALUE!</v>
      </c>
      <c r="O112" s="35" t="e">
        <f aca="false">IF(O110&lt;0,0,O110*O571)</f>
        <v>#VALUE!</v>
      </c>
      <c r="P112" s="35" t="e">
        <f aca="false">IF(P110&lt;0,0,P110*P571)</f>
        <v>#VALUE!</v>
      </c>
      <c r="Q112" s="35" t="e">
        <f aca="false">IF(Q110&lt;0,0,Q110*Q571)</f>
        <v>#VALUE!</v>
      </c>
      <c r="R112" s="35" t="e">
        <f aca="false">IF(R110&lt;0,0,R110*R571)</f>
        <v>#VALUE!</v>
      </c>
      <c r="S112" s="35" t="e">
        <f aca="false">IF(S110&lt;0,0,S110*S571)</f>
        <v>#VALUE!</v>
      </c>
      <c r="T112" s="35" t="e">
        <f aca="false">IF(T110&lt;0,0,T110*T571)</f>
        <v>#VALUE!</v>
      </c>
      <c r="U112" s="35" t="e">
        <f aca="false">IF(U110&lt;0,0,U110*U571)</f>
        <v>#VALUE!</v>
      </c>
      <c r="V112" s="35" t="e">
        <f aca="false">IF(V110&lt;0,0,V110*V571)</f>
        <v>#VALUE!</v>
      </c>
      <c r="W112" s="35" t="e">
        <f aca="false">IF(W110&lt;0,0,W110*W571)</f>
        <v>#VALUE!</v>
      </c>
      <c r="X112" s="35" t="e">
        <f aca="false">IF(X110&lt;0,0,X110*X571)</f>
        <v>#VALUE!</v>
      </c>
      <c r="Y112" s="35" t="e">
        <f aca="false">IF(Y110&lt;0,0,Y110*Y571)</f>
        <v>#VALUE!</v>
      </c>
      <c r="Z112" s="35" t="e">
        <f aca="false">IF(Z110&lt;0,0,Z110*Z571)</f>
        <v>#VALUE!</v>
      </c>
      <c r="AA112" s="35" t="e">
        <f aca="false">IF(AA110&lt;0,0,AA110*AA571)</f>
        <v>#VALUE!</v>
      </c>
      <c r="AB112" s="35" t="e">
        <f aca="false">IF(AB110&lt;0,0,AB110*AB571)</f>
        <v>#VALUE!</v>
      </c>
      <c r="AC112" s="35" t="e">
        <f aca="false">IF(AC110&lt;0,0,AC110*AC571)</f>
        <v>#VALUE!</v>
      </c>
    </row>
    <row r="113" customFormat="false" ht="11.25" hidden="false" customHeight="false" outlineLevel="0" collapsed="false">
      <c r="A113" s="67"/>
      <c r="B113" s="67"/>
      <c r="C113" s="67"/>
      <c r="D113" s="67"/>
      <c r="E113" s="67"/>
      <c r="F113" s="67"/>
      <c r="G113" s="67"/>
      <c r="H113" s="67"/>
      <c r="I113" s="67"/>
      <c r="J113" s="67"/>
      <c r="K113" s="67"/>
      <c r="L113" s="67"/>
      <c r="M113" s="67"/>
      <c r="N113" s="67"/>
      <c r="O113" s="67"/>
      <c r="P113" s="67"/>
      <c r="Q113" s="67"/>
      <c r="R113" s="67"/>
      <c r="S113" s="67"/>
      <c r="T113" s="67"/>
      <c r="U113" s="67"/>
      <c r="V113" s="67"/>
      <c r="W113" s="67"/>
      <c r="X113" s="67"/>
      <c r="Y113" s="67"/>
      <c r="Z113" s="67"/>
      <c r="AA113" s="67"/>
      <c r="AB113" s="67"/>
      <c r="AC113" s="67"/>
    </row>
    <row r="114" customFormat="false" ht="12" hidden="false" customHeight="false" outlineLevel="0" collapsed="false">
      <c r="A114" s="67"/>
      <c r="B114" s="67"/>
      <c r="C114" s="67"/>
      <c r="D114" s="67"/>
      <c r="E114" s="67"/>
      <c r="F114" s="67"/>
      <c r="G114" s="67"/>
      <c r="H114" s="67"/>
      <c r="I114" s="67"/>
      <c r="J114" s="67"/>
      <c r="K114" s="67"/>
      <c r="L114" s="67"/>
      <c r="M114" s="67"/>
      <c r="N114" s="67"/>
      <c r="O114" s="67"/>
      <c r="P114" s="67"/>
      <c r="Q114" s="67"/>
      <c r="R114" s="67"/>
      <c r="S114" s="67"/>
      <c r="T114" s="67"/>
      <c r="U114" s="67"/>
      <c r="V114" s="67"/>
      <c r="W114" s="67"/>
      <c r="X114" s="67"/>
      <c r="Y114" s="67"/>
      <c r="Z114" s="67"/>
      <c r="AA114" s="67"/>
      <c r="AB114" s="67"/>
      <c r="AC114" s="67"/>
    </row>
    <row r="115" customFormat="false" ht="12.75" hidden="false" customHeight="false" outlineLevel="0" collapsed="false">
      <c r="E115" s="428"/>
      <c r="F115" s="428"/>
      <c r="G115" s="428"/>
      <c r="H115" s="429" t="n">
        <f aca="false">N388</f>
        <v>36341</v>
      </c>
      <c r="I115" s="81" t="str">
        <f aca="false">$I$579&amp;"/"&amp;TEXT($I$580,"0")</f>
        <v>6 M/1999</v>
      </c>
      <c r="J115" s="395" t="n">
        <f aca="false">J580</f>
        <v>2000</v>
      </c>
      <c r="K115" s="395" t="n">
        <f aca="false">K580</f>
        <v>2001</v>
      </c>
      <c r="L115" s="395" t="n">
        <f aca="false">L580</f>
        <v>2002</v>
      </c>
      <c r="M115" s="395" t="n">
        <f aca="false">M580</f>
        <v>2003</v>
      </c>
      <c r="N115" s="395" t="n">
        <f aca="false">N580</f>
        <v>2004</v>
      </c>
      <c r="O115" s="395" t="n">
        <f aca="false">O580</f>
        <v>2005</v>
      </c>
      <c r="P115" s="395" t="n">
        <f aca="false">P580</f>
        <v>2006</v>
      </c>
      <c r="Q115" s="395" t="n">
        <f aca="false">Q580</f>
        <v>2007</v>
      </c>
      <c r="R115" s="395" t="n">
        <f aca="false">R580</f>
        <v>2008</v>
      </c>
      <c r="S115" s="395" t="n">
        <f aca="false">S580</f>
        <v>2009</v>
      </c>
      <c r="T115" s="395" t="n">
        <f aca="false">T580</f>
        <v>2010</v>
      </c>
      <c r="U115" s="395" t="n">
        <f aca="false">U580</f>
        <v>2011</v>
      </c>
      <c r="V115" s="395" t="n">
        <f aca="false">V580</f>
        <v>2012</v>
      </c>
      <c r="W115" s="395" t="n">
        <f aca="false">W580</f>
        <v>2013</v>
      </c>
      <c r="X115" s="395" t="n">
        <f aca="false">X580</f>
        <v>2014</v>
      </c>
      <c r="Y115" s="395" t="n">
        <f aca="false">Y580</f>
        <v>2015</v>
      </c>
      <c r="Z115" s="395" t="n">
        <f aca="false">Z580</f>
        <v>2016</v>
      </c>
      <c r="AA115" s="395" t="n">
        <f aca="false">AA580</f>
        <v>2017</v>
      </c>
      <c r="AB115" s="395" t="n">
        <f aca="false">AB580</f>
        <v>2018</v>
      </c>
      <c r="AC115" s="395" t="n">
        <f aca="false">AC580</f>
        <v>2019</v>
      </c>
    </row>
    <row r="116" customFormat="false" ht="12" hidden="false" customHeight="false" outlineLevel="0" collapsed="false">
      <c r="A116" s="153" t="s">
        <v>675</v>
      </c>
      <c r="D116" s="260"/>
      <c r="E116" s="260"/>
      <c r="F116" s="260"/>
      <c r="G116" s="260"/>
      <c r="H116" s="67"/>
      <c r="I116" s="67"/>
      <c r="J116" s="67"/>
      <c r="K116" s="67"/>
      <c r="L116" s="67"/>
      <c r="M116" s="67"/>
      <c r="N116" s="67"/>
      <c r="O116" s="67"/>
      <c r="P116" s="67"/>
      <c r="Q116" s="67"/>
      <c r="R116" s="67"/>
      <c r="S116" s="67"/>
      <c r="T116" s="67"/>
      <c r="U116" s="67"/>
      <c r="V116" s="67"/>
      <c r="W116" s="67"/>
      <c r="X116" s="67"/>
      <c r="Y116" s="67"/>
      <c r="Z116" s="67"/>
      <c r="AA116" s="67"/>
      <c r="AB116" s="67"/>
      <c r="AC116" s="67"/>
    </row>
    <row r="117" customFormat="false" ht="11.25" hidden="false" customHeight="false" outlineLevel="0" collapsed="false">
      <c r="A117" s="307" t="s">
        <v>676</v>
      </c>
      <c r="G117" s="417"/>
      <c r="H117" s="417"/>
      <c r="I117" s="417"/>
      <c r="J117" s="417"/>
      <c r="K117" s="417"/>
      <c r="L117" s="417"/>
      <c r="M117" s="417"/>
      <c r="N117" s="417"/>
      <c r="O117" s="417"/>
      <c r="P117" s="417"/>
      <c r="Q117" s="417"/>
      <c r="R117" s="417"/>
      <c r="S117" s="417"/>
      <c r="T117" s="417"/>
      <c r="U117" s="417"/>
      <c r="V117" s="417"/>
      <c r="W117" s="417"/>
      <c r="X117" s="417"/>
      <c r="Y117" s="417"/>
      <c r="Z117" s="417"/>
      <c r="AA117" s="417"/>
      <c r="AB117" s="417"/>
      <c r="AC117" s="417"/>
    </row>
    <row r="118" customFormat="false" ht="11.25" hidden="false" customHeight="false" outlineLevel="0" collapsed="false">
      <c r="A118" s="35" t="str">
        <f aca="false">A107</f>
        <v>Net Income</v>
      </c>
      <c r="G118" s="417"/>
      <c r="H118" s="417"/>
      <c r="I118" s="417" t="e">
        <f aca="false">I107</f>
        <v>#VALUE!</v>
      </c>
      <c r="J118" s="417" t="e">
        <f aca="false">J107</f>
        <v>#VALUE!</v>
      </c>
      <c r="K118" s="417" t="e">
        <f aca="false">K107</f>
        <v>#VALUE!</v>
      </c>
      <c r="L118" s="417" t="e">
        <f aca="false">L107</f>
        <v>#VALUE!</v>
      </c>
      <c r="M118" s="417" t="e">
        <f aca="false">M107</f>
        <v>#VALUE!</v>
      </c>
      <c r="N118" s="417" t="e">
        <f aca="false">N107</f>
        <v>#VALUE!</v>
      </c>
      <c r="O118" s="417" t="e">
        <f aca="false">O107</f>
        <v>#VALUE!</v>
      </c>
      <c r="P118" s="417" t="e">
        <f aca="false">P107</f>
        <v>#VALUE!</v>
      </c>
      <c r="Q118" s="417" t="e">
        <f aca="false">Q107</f>
        <v>#VALUE!</v>
      </c>
      <c r="R118" s="417" t="e">
        <f aca="false">R107</f>
        <v>#VALUE!</v>
      </c>
      <c r="S118" s="417" t="e">
        <f aca="false">S107</f>
        <v>#VALUE!</v>
      </c>
      <c r="T118" s="417" t="e">
        <f aca="false">T107</f>
        <v>#VALUE!</v>
      </c>
      <c r="U118" s="417" t="e">
        <f aca="false">U107</f>
        <v>#VALUE!</v>
      </c>
      <c r="V118" s="417" t="e">
        <f aca="false">V107</f>
        <v>#VALUE!</v>
      </c>
      <c r="W118" s="417" t="e">
        <f aca="false">W107</f>
        <v>#VALUE!</v>
      </c>
      <c r="X118" s="417" t="e">
        <f aca="false">X107</f>
        <v>#VALUE!</v>
      </c>
      <c r="Y118" s="417" t="e">
        <f aca="false">Y107</f>
        <v>#VALUE!</v>
      </c>
      <c r="Z118" s="417" t="e">
        <f aca="false">Z107</f>
        <v>#VALUE!</v>
      </c>
      <c r="AA118" s="417" t="e">
        <f aca="false">AA107</f>
        <v>#VALUE!</v>
      </c>
      <c r="AB118" s="417" t="e">
        <f aca="false">AB107</f>
        <v>#VALUE!</v>
      </c>
      <c r="AC118" s="417" t="e">
        <f aca="false">AC107</f>
        <v>#VALUE!</v>
      </c>
    </row>
    <row r="119" customFormat="false" ht="11.25" hidden="false" customHeight="false" outlineLevel="0" collapsed="false">
      <c r="A119" s="43" t="s">
        <v>677</v>
      </c>
      <c r="G119" s="417"/>
      <c r="H119" s="417"/>
      <c r="I119" s="417" t="n">
        <f aca="false">I76+I77+I78+I79</f>
        <v>0</v>
      </c>
      <c r="J119" s="417" t="n">
        <f aca="false">J76+J77+J78+J79</f>
        <v>0</v>
      </c>
      <c r="K119" s="417" t="n">
        <f aca="false">K76+K77+K78+K79</f>
        <v>0</v>
      </c>
      <c r="L119" s="417" t="n">
        <f aca="false">L76+L77+L78+L79</f>
        <v>0</v>
      </c>
      <c r="M119" s="417" t="n">
        <f aca="false">M76+M77+M78+M79</f>
        <v>0</v>
      </c>
      <c r="N119" s="417" t="n">
        <f aca="false">N76+N77+N78+N79</f>
        <v>0</v>
      </c>
      <c r="O119" s="417" t="n">
        <f aca="false">O76+O77+O78+O79</f>
        <v>4.37940610692124</v>
      </c>
      <c r="P119" s="417" t="n">
        <f aca="false">P76+P77+P78+P79</f>
        <v>4.73479130132525</v>
      </c>
      <c r="Q119" s="417" t="n">
        <f aca="false">Q76+Q77+Q78+Q79</f>
        <v>7.10183406065871</v>
      </c>
      <c r="R119" s="417" t="n">
        <f aca="false">R76+R77+R78+R79</f>
        <v>6.06029350365411</v>
      </c>
      <c r="S119" s="417" t="n">
        <f aca="false">S76+S77+S78+S79</f>
        <v>5.13462160166333</v>
      </c>
      <c r="T119" s="417" t="n">
        <f aca="false">T76+T77+T78+T79</f>
        <v>4.31369340045704</v>
      </c>
      <c r="U119" s="417" t="n">
        <f aca="false">U76+U77+U78+U79</f>
        <v>3.61604708594512</v>
      </c>
      <c r="V119" s="417" t="n">
        <f aca="false">V76+V77+V78+V79</f>
        <v>2.96902765639283</v>
      </c>
      <c r="W119" s="417" t="n">
        <f aca="false">W76+W77+W78+W79</f>
        <v>2.43484435655219</v>
      </c>
      <c r="X119" s="417" t="n">
        <f aca="false">X76+X77+X78+X79</f>
        <v>1.9752031273748</v>
      </c>
      <c r="Y119" s="417" t="n">
        <f aca="false">Y76+Y77+Y78+Y79</f>
        <v>1.55663930896327</v>
      </c>
      <c r="Z119" s="417" t="n">
        <f aca="false">Z76+Z77+Z78+Z79</f>
        <v>1.14351365103143</v>
      </c>
      <c r="AA119" s="417" t="n">
        <f aca="false">AA76+AA77+AA78+AA79</f>
        <v>0.874427280159617</v>
      </c>
      <c r="AB119" s="417" t="n">
        <f aca="false">AB76+AB77+AB78+AB79</f>
        <v>0.672671998471635</v>
      </c>
      <c r="AC119" s="417" t="n">
        <f aca="false">AC76+AC77+AC78+AC79</f>
        <v>0.555985560429433</v>
      </c>
    </row>
    <row r="120" customFormat="false" ht="11.25" hidden="false" customHeight="false" outlineLevel="0" collapsed="false">
      <c r="A120" s="43" t="s">
        <v>678</v>
      </c>
      <c r="I120" s="35" t="n">
        <f aca="false">I80</f>
        <v>0</v>
      </c>
      <c r="J120" s="35" t="n">
        <f aca="false">J80</f>
        <v>0</v>
      </c>
      <c r="K120" s="35" t="n">
        <f aca="false">K80</f>
        <v>0</v>
      </c>
      <c r="L120" s="35" t="n">
        <f aca="false">L80</f>
        <v>0</v>
      </c>
      <c r="M120" s="35" t="n">
        <f aca="false">M80</f>
        <v>0</v>
      </c>
      <c r="N120" s="35" t="n">
        <f aca="false">N80</f>
        <v>0</v>
      </c>
      <c r="O120" s="35" t="n">
        <f aca="false">O80</f>
        <v>0</v>
      </c>
      <c r="P120" s="35" t="n">
        <f aca="false">P80</f>
        <v>0</v>
      </c>
      <c r="Q120" s="35" t="n">
        <f aca="false">Q80</f>
        <v>0</v>
      </c>
      <c r="R120" s="35" t="n">
        <f aca="false">R80</f>
        <v>0</v>
      </c>
      <c r="S120" s="35" t="n">
        <f aca="false">S80</f>
        <v>0</v>
      </c>
      <c r="T120" s="35" t="n">
        <f aca="false">T80</f>
        <v>0</v>
      </c>
      <c r="U120" s="35" t="n">
        <f aca="false">U80</f>
        <v>0</v>
      </c>
      <c r="V120" s="35" t="n">
        <f aca="false">V80</f>
        <v>0</v>
      </c>
      <c r="W120" s="35" t="n">
        <f aca="false">W80</f>
        <v>0</v>
      </c>
      <c r="X120" s="35" t="n">
        <f aca="false">X80</f>
        <v>0</v>
      </c>
      <c r="Y120" s="35" t="n">
        <f aca="false">Y80</f>
        <v>0</v>
      </c>
      <c r="Z120" s="35" t="n">
        <f aca="false">Z80</f>
        <v>0</v>
      </c>
      <c r="AA120" s="35" t="n">
        <f aca="false">AA80</f>
        <v>0</v>
      </c>
      <c r="AB120" s="35" t="n">
        <f aca="false">AB80</f>
        <v>0</v>
      </c>
      <c r="AC120" s="35" t="n">
        <f aca="false">AC80</f>
        <v>0</v>
      </c>
    </row>
    <row r="121" customFormat="false" ht="11.25" hidden="false" customHeight="false" outlineLevel="0" collapsed="false">
      <c r="A121" s="43" t="s">
        <v>679</v>
      </c>
      <c r="G121" s="417"/>
      <c r="H121" s="417"/>
      <c r="I121" s="417" t="e">
        <f aca="false">I733</f>
        <v>#VALUE!</v>
      </c>
      <c r="J121" s="417" t="e">
        <f aca="false">J733</f>
        <v>#VALUE!</v>
      </c>
      <c r="K121" s="417" t="e">
        <f aca="false">K733</f>
        <v>#VALUE!</v>
      </c>
      <c r="L121" s="417" t="e">
        <f aca="false">L733</f>
        <v>#VALUE!</v>
      </c>
      <c r="M121" s="417" t="e">
        <f aca="false">M733</f>
        <v>#VALUE!</v>
      </c>
      <c r="N121" s="417" t="e">
        <f aca="false">N733</f>
        <v>#VALUE!</v>
      </c>
      <c r="O121" s="417" t="e">
        <f aca="false">O733</f>
        <v>#VALUE!</v>
      </c>
      <c r="P121" s="417" t="e">
        <f aca="false">P733</f>
        <v>#VALUE!</v>
      </c>
      <c r="Q121" s="417" t="e">
        <f aca="false">Q733</f>
        <v>#VALUE!</v>
      </c>
      <c r="R121" s="417" t="e">
        <f aca="false">R733</f>
        <v>#VALUE!</v>
      </c>
      <c r="S121" s="417" t="e">
        <f aca="false">S733</f>
        <v>#VALUE!</v>
      </c>
      <c r="T121" s="417" t="e">
        <f aca="false">T733</f>
        <v>#VALUE!</v>
      </c>
      <c r="U121" s="417" t="e">
        <f aca="false">U733</f>
        <v>#VALUE!</v>
      </c>
      <c r="V121" s="417" t="e">
        <f aca="false">V733</f>
        <v>#VALUE!</v>
      </c>
      <c r="W121" s="417" t="e">
        <f aca="false">W733</f>
        <v>#VALUE!</v>
      </c>
      <c r="X121" s="417" t="e">
        <f aca="false">X733</f>
        <v>#VALUE!</v>
      </c>
      <c r="Y121" s="417" t="n">
        <f aca="false">Y733</f>
        <v>0</v>
      </c>
      <c r="Z121" s="417" t="e">
        <f aca="false">Z733</f>
        <v>#VALUE!</v>
      </c>
      <c r="AA121" s="417" t="e">
        <f aca="false">AA733</f>
        <v>#VALUE!</v>
      </c>
      <c r="AB121" s="417" t="e">
        <f aca="false">AB733</f>
        <v>#VALUE!</v>
      </c>
      <c r="AC121" s="417" t="e">
        <f aca="false">AC733</f>
        <v>#VALUE!</v>
      </c>
    </row>
    <row r="122" customFormat="false" ht="11.25" hidden="false" customHeight="false" outlineLevel="0" collapsed="false">
      <c r="A122" s="43" t="s">
        <v>680</v>
      </c>
      <c r="G122" s="417"/>
      <c r="H122" s="417"/>
      <c r="I122" s="417" t="n">
        <f aca="false">(+I519*-1)+I533+(I527*-1)</f>
        <v>0</v>
      </c>
      <c r="J122" s="417" t="n">
        <f aca="false">(+J519*-1)+J533+(J527*-1)</f>
        <v>0</v>
      </c>
      <c r="K122" s="417" t="n">
        <f aca="false">(+K519*-1)+K533+(K527*-1)</f>
        <v>0</v>
      </c>
      <c r="L122" s="417" t="n">
        <f aca="false">(+L519*-1)+L533+(L527*-1)</f>
        <v>0</v>
      </c>
      <c r="M122" s="417" t="n">
        <f aca="false">(+M519*-1)+M533+(M527*-1)</f>
        <v>0</v>
      </c>
      <c r="N122" s="417" t="n">
        <f aca="false">(+N519*-1)+N533+(N527*-1)</f>
        <v>0</v>
      </c>
      <c r="O122" s="417" t="n">
        <f aca="false">(+O519*-1)+O533+(O527*-1)</f>
        <v>0</v>
      </c>
      <c r="P122" s="417" t="n">
        <f aca="false">(+P519*-1)+P533+(P527*-1)</f>
        <v>0</v>
      </c>
      <c r="Q122" s="417" t="n">
        <f aca="false">(+Q519*-1)+Q533+(Q527*-1)</f>
        <v>0</v>
      </c>
      <c r="R122" s="417" t="n">
        <f aca="false">(+R519*-1)+R533+(R527*-1)</f>
        <v>0</v>
      </c>
      <c r="S122" s="417" t="n">
        <f aca="false">(+S519*-1)+S533+(S527*-1)</f>
        <v>0</v>
      </c>
      <c r="T122" s="417" t="n">
        <f aca="false">(+T519*-1)+T533+(T527*-1)</f>
        <v>0</v>
      </c>
      <c r="U122" s="417" t="n">
        <f aca="false">(+U519*-1)+U533+(U527*-1)</f>
        <v>0</v>
      </c>
      <c r="V122" s="417" t="n">
        <f aca="false">(+V519*-1)+V533+(V527*-1)</f>
        <v>0</v>
      </c>
      <c r="W122" s="417" t="n">
        <f aca="false">(+W519*-1)+W533+(W527*-1)</f>
        <v>0</v>
      </c>
      <c r="X122" s="417" t="n">
        <f aca="false">(+X519*-1)+X533+(X527*-1)</f>
        <v>0</v>
      </c>
      <c r="Y122" s="417" t="n">
        <f aca="false">(+Y519*-1)+Y533+(Y527*-1)</f>
        <v>0</v>
      </c>
      <c r="Z122" s="417" t="n">
        <f aca="false">(+Z519*-1)+Z533+(Z527*-1)</f>
        <v>0</v>
      </c>
      <c r="AA122" s="417" t="n">
        <f aca="false">(+AA519*-1)+AA533+(AA527*-1)</f>
        <v>0</v>
      </c>
      <c r="AB122" s="417" t="n">
        <f aca="false">(+AB519*-1)+AB533+(AB527*-1)</f>
        <v>0</v>
      </c>
      <c r="AC122" s="417" t="n">
        <f aca="false">(+AC519*-1)+AC533+(AC527*-1)</f>
        <v>0</v>
      </c>
    </row>
    <row r="123" customFormat="false" ht="11.25" hidden="false" customHeight="false" outlineLevel="0" collapsed="false">
      <c r="A123" s="35" t="str">
        <f aca="false">A463</f>
        <v>Increase/(Decrease) in Other Liabilities</v>
      </c>
      <c r="I123" s="35" t="n">
        <f aca="false">I463</f>
        <v>0</v>
      </c>
      <c r="J123" s="35" t="n">
        <f aca="false">J463</f>
        <v>0</v>
      </c>
      <c r="K123" s="35" t="n">
        <f aca="false">K463</f>
        <v>0</v>
      </c>
      <c r="L123" s="35" t="n">
        <f aca="false">L463</f>
        <v>0</v>
      </c>
      <c r="M123" s="35" t="n">
        <f aca="false">M463</f>
        <v>0</v>
      </c>
      <c r="N123" s="35" t="n">
        <f aca="false">N463</f>
        <v>0</v>
      </c>
      <c r="O123" s="35" t="n">
        <f aca="false">O463</f>
        <v>0</v>
      </c>
      <c r="P123" s="35" t="n">
        <f aca="false">P463</f>
        <v>0</v>
      </c>
      <c r="Q123" s="35" t="n">
        <f aca="false">Q463</f>
        <v>0</v>
      </c>
      <c r="R123" s="35" t="n">
        <f aca="false">R463</f>
        <v>0</v>
      </c>
      <c r="S123" s="35" t="n">
        <f aca="false">S463</f>
        <v>0</v>
      </c>
      <c r="T123" s="35" t="n">
        <f aca="false">T463</f>
        <v>0</v>
      </c>
      <c r="U123" s="35" t="n">
        <f aca="false">U463</f>
        <v>0</v>
      </c>
      <c r="V123" s="35" t="n">
        <f aca="false">V463</f>
        <v>0</v>
      </c>
      <c r="W123" s="35" t="n">
        <f aca="false">W463</f>
        <v>0</v>
      </c>
      <c r="X123" s="35" t="n">
        <f aca="false">X463</f>
        <v>0</v>
      </c>
      <c r="Y123" s="35" t="n">
        <f aca="false">Y463</f>
        <v>0</v>
      </c>
      <c r="Z123" s="35" t="n">
        <f aca="false">Z463</f>
        <v>0</v>
      </c>
      <c r="AA123" s="35" t="n">
        <f aca="false">AA463</f>
        <v>0</v>
      </c>
      <c r="AB123" s="35" t="n">
        <f aca="false">AB463</f>
        <v>0</v>
      </c>
      <c r="AC123" s="35" t="n">
        <f aca="false">AC463</f>
        <v>0</v>
      </c>
    </row>
    <row r="124" customFormat="false" ht="11.25" hidden="false" customHeight="false" outlineLevel="0" collapsed="false">
      <c r="A124" s="43" t="s">
        <v>681</v>
      </c>
      <c r="G124" s="417"/>
      <c r="H124" s="417"/>
      <c r="I124" s="417" t="n">
        <f aca="false">I605</f>
        <v>0</v>
      </c>
      <c r="J124" s="417" t="n">
        <f aca="false">J605</f>
        <v>0</v>
      </c>
      <c r="K124" s="417" t="n">
        <f aca="false">K605</f>
        <v>0</v>
      </c>
      <c r="L124" s="417" t="n">
        <f aca="false">L605</f>
        <v>0</v>
      </c>
      <c r="M124" s="417" t="n">
        <f aca="false">M605</f>
        <v>0</v>
      </c>
      <c r="N124" s="417" t="n">
        <f aca="false">N605</f>
        <v>0</v>
      </c>
      <c r="O124" s="417" t="n">
        <f aca="false">O605</f>
        <v>0</v>
      </c>
      <c r="P124" s="417" t="n">
        <f aca="false">P605</f>
        <v>0</v>
      </c>
      <c r="Q124" s="417" t="n">
        <f aca="false">Q605</f>
        <v>0</v>
      </c>
      <c r="R124" s="417" t="n">
        <f aca="false">R605</f>
        <v>0</v>
      </c>
      <c r="S124" s="417" t="n">
        <f aca="false">S605</f>
        <v>0</v>
      </c>
      <c r="T124" s="417" t="n">
        <f aca="false">T605</f>
        <v>0</v>
      </c>
      <c r="U124" s="417" t="n">
        <f aca="false">U605</f>
        <v>0</v>
      </c>
      <c r="V124" s="417" t="n">
        <f aca="false">V605</f>
        <v>0</v>
      </c>
      <c r="W124" s="417" t="n">
        <f aca="false">W605</f>
        <v>0</v>
      </c>
      <c r="X124" s="417" t="n">
        <f aca="false">X605</f>
        <v>0</v>
      </c>
      <c r="Y124" s="417" t="n">
        <f aca="false">Y605</f>
        <v>0</v>
      </c>
      <c r="Z124" s="417" t="n">
        <f aca="false">Z605</f>
        <v>0</v>
      </c>
      <c r="AA124" s="417" t="n">
        <f aca="false">AA605</f>
        <v>0</v>
      </c>
      <c r="AB124" s="417" t="n">
        <f aca="false">AB605</f>
        <v>0</v>
      </c>
      <c r="AC124" s="417" t="n">
        <f aca="false">AC605</f>
        <v>0</v>
      </c>
    </row>
    <row r="125" customFormat="false" ht="11.25" hidden="false" customHeight="false" outlineLevel="0" collapsed="false">
      <c r="A125" s="307" t="s">
        <v>682</v>
      </c>
      <c r="G125" s="417"/>
      <c r="H125" s="419"/>
      <c r="I125" s="419" t="e">
        <f aca="false">SUM(I118:I124)</f>
        <v>#VALUE!</v>
      </c>
      <c r="J125" s="419" t="e">
        <f aca="false">SUM(J118:J124)</f>
        <v>#VALUE!</v>
      </c>
      <c r="K125" s="419" t="e">
        <f aca="false">SUM(K118:K124)</f>
        <v>#VALUE!</v>
      </c>
      <c r="L125" s="419" t="e">
        <f aca="false">SUM(L118:L124)</f>
        <v>#VALUE!</v>
      </c>
      <c r="M125" s="419" t="e">
        <f aca="false">SUM(M118:M124)</f>
        <v>#VALUE!</v>
      </c>
      <c r="N125" s="419" t="e">
        <f aca="false">SUM(N118:N124)</f>
        <v>#VALUE!</v>
      </c>
      <c r="O125" s="419" t="e">
        <f aca="false">SUM(O118:O124)</f>
        <v>#VALUE!</v>
      </c>
      <c r="P125" s="419" t="e">
        <f aca="false">SUM(P118:P124)</f>
        <v>#VALUE!</v>
      </c>
      <c r="Q125" s="419" t="e">
        <f aca="false">SUM(Q118:Q124)</f>
        <v>#VALUE!</v>
      </c>
      <c r="R125" s="419" t="e">
        <f aca="false">SUM(R118:R124)</f>
        <v>#VALUE!</v>
      </c>
      <c r="S125" s="419" t="e">
        <f aca="false">SUM(S118:S124)</f>
        <v>#VALUE!</v>
      </c>
      <c r="T125" s="419" t="e">
        <f aca="false">SUM(T118:T124)</f>
        <v>#VALUE!</v>
      </c>
      <c r="U125" s="419" t="e">
        <f aca="false">SUM(U118:U124)</f>
        <v>#VALUE!</v>
      </c>
      <c r="V125" s="419" t="e">
        <f aca="false">SUM(V118:V124)</f>
        <v>#VALUE!</v>
      </c>
      <c r="W125" s="419" t="e">
        <f aca="false">SUM(W118:W124)</f>
        <v>#VALUE!</v>
      </c>
      <c r="X125" s="419" t="e">
        <f aca="false">SUM(X118:X124)</f>
        <v>#VALUE!</v>
      </c>
      <c r="Y125" s="419" t="e">
        <f aca="false">SUM(Y118:Y124)</f>
        <v>#VALUE!</v>
      </c>
      <c r="Z125" s="419" t="e">
        <f aca="false">SUM(Z118:Z124)</f>
        <v>#VALUE!</v>
      </c>
      <c r="AA125" s="419" t="e">
        <f aca="false">SUM(AA118:AA124)</f>
        <v>#VALUE!</v>
      </c>
      <c r="AB125" s="419" t="e">
        <f aca="false">SUM(AB118:AB124)</f>
        <v>#VALUE!</v>
      </c>
      <c r="AC125" s="419" t="e">
        <f aca="false">SUM(AC118:AC124)</f>
        <v>#VALUE!</v>
      </c>
    </row>
    <row r="126" customFormat="false" ht="11.25" hidden="false" customHeight="false" outlineLevel="0" collapsed="false">
      <c r="G126" s="417"/>
      <c r="H126" s="417"/>
      <c r="I126" s="417"/>
      <c r="J126" s="417"/>
      <c r="K126" s="417"/>
      <c r="L126" s="417"/>
      <c r="M126" s="417"/>
      <c r="N126" s="417"/>
      <c r="O126" s="417"/>
      <c r="P126" s="417"/>
      <c r="Q126" s="417"/>
      <c r="R126" s="417"/>
      <c r="S126" s="417"/>
      <c r="T126" s="417"/>
      <c r="U126" s="417"/>
      <c r="V126" s="417"/>
      <c r="W126" s="417"/>
      <c r="X126" s="417"/>
      <c r="Y126" s="417"/>
      <c r="Z126" s="417"/>
      <c r="AA126" s="417"/>
      <c r="AB126" s="417"/>
      <c r="AC126" s="417"/>
    </row>
    <row r="127" customFormat="false" ht="11.25" hidden="false" customHeight="false" outlineLevel="0" collapsed="false">
      <c r="A127" s="307" t="s">
        <v>683</v>
      </c>
      <c r="G127" s="417"/>
      <c r="H127" s="417"/>
      <c r="I127" s="417"/>
      <c r="J127" s="417"/>
      <c r="K127" s="417"/>
      <c r="L127" s="417"/>
      <c r="M127" s="417"/>
      <c r="N127" s="417"/>
      <c r="O127" s="417"/>
      <c r="P127" s="417"/>
      <c r="Q127" s="417"/>
      <c r="R127" s="417"/>
      <c r="S127" s="417"/>
      <c r="T127" s="417"/>
      <c r="U127" s="417"/>
      <c r="V127" s="417"/>
      <c r="W127" s="417"/>
      <c r="X127" s="417"/>
      <c r="Y127" s="417"/>
      <c r="Z127" s="417"/>
      <c r="AA127" s="417"/>
      <c r="AB127" s="417"/>
      <c r="AC127" s="417"/>
    </row>
    <row r="128" customFormat="false" ht="11.25" hidden="false" customHeight="false" outlineLevel="0" collapsed="false">
      <c r="A128" s="35" t="s">
        <v>417</v>
      </c>
      <c r="G128" s="417"/>
      <c r="H128" s="417" t="n">
        <f aca="false">H351+H352+H353+H354</f>
        <v>0</v>
      </c>
      <c r="I128" s="417" t="n">
        <f aca="false">I941-H128</f>
        <v>0</v>
      </c>
      <c r="J128" s="417" t="n">
        <f aca="false">J941</f>
        <v>0</v>
      </c>
      <c r="K128" s="417" t="n">
        <f aca="false">K941</f>
        <v>0</v>
      </c>
      <c r="L128" s="417" t="n">
        <f aca="false">L941</f>
        <v>0</v>
      </c>
      <c r="M128" s="417" t="n">
        <f aca="false">M941</f>
        <v>0</v>
      </c>
      <c r="N128" s="417" t="n">
        <f aca="false">N941</f>
        <v>0</v>
      </c>
      <c r="O128" s="417" t="n">
        <f aca="false">O941</f>
        <v>25.811</v>
      </c>
      <c r="P128" s="417" t="n">
        <f aca="false">P941</f>
        <v>5.512</v>
      </c>
      <c r="Q128" s="417" t="n">
        <f aca="false">Q941</f>
        <v>16.2</v>
      </c>
      <c r="R128" s="417" t="n">
        <f aca="false">R941</f>
        <v>0</v>
      </c>
      <c r="S128" s="417" t="n">
        <f aca="false">S941</f>
        <v>0</v>
      </c>
      <c r="T128" s="417" t="n">
        <f aca="false">T941</f>
        <v>0</v>
      </c>
      <c r="U128" s="417" t="n">
        <f aca="false">U941</f>
        <v>0</v>
      </c>
      <c r="V128" s="417" t="n">
        <f aca="false">V941</f>
        <v>0</v>
      </c>
      <c r="W128" s="417" t="n">
        <f aca="false">W941</f>
        <v>0</v>
      </c>
      <c r="X128" s="417" t="n">
        <f aca="false">X941</f>
        <v>0</v>
      </c>
      <c r="Y128" s="417" t="n">
        <f aca="false">Y941</f>
        <v>0</v>
      </c>
      <c r="Z128" s="417" t="n">
        <f aca="false">Z941</f>
        <v>0</v>
      </c>
      <c r="AA128" s="417" t="n">
        <f aca="false">AA941</f>
        <v>0</v>
      </c>
      <c r="AB128" s="417" t="n">
        <f aca="false">AB941</f>
        <v>0</v>
      </c>
      <c r="AC128" s="417" t="n">
        <f aca="false">AC941</f>
        <v>0</v>
      </c>
    </row>
    <row r="129" customFormat="false" ht="11.25" hidden="false" customHeight="false" outlineLevel="0" collapsed="false">
      <c r="A129" s="35" t="str">
        <f aca="false">B357</f>
        <v>Transaction Fees</v>
      </c>
      <c r="G129" s="417"/>
      <c r="H129" s="417" t="n">
        <f aca="false">H357</f>
        <v>0</v>
      </c>
      <c r="I129" s="417"/>
      <c r="J129" s="417"/>
      <c r="K129" s="417"/>
      <c r="L129" s="417"/>
      <c r="M129" s="417"/>
      <c r="N129" s="417"/>
      <c r="O129" s="417"/>
      <c r="P129" s="417"/>
      <c r="Q129" s="417"/>
      <c r="R129" s="417"/>
      <c r="S129" s="417"/>
      <c r="T129" s="417"/>
      <c r="U129" s="417"/>
      <c r="V129" s="417"/>
      <c r="W129" s="417"/>
      <c r="X129" s="417"/>
      <c r="Y129" s="417"/>
      <c r="Z129" s="417"/>
      <c r="AA129" s="417"/>
      <c r="AB129" s="417"/>
      <c r="AC129" s="417"/>
    </row>
    <row r="130" customFormat="false" ht="11.25" hidden="false" customHeight="false" outlineLevel="0" collapsed="false">
      <c r="A130" s="43" t="s">
        <v>684</v>
      </c>
      <c r="D130" s="430"/>
      <c r="E130" s="430"/>
      <c r="F130" s="430"/>
      <c r="G130" s="417"/>
      <c r="H130" s="417"/>
      <c r="I130" s="417" t="n">
        <f aca="false">I457-H457</f>
        <v>0</v>
      </c>
      <c r="J130" s="417" t="n">
        <f aca="false">J457-I457</f>
        <v>0</v>
      </c>
      <c r="K130" s="417" t="n">
        <f aca="false">K457-J457</f>
        <v>0</v>
      </c>
      <c r="L130" s="417" t="n">
        <f aca="false">L457-K457</f>
        <v>0</v>
      </c>
      <c r="M130" s="417" t="n">
        <f aca="false">M457-L457</f>
        <v>0</v>
      </c>
      <c r="N130" s="417" t="n">
        <f aca="false">N457-M457</f>
        <v>0</v>
      </c>
      <c r="O130" s="417" t="n">
        <f aca="false">O457-N457</f>
        <v>0</v>
      </c>
      <c r="P130" s="417" t="n">
        <f aca="false">P457-O457</f>
        <v>0</v>
      </c>
      <c r="Q130" s="417" t="n">
        <f aca="false">Q457-P457</f>
        <v>0</v>
      </c>
      <c r="R130" s="417" t="n">
        <f aca="false">R457-Q457</f>
        <v>0</v>
      </c>
      <c r="S130" s="417" t="n">
        <f aca="false">S457-R457</f>
        <v>0</v>
      </c>
      <c r="T130" s="417" t="n">
        <f aca="false">T457-S457</f>
        <v>0</v>
      </c>
      <c r="U130" s="417" t="n">
        <f aca="false">U457-T457</f>
        <v>0</v>
      </c>
      <c r="V130" s="417" t="n">
        <f aca="false">V457-U457</f>
        <v>0</v>
      </c>
      <c r="W130" s="417" t="n">
        <f aca="false">W457-V457</f>
        <v>0</v>
      </c>
      <c r="X130" s="417" t="n">
        <f aca="false">X457-W457</f>
        <v>0</v>
      </c>
      <c r="Y130" s="417" t="n">
        <f aca="false">Y457-X457</f>
        <v>0</v>
      </c>
      <c r="Z130" s="417" t="n">
        <f aca="false">Z457-Y457</f>
        <v>0</v>
      </c>
      <c r="AA130" s="417" t="n">
        <f aca="false">AA457-Z457</f>
        <v>0</v>
      </c>
      <c r="AB130" s="417" t="n">
        <f aca="false">AB457-AA457</f>
        <v>0</v>
      </c>
      <c r="AC130" s="417" t="n">
        <f aca="false">AC457-AB457</f>
        <v>0</v>
      </c>
    </row>
    <row r="131" customFormat="false" ht="11.25" hidden="false" customHeight="false" outlineLevel="0" collapsed="false">
      <c r="A131" s="35" t="str">
        <f aca="false">A464</f>
        <v>Increase/(Decrease) in Other Assets</v>
      </c>
      <c r="I131" s="35" t="n">
        <f aca="false">I464</f>
        <v>0</v>
      </c>
      <c r="J131" s="35" t="n">
        <f aca="false">J464</f>
        <v>0</v>
      </c>
      <c r="K131" s="35" t="n">
        <f aca="false">K464</f>
        <v>0</v>
      </c>
      <c r="L131" s="35" t="n">
        <f aca="false">L464</f>
        <v>0</v>
      </c>
      <c r="M131" s="35" t="n">
        <f aca="false">M464</f>
        <v>0</v>
      </c>
      <c r="N131" s="35" t="n">
        <f aca="false">N464</f>
        <v>0</v>
      </c>
      <c r="O131" s="35" t="n">
        <f aca="false">O464</f>
        <v>0</v>
      </c>
      <c r="P131" s="35" t="n">
        <f aca="false">P464</f>
        <v>0</v>
      </c>
      <c r="Q131" s="35" t="n">
        <f aca="false">Q464</f>
        <v>0</v>
      </c>
      <c r="R131" s="35" t="n">
        <f aca="false">R464</f>
        <v>0</v>
      </c>
      <c r="S131" s="35" t="n">
        <f aca="false">S464</f>
        <v>0</v>
      </c>
      <c r="T131" s="35" t="n">
        <f aca="false">T464</f>
        <v>0</v>
      </c>
      <c r="U131" s="35" t="n">
        <f aca="false">U464</f>
        <v>0</v>
      </c>
      <c r="V131" s="35" t="n">
        <f aca="false">V464</f>
        <v>0</v>
      </c>
      <c r="W131" s="35" t="n">
        <f aca="false">W464</f>
        <v>0</v>
      </c>
      <c r="X131" s="35" t="n">
        <f aca="false">X464</f>
        <v>0</v>
      </c>
      <c r="Y131" s="35" t="n">
        <f aca="false">Y464</f>
        <v>0</v>
      </c>
      <c r="Z131" s="35" t="n">
        <f aca="false">Z464</f>
        <v>0</v>
      </c>
      <c r="AA131" s="35" t="n">
        <f aca="false">AA464</f>
        <v>0</v>
      </c>
      <c r="AB131" s="35" t="n">
        <f aca="false">AB464</f>
        <v>0</v>
      </c>
      <c r="AC131" s="35" t="n">
        <f aca="false">AC464</f>
        <v>0</v>
      </c>
    </row>
    <row r="132" customFormat="false" ht="11.25" hidden="false" customHeight="false" outlineLevel="0" collapsed="false">
      <c r="A132" s="5" t="s">
        <v>685</v>
      </c>
      <c r="G132" s="417"/>
      <c r="H132" s="417"/>
      <c r="I132" s="417" t="n">
        <f aca="false">I253</f>
        <v>0</v>
      </c>
      <c r="J132" s="417" t="n">
        <f aca="false">J253</f>
        <v>0</v>
      </c>
      <c r="K132" s="417" t="n">
        <f aca="false">K253</f>
        <v>0</v>
      </c>
      <c r="L132" s="417" t="n">
        <f aca="false">L253</f>
        <v>0</v>
      </c>
      <c r="M132" s="417" t="n">
        <f aca="false">M253</f>
        <v>0</v>
      </c>
      <c r="N132" s="417" t="n">
        <f aca="false">N253</f>
        <v>0</v>
      </c>
      <c r="O132" s="417" t="n">
        <f aca="false">O253</f>
        <v>0</v>
      </c>
      <c r="P132" s="417" t="n">
        <f aca="false">P253</f>
        <v>0</v>
      </c>
      <c r="Q132" s="417" t="n">
        <f aca="false">Q253</f>
        <v>0</v>
      </c>
      <c r="R132" s="417" t="n">
        <f aca="false">R253</f>
        <v>0</v>
      </c>
      <c r="S132" s="417" t="n">
        <f aca="false">S253</f>
        <v>0</v>
      </c>
      <c r="T132" s="417" t="n">
        <f aca="false">T253</f>
        <v>0</v>
      </c>
      <c r="U132" s="417" t="n">
        <f aca="false">U253</f>
        <v>0</v>
      </c>
      <c r="V132" s="417" t="n">
        <f aca="false">V253</f>
        <v>0</v>
      </c>
      <c r="W132" s="417" t="n">
        <f aca="false">W253</f>
        <v>0</v>
      </c>
      <c r="X132" s="417" t="n">
        <f aca="false">X253</f>
        <v>0</v>
      </c>
      <c r="Y132" s="417" t="n">
        <f aca="false">Y253</f>
        <v>0</v>
      </c>
      <c r="Z132" s="417" t="n">
        <f aca="false">Z253</f>
        <v>0</v>
      </c>
      <c r="AA132" s="417" t="n">
        <f aca="false">AA253</f>
        <v>0</v>
      </c>
      <c r="AB132" s="417" t="n">
        <f aca="false">AB253</f>
        <v>0</v>
      </c>
      <c r="AC132" s="417" t="n">
        <f aca="false">AC253</f>
        <v>0</v>
      </c>
    </row>
    <row r="133" customFormat="false" ht="11.25" hidden="false" customHeight="false" outlineLevel="0" collapsed="false">
      <c r="A133" s="43" t="s">
        <v>686</v>
      </c>
      <c r="B133" s="43" t="str">
        <f aca="false">"Existing Debt and "&amp;A546</f>
        <v>Existing Debt and Existing Preferred Stock</v>
      </c>
      <c r="G133" s="417"/>
      <c r="H133" s="417" t="n">
        <f aca="false">H358+H359+H360</f>
        <v>0</v>
      </c>
      <c r="I133" s="417" t="n">
        <f aca="false">I538+I543+I546+I540</f>
        <v>0</v>
      </c>
      <c r="J133" s="417" t="n">
        <f aca="false">J538+J543+J546+J540</f>
        <v>0</v>
      </c>
      <c r="K133" s="417" t="n">
        <f aca="false">K538+K543+K546+K540</f>
        <v>0</v>
      </c>
      <c r="L133" s="417" t="n">
        <f aca="false">L538+L543+L546+L540</f>
        <v>0</v>
      </c>
      <c r="M133" s="417" t="n">
        <f aca="false">M538+M543+M546+M540</f>
        <v>0</v>
      </c>
      <c r="N133" s="417" t="n">
        <f aca="false">N538+N543+N546+N540</f>
        <v>0</v>
      </c>
      <c r="O133" s="417" t="n">
        <f aca="false">O538+O543+O546+O540</f>
        <v>0</v>
      </c>
      <c r="P133" s="417" t="n">
        <f aca="false">P538+P543+P546+P540</f>
        <v>0</v>
      </c>
      <c r="Q133" s="417" t="n">
        <f aca="false">Q538+Q543+Q546+Q540</f>
        <v>0</v>
      </c>
      <c r="R133" s="417" t="n">
        <f aca="false">R538+R543+R546+R540</f>
        <v>0</v>
      </c>
      <c r="S133" s="417" t="n">
        <f aca="false">S538+S543+S546+S540</f>
        <v>0</v>
      </c>
      <c r="T133" s="417" t="n">
        <f aca="false">T538+T543+T546+T540</f>
        <v>0</v>
      </c>
      <c r="U133" s="417" t="n">
        <f aca="false">U538+U543+U546+U540</f>
        <v>0</v>
      </c>
      <c r="V133" s="417" t="n">
        <f aca="false">V538+V543+V546+V540</f>
        <v>0</v>
      </c>
      <c r="W133" s="417" t="n">
        <f aca="false">W538+W543+W546+W540</f>
        <v>0</v>
      </c>
      <c r="X133" s="417" t="n">
        <f aca="false">X538+X543+X546+X540</f>
        <v>0</v>
      </c>
      <c r="Y133" s="417" t="n">
        <f aca="false">Y538+Y543+Y546+Y540</f>
        <v>0</v>
      </c>
      <c r="Z133" s="417" t="n">
        <f aca="false">Z538+Z543+Z546+Z540</f>
        <v>0</v>
      </c>
      <c r="AA133" s="417" t="n">
        <f aca="false">AA538+AA543+AA546+AA540</f>
        <v>0</v>
      </c>
      <c r="AB133" s="417" t="n">
        <f aca="false">AB538+AB543+AB546+AB540</f>
        <v>0</v>
      </c>
      <c r="AC133" s="417" t="n">
        <f aca="false">AC538+AC543+AC546+AC540</f>
        <v>0</v>
      </c>
    </row>
    <row r="134" customFormat="false" ht="11.25" hidden="false" customHeight="false" outlineLevel="0" collapsed="false">
      <c r="A134" s="43" t="s">
        <v>686</v>
      </c>
      <c r="B134" s="43" t="str">
        <f aca="false">B337&amp;" and "&amp;B338</f>
        <v>Revolving Loan and Term Loan</v>
      </c>
      <c r="G134" s="417"/>
      <c r="H134" s="417"/>
      <c r="I134" s="417" t="e">
        <f aca="false">I243+I233</f>
        <v>#N/A</v>
      </c>
      <c r="J134" s="417" t="e">
        <f aca="false">J243+J233</f>
        <v>#N/A</v>
      </c>
      <c r="K134" s="417" t="e">
        <f aca="false">K243+K233</f>
        <v>#N/A</v>
      </c>
      <c r="L134" s="417" t="e">
        <f aca="false">L243+L233</f>
        <v>#N/A</v>
      </c>
      <c r="M134" s="417" t="e">
        <f aca="false">M243+M233</f>
        <v>#N/A</v>
      </c>
      <c r="N134" s="417" t="e">
        <f aca="false">N243+N233</f>
        <v>#N/A</v>
      </c>
      <c r="O134" s="417" t="e">
        <f aca="false">O243+O233</f>
        <v>#N/A</v>
      </c>
      <c r="P134" s="417" t="e">
        <f aca="false">P243+P233</f>
        <v>#N/A</v>
      </c>
      <c r="Q134" s="417" t="e">
        <f aca="false">Q243+Q233</f>
        <v>#N/A</v>
      </c>
      <c r="R134" s="417" t="e">
        <f aca="false">R243+R233</f>
        <v>#N/A</v>
      </c>
      <c r="S134" s="417" t="e">
        <f aca="false">S243+S233</f>
        <v>#N/A</v>
      </c>
      <c r="T134" s="417" t="e">
        <f aca="false">T243+T233</f>
        <v>#N/A</v>
      </c>
      <c r="U134" s="417" t="e">
        <f aca="false">U243+U233</f>
        <v>#N/A</v>
      </c>
      <c r="V134" s="417" t="e">
        <f aca="false">V243+V233</f>
        <v>#N/A</v>
      </c>
      <c r="W134" s="417" t="e">
        <f aca="false">W243+W233</f>
        <v>#N/A</v>
      </c>
      <c r="X134" s="417" t="e">
        <f aca="false">X243+X233</f>
        <v>#N/A</v>
      </c>
      <c r="Y134" s="417" t="e">
        <f aca="false">Y243+Y233</f>
        <v>#N/A</v>
      </c>
      <c r="Z134" s="417" t="e">
        <f aca="false">Z243+Z233</f>
        <v>#N/A</v>
      </c>
      <c r="AA134" s="417" t="e">
        <f aca="false">AA243+AA233</f>
        <v>#N/A</v>
      </c>
      <c r="AB134" s="417" t="e">
        <f aca="false">AB243+AB233</f>
        <v>#N/A</v>
      </c>
      <c r="AC134" s="417" t="e">
        <f aca="false">AC243+AC233</f>
        <v>#N/A</v>
      </c>
    </row>
    <row r="135" customFormat="false" ht="11.25" hidden="false" customHeight="false" outlineLevel="0" collapsed="false">
      <c r="A135" s="43" t="s">
        <v>686</v>
      </c>
      <c r="B135" s="43" t="str">
        <f aca="false">B340</f>
        <v>ESOP Notes</v>
      </c>
      <c r="I135" s="35" t="n">
        <f aca="false">I501</f>
        <v>0</v>
      </c>
      <c r="J135" s="35" t="n">
        <f aca="false">J501</f>
        <v>0</v>
      </c>
      <c r="K135" s="35" t="n">
        <f aca="false">K501</f>
        <v>0</v>
      </c>
      <c r="L135" s="35" t="n">
        <f aca="false">L501</f>
        <v>0</v>
      </c>
      <c r="M135" s="35" t="n">
        <f aca="false">M501</f>
        <v>0</v>
      </c>
      <c r="N135" s="35" t="n">
        <f aca="false">N501</f>
        <v>0</v>
      </c>
      <c r="O135" s="35" t="n">
        <f aca="false">O501</f>
        <v>0</v>
      </c>
      <c r="P135" s="35" t="n">
        <f aca="false">P501</f>
        <v>0</v>
      </c>
      <c r="Q135" s="35" t="n">
        <f aca="false">Q501</f>
        <v>0</v>
      </c>
      <c r="R135" s="35" t="n">
        <f aca="false">R501</f>
        <v>0</v>
      </c>
      <c r="S135" s="35" t="n">
        <f aca="false">S501</f>
        <v>0</v>
      </c>
      <c r="T135" s="35" t="n">
        <f aca="false">T501</f>
        <v>0</v>
      </c>
      <c r="U135" s="35" t="n">
        <f aca="false">U501</f>
        <v>0</v>
      </c>
      <c r="V135" s="35" t="n">
        <f aca="false">V501</f>
        <v>0</v>
      </c>
      <c r="W135" s="35" t="n">
        <f aca="false">W501</f>
        <v>0</v>
      </c>
      <c r="X135" s="35" t="n">
        <f aca="false">X501</f>
        <v>0</v>
      </c>
      <c r="Y135" s="35" t="n">
        <f aca="false">Y501</f>
        <v>0</v>
      </c>
      <c r="Z135" s="35" t="n">
        <f aca="false">Z501</f>
        <v>0</v>
      </c>
      <c r="AA135" s="35" t="n">
        <f aca="false">AA501</f>
        <v>0</v>
      </c>
      <c r="AB135" s="35" t="n">
        <f aca="false">AB501</f>
        <v>0</v>
      </c>
      <c r="AC135" s="35" t="n">
        <f aca="false">AC501</f>
        <v>0</v>
      </c>
    </row>
    <row r="136" customFormat="false" ht="11.25" hidden="false" customHeight="false" outlineLevel="0" collapsed="false">
      <c r="A136" s="43" t="s">
        <v>686</v>
      </c>
      <c r="B136" s="43" t="str">
        <f aca="false">B341&amp;" and "&amp;B342</f>
        <v>Placement 1 and Placement 2</v>
      </c>
      <c r="G136" s="417"/>
      <c r="H136" s="417"/>
      <c r="I136" s="417" t="e">
        <f aca="false">I504+I510</f>
        <v>#N/A</v>
      </c>
      <c r="J136" s="417" t="e">
        <f aca="false">J504+J510</f>
        <v>#N/A</v>
      </c>
      <c r="K136" s="417" t="e">
        <f aca="false">K504+K510</f>
        <v>#N/A</v>
      </c>
      <c r="L136" s="417" t="e">
        <f aca="false">L504+L510</f>
        <v>#N/A</v>
      </c>
      <c r="M136" s="417" t="e">
        <f aca="false">M504+M510</f>
        <v>#N/A</v>
      </c>
      <c r="N136" s="417" t="e">
        <f aca="false">N504+N510</f>
        <v>#N/A</v>
      </c>
      <c r="O136" s="417" t="e">
        <f aca="false">O504+O510</f>
        <v>#N/A</v>
      </c>
      <c r="P136" s="417" t="e">
        <f aca="false">P504+P510</f>
        <v>#N/A</v>
      </c>
      <c r="Q136" s="417" t="e">
        <f aca="false">Q504+Q510</f>
        <v>#N/A</v>
      </c>
      <c r="R136" s="417" t="e">
        <f aca="false">R504+R510</f>
        <v>#N/A</v>
      </c>
      <c r="S136" s="417" t="e">
        <f aca="false">S504+S510</f>
        <v>#N/A</v>
      </c>
      <c r="T136" s="417" t="e">
        <f aca="false">T504+T510</f>
        <v>#N/A</v>
      </c>
      <c r="U136" s="417" t="e">
        <f aca="false">U504+U510</f>
        <v>#N/A</v>
      </c>
      <c r="V136" s="417" t="e">
        <f aca="false">V504+V510</f>
        <v>#N/A</v>
      </c>
      <c r="W136" s="417" t="e">
        <f aca="false">W504+W510</f>
        <v>#N/A</v>
      </c>
      <c r="X136" s="417" t="e">
        <f aca="false">X504+X510</f>
        <v>#N/A</v>
      </c>
      <c r="Y136" s="417" t="e">
        <f aca="false">Y504+Y510</f>
        <v>#N/A</v>
      </c>
      <c r="Z136" s="417" t="e">
        <f aca="false">Z504+Z510</f>
        <v>#N/A</v>
      </c>
      <c r="AA136" s="417" t="e">
        <f aca="false">AA504+AA510</f>
        <v>#N/A</v>
      </c>
      <c r="AB136" s="417" t="e">
        <f aca="false">AB504+AB510</f>
        <v>#N/A</v>
      </c>
      <c r="AC136" s="417" t="e">
        <f aca="false">AC504+AC510</f>
        <v>#N/A</v>
      </c>
    </row>
    <row r="137" customFormat="false" ht="11.25" hidden="false" customHeight="false" outlineLevel="0" collapsed="false">
      <c r="A137" s="43" t="s">
        <v>686</v>
      </c>
      <c r="B137" s="43" t="str">
        <f aca="false">B343</f>
        <v>Sr Sub Notes</v>
      </c>
      <c r="G137" s="417"/>
      <c r="H137" s="417"/>
      <c r="I137" s="417" t="n">
        <f aca="false">I514</f>
        <v>0</v>
      </c>
      <c r="J137" s="417" t="n">
        <f aca="false">J514</f>
        <v>0</v>
      </c>
      <c r="K137" s="417" t="n">
        <f aca="false">K514</f>
        <v>0</v>
      </c>
      <c r="L137" s="417" t="n">
        <f aca="false">L514</f>
        <v>0</v>
      </c>
      <c r="M137" s="417" t="n">
        <f aca="false">M514</f>
        <v>0</v>
      </c>
      <c r="N137" s="417" t="n">
        <f aca="false">N514</f>
        <v>0</v>
      </c>
      <c r="O137" s="417" t="n">
        <f aca="false">O514</f>
        <v>0</v>
      </c>
      <c r="P137" s="417" t="n">
        <f aca="false">P514</f>
        <v>0</v>
      </c>
      <c r="Q137" s="417" t="n">
        <f aca="false">Q514</f>
        <v>0</v>
      </c>
      <c r="R137" s="417" t="n">
        <f aca="false">R514</f>
        <v>0</v>
      </c>
      <c r="S137" s="417" t="n">
        <f aca="false">S514</f>
        <v>0</v>
      </c>
      <c r="T137" s="417" t="n">
        <f aca="false">T514</f>
        <v>0</v>
      </c>
      <c r="U137" s="417" t="n">
        <f aca="false">U514</f>
        <v>0</v>
      </c>
      <c r="V137" s="417" t="n">
        <f aca="false">V514</f>
        <v>0</v>
      </c>
      <c r="W137" s="417" t="n">
        <f aca="false">W514</f>
        <v>0</v>
      </c>
      <c r="X137" s="417" t="n">
        <f aca="false">X514</f>
        <v>0</v>
      </c>
      <c r="Y137" s="417" t="n">
        <f aca="false">Y514</f>
        <v>0</v>
      </c>
      <c r="Z137" s="417" t="n">
        <f aca="false">Z514</f>
        <v>0</v>
      </c>
      <c r="AA137" s="417" t="n">
        <f aca="false">AA514</f>
        <v>0</v>
      </c>
      <c r="AB137" s="417" t="n">
        <f aca="false">AB514</f>
        <v>0</v>
      </c>
      <c r="AC137" s="417" t="n">
        <f aca="false">AC514</f>
        <v>0</v>
      </c>
    </row>
    <row r="138" customFormat="false" ht="11.25" hidden="false" customHeight="false" outlineLevel="0" collapsed="false">
      <c r="A138" s="43" t="s">
        <v>686</v>
      </c>
      <c r="B138" s="43" t="str">
        <f aca="false">B344</f>
        <v>Jr. Sub Notes</v>
      </c>
      <c r="G138" s="417"/>
      <c r="H138" s="417"/>
      <c r="I138" s="417" t="n">
        <f aca="false">I522</f>
        <v>0</v>
      </c>
      <c r="J138" s="417" t="n">
        <f aca="false">J522</f>
        <v>0</v>
      </c>
      <c r="K138" s="417" t="n">
        <f aca="false">K522</f>
        <v>0</v>
      </c>
      <c r="L138" s="417" t="n">
        <f aca="false">L522</f>
        <v>0</v>
      </c>
      <c r="M138" s="417" t="n">
        <f aca="false">M522</f>
        <v>0</v>
      </c>
      <c r="N138" s="417" t="n">
        <f aca="false">N522</f>
        <v>0</v>
      </c>
      <c r="O138" s="417" t="n">
        <f aca="false">O522</f>
        <v>0</v>
      </c>
      <c r="P138" s="417" t="n">
        <f aca="false">P522</f>
        <v>0</v>
      </c>
      <c r="Q138" s="417" t="n">
        <f aca="false">Q522</f>
        <v>0</v>
      </c>
      <c r="R138" s="417" t="n">
        <f aca="false">R522</f>
        <v>0</v>
      </c>
      <c r="S138" s="417" t="n">
        <f aca="false">S522</f>
        <v>0</v>
      </c>
      <c r="T138" s="417" t="n">
        <f aca="false">T522</f>
        <v>0</v>
      </c>
      <c r="U138" s="417" t="n">
        <f aca="false">U522</f>
        <v>0</v>
      </c>
      <c r="V138" s="417" t="n">
        <f aca="false">V522</f>
        <v>0</v>
      </c>
      <c r="W138" s="417" t="n">
        <f aca="false">W522</f>
        <v>0</v>
      </c>
      <c r="X138" s="417" t="n">
        <f aca="false">X522</f>
        <v>0</v>
      </c>
      <c r="Y138" s="417" t="n">
        <f aca="false">Y522</f>
        <v>0</v>
      </c>
      <c r="Z138" s="417" t="n">
        <f aca="false">Z522</f>
        <v>0</v>
      </c>
      <c r="AA138" s="417" t="n">
        <f aca="false">AA522</f>
        <v>0</v>
      </c>
      <c r="AB138" s="417" t="n">
        <f aca="false">AB522</f>
        <v>0</v>
      </c>
      <c r="AC138" s="417" t="n">
        <f aca="false">AC522</f>
        <v>0</v>
      </c>
    </row>
    <row r="139" customFormat="false" ht="11.25" hidden="false" customHeight="false" outlineLevel="0" collapsed="false">
      <c r="A139" s="43" t="s">
        <v>687</v>
      </c>
      <c r="G139" s="417"/>
      <c r="H139" s="417" t="n">
        <f aca="false">H356+H355</f>
        <v>0</v>
      </c>
      <c r="I139" s="417" t="e">
        <f aca="false">I109+I112+I632+I529+I535</f>
        <v>#VALUE!</v>
      </c>
      <c r="J139" s="417" t="e">
        <f aca="false">J109+J112+J632+J529+J535</f>
        <v>#VALUE!</v>
      </c>
      <c r="K139" s="417" t="e">
        <f aca="false">K109+K112+K632+K529+K535</f>
        <v>#VALUE!</v>
      </c>
      <c r="L139" s="417" t="e">
        <f aca="false">L109+L112+L632+L529+L535</f>
        <v>#VALUE!</v>
      </c>
      <c r="M139" s="417" t="e">
        <f aca="false">M109+M112+M632+M529+M535</f>
        <v>#VALUE!</v>
      </c>
      <c r="N139" s="417" t="e">
        <f aca="false">N109+N112+N632+N529+N535</f>
        <v>#VALUE!</v>
      </c>
      <c r="O139" s="417" t="e">
        <f aca="false">O109+O112+O632+O529+O535</f>
        <v>#VALUE!</v>
      </c>
      <c r="P139" s="417" t="e">
        <f aca="false">P109+P112+P632+P529+P535</f>
        <v>#VALUE!</v>
      </c>
      <c r="Q139" s="417" t="e">
        <f aca="false">Q109+Q112+Q632+Q529+Q535</f>
        <v>#VALUE!</v>
      </c>
      <c r="R139" s="417" t="e">
        <f aca="false">R109+R112+R632+R529+R535</f>
        <v>#VALUE!</v>
      </c>
      <c r="S139" s="417" t="e">
        <f aca="false">S109+S112+S632+S529+S535</f>
        <v>#VALUE!</v>
      </c>
      <c r="T139" s="417" t="e">
        <f aca="false">T109+T112+T632+T529+T535</f>
        <v>#VALUE!</v>
      </c>
      <c r="U139" s="417" t="e">
        <f aca="false">U109+U112+U632+U529+U535</f>
        <v>#VALUE!</v>
      </c>
      <c r="V139" s="417" t="e">
        <f aca="false">V109+V112+V632+V529+V535</f>
        <v>#VALUE!</v>
      </c>
      <c r="W139" s="417" t="e">
        <f aca="false">W109+W112+W632+W529+W535</f>
        <v>#VALUE!</v>
      </c>
      <c r="X139" s="417" t="e">
        <f aca="false">X109+X112+X632+X529+X535</f>
        <v>#VALUE!</v>
      </c>
      <c r="Y139" s="417" t="e">
        <f aca="false">Y109+Y112+Y632+Y529+Y535</f>
        <v>#VALUE!</v>
      </c>
      <c r="Z139" s="417" t="e">
        <f aca="false">Z109+Z112+Z632+Z529+Z535</f>
        <v>#VALUE!</v>
      </c>
      <c r="AA139" s="417" t="e">
        <f aca="false">AA109+AA112+AA632+AA529+AA535</f>
        <v>#VALUE!</v>
      </c>
      <c r="AB139" s="417" t="e">
        <f aca="false">AB109+AB112+AB632+AB529+AB535</f>
        <v>#VALUE!</v>
      </c>
      <c r="AC139" s="417" t="e">
        <f aca="false">AC109+AC112+AC632+AC529+AC535</f>
        <v>#VALUE!</v>
      </c>
    </row>
    <row r="140" customFormat="false" ht="11.25" hidden="false" customHeight="false" outlineLevel="0" collapsed="false">
      <c r="A140" s="307" t="s">
        <v>688</v>
      </c>
      <c r="G140" s="417"/>
      <c r="H140" s="419" t="n">
        <f aca="false">SUM(H128:H139)</f>
        <v>0</v>
      </c>
      <c r="I140" s="419" t="e">
        <f aca="false">SUM(I128:I139)</f>
        <v>#N/A</v>
      </c>
      <c r="J140" s="419" t="e">
        <f aca="false">SUM(J128:J139)</f>
        <v>#N/A</v>
      </c>
      <c r="K140" s="419" t="e">
        <f aca="false">SUM(K128:K139)</f>
        <v>#N/A</v>
      </c>
      <c r="L140" s="419" t="e">
        <f aca="false">SUM(L128:L139)</f>
        <v>#N/A</v>
      </c>
      <c r="M140" s="419" t="e">
        <f aca="false">SUM(M128:M139)</f>
        <v>#N/A</v>
      </c>
      <c r="N140" s="419" t="e">
        <f aca="false">SUM(N128:N139)</f>
        <v>#N/A</v>
      </c>
      <c r="O140" s="419" t="e">
        <f aca="false">SUM(O128:O139)</f>
        <v>#N/A</v>
      </c>
      <c r="P140" s="419" t="e">
        <f aca="false">SUM(P128:P139)</f>
        <v>#N/A</v>
      </c>
      <c r="Q140" s="419" t="e">
        <f aca="false">SUM(Q128:Q139)</f>
        <v>#N/A</v>
      </c>
      <c r="R140" s="419" t="e">
        <f aca="false">SUM(R128:R139)</f>
        <v>#N/A</v>
      </c>
      <c r="S140" s="419" t="e">
        <f aca="false">SUM(S128:S139)</f>
        <v>#N/A</v>
      </c>
      <c r="T140" s="419" t="e">
        <f aca="false">SUM(T128:T139)</f>
        <v>#N/A</v>
      </c>
      <c r="U140" s="419" t="e">
        <f aca="false">SUM(U128:U139)</f>
        <v>#N/A</v>
      </c>
      <c r="V140" s="419" t="e">
        <f aca="false">SUM(V128:V139)</f>
        <v>#N/A</v>
      </c>
      <c r="W140" s="419" t="e">
        <f aca="false">SUM(W128:W139)</f>
        <v>#N/A</v>
      </c>
      <c r="X140" s="419" t="e">
        <f aca="false">SUM(X128:X139)</f>
        <v>#N/A</v>
      </c>
      <c r="Y140" s="419" t="e">
        <f aca="false">SUM(Y128:Y139)</f>
        <v>#N/A</v>
      </c>
      <c r="Z140" s="419" t="e">
        <f aca="false">SUM(Z128:Z139)</f>
        <v>#N/A</v>
      </c>
      <c r="AA140" s="419" t="e">
        <f aca="false">SUM(AA128:AA139)</f>
        <v>#N/A</v>
      </c>
      <c r="AB140" s="419" t="e">
        <f aca="false">SUM(AB128:AB139)</f>
        <v>#N/A</v>
      </c>
      <c r="AC140" s="419" t="e">
        <f aca="false">SUM(AC128:AC139)</f>
        <v>#N/A</v>
      </c>
    </row>
    <row r="142" customFormat="false" ht="11.25" hidden="false" customHeight="false" outlineLevel="0" collapsed="false">
      <c r="A142" s="307" t="s">
        <v>689</v>
      </c>
      <c r="G142" s="417"/>
      <c r="H142" s="417" t="n">
        <f aca="false">H125-H140</f>
        <v>0</v>
      </c>
      <c r="I142" s="417" t="e">
        <f aca="false">I125-I140</f>
        <v>#N/A</v>
      </c>
      <c r="J142" s="417" t="e">
        <f aca="false">J125-J140</f>
        <v>#N/A</v>
      </c>
      <c r="K142" s="417" t="e">
        <f aca="false">K125-K140</f>
        <v>#N/A</v>
      </c>
      <c r="L142" s="417" t="e">
        <f aca="false">L125-L140</f>
        <v>#N/A</v>
      </c>
      <c r="M142" s="417" t="e">
        <f aca="false">M125-M140</f>
        <v>#N/A</v>
      </c>
      <c r="N142" s="417" t="e">
        <f aca="false">N125-N140</f>
        <v>#N/A</v>
      </c>
      <c r="O142" s="417" t="e">
        <f aca="false">O125-O140</f>
        <v>#N/A</v>
      </c>
      <c r="P142" s="417" t="e">
        <f aca="false">P125-P140</f>
        <v>#N/A</v>
      </c>
      <c r="Q142" s="417" t="e">
        <f aca="false">Q125-Q140</f>
        <v>#N/A</v>
      </c>
      <c r="R142" s="417" t="e">
        <f aca="false">R125-R140</f>
        <v>#N/A</v>
      </c>
      <c r="S142" s="417" t="e">
        <f aca="false">S125-S140</f>
        <v>#N/A</v>
      </c>
      <c r="T142" s="417" t="e">
        <f aca="false">T125-T140</f>
        <v>#N/A</v>
      </c>
      <c r="U142" s="417" t="e">
        <f aca="false">U125-U140</f>
        <v>#N/A</v>
      </c>
      <c r="V142" s="417" t="e">
        <f aca="false">V125-V140</f>
        <v>#N/A</v>
      </c>
      <c r="W142" s="417" t="e">
        <f aca="false">W125-W140</f>
        <v>#N/A</v>
      </c>
      <c r="X142" s="417" t="e">
        <f aca="false">X125-X140</f>
        <v>#N/A</v>
      </c>
      <c r="Y142" s="417" t="e">
        <f aca="false">Y125-Y140</f>
        <v>#N/A</v>
      </c>
      <c r="Z142" s="417" t="e">
        <f aca="false">Z125-Z140</f>
        <v>#N/A</v>
      </c>
      <c r="AA142" s="417" t="e">
        <f aca="false">AA125-AA140</f>
        <v>#N/A</v>
      </c>
      <c r="AB142" s="417" t="e">
        <f aca="false">AB125-AB140</f>
        <v>#N/A</v>
      </c>
      <c r="AC142" s="417" t="e">
        <f aca="false">AC125-AC140</f>
        <v>#N/A</v>
      </c>
    </row>
    <row r="143" customFormat="false" ht="11.25" hidden="false" customHeight="false" outlineLevel="0" collapsed="false">
      <c r="G143" s="417"/>
      <c r="H143" s="417"/>
      <c r="I143" s="417"/>
    </row>
    <row r="144" customFormat="false" ht="11.25" hidden="false" customHeight="false" outlineLevel="0" collapsed="false">
      <c r="A144" s="307" t="s">
        <v>690</v>
      </c>
      <c r="G144" s="417"/>
      <c r="H144" s="417"/>
      <c r="I144" s="417"/>
    </row>
    <row r="145" customFormat="false" ht="11.25" hidden="false" customHeight="false" outlineLevel="0" collapsed="false">
      <c r="A145" s="35" t="str">
        <f aca="false">B337</f>
        <v>Revolving Loan</v>
      </c>
      <c r="G145" s="417"/>
      <c r="H145" s="417" t="n">
        <f aca="false">H337</f>
        <v>0</v>
      </c>
      <c r="I145" s="417" t="n">
        <f aca="false">-I482</f>
        <v>-0</v>
      </c>
      <c r="J145" s="417" t="n">
        <f aca="false">-J482</f>
        <v>-0</v>
      </c>
      <c r="K145" s="417" t="n">
        <f aca="false">-K482</f>
        <v>-0</v>
      </c>
      <c r="L145" s="417" t="n">
        <f aca="false">-L482</f>
        <v>-0</v>
      </c>
      <c r="M145" s="417" t="n">
        <f aca="false">-M482</f>
        <v>-0</v>
      </c>
      <c r="N145" s="417" t="n">
        <f aca="false">-N482</f>
        <v>-0</v>
      </c>
      <c r="O145" s="417" t="n">
        <f aca="false">-O482</f>
        <v>-0</v>
      </c>
      <c r="P145" s="417" t="n">
        <f aca="false">-P482</f>
        <v>-0</v>
      </c>
      <c r="Q145" s="417" t="n">
        <f aca="false">-Q482</f>
        <v>-0</v>
      </c>
      <c r="R145" s="417" t="n">
        <f aca="false">-R482</f>
        <v>-0</v>
      </c>
      <c r="S145" s="417" t="n">
        <f aca="false">-S482</f>
        <v>-0</v>
      </c>
      <c r="T145" s="417" t="n">
        <f aca="false">-T482</f>
        <v>-0</v>
      </c>
      <c r="U145" s="417" t="n">
        <f aca="false">-U482</f>
        <v>-0</v>
      </c>
      <c r="V145" s="417" t="n">
        <f aca="false">-V482</f>
        <v>-0</v>
      </c>
      <c r="W145" s="417" t="n">
        <f aca="false">-W482</f>
        <v>-0</v>
      </c>
      <c r="X145" s="417" t="n">
        <f aca="false">-X482</f>
        <v>-0</v>
      </c>
      <c r="Y145" s="417" t="n">
        <f aca="false">-Y482</f>
        <v>-0</v>
      </c>
      <c r="Z145" s="417" t="n">
        <f aca="false">-Z482</f>
        <v>-0</v>
      </c>
      <c r="AA145" s="417" t="n">
        <f aca="false">-AA482</f>
        <v>-0</v>
      </c>
      <c r="AB145" s="417" t="n">
        <f aca="false">-AB482</f>
        <v>-0</v>
      </c>
      <c r="AC145" s="417" t="n">
        <f aca="false">-AC482</f>
        <v>-0</v>
      </c>
    </row>
    <row r="146" customFormat="false" ht="11.25" hidden="false" customHeight="false" outlineLevel="0" collapsed="false">
      <c r="A146" s="35" t="str">
        <f aca="false">B338</f>
        <v>Term Loan</v>
      </c>
      <c r="H146" s="35" t="n">
        <f aca="false">H338</f>
        <v>0</v>
      </c>
      <c r="I146" s="35" t="n">
        <f aca="false">-I487</f>
        <v>-0</v>
      </c>
      <c r="J146" s="35" t="n">
        <f aca="false">-J487</f>
        <v>-0</v>
      </c>
      <c r="K146" s="35" t="n">
        <f aca="false">-K487</f>
        <v>-0</v>
      </c>
      <c r="L146" s="35" t="n">
        <f aca="false">-L487</f>
        <v>-0</v>
      </c>
      <c r="M146" s="35" t="n">
        <f aca="false">-M487</f>
        <v>-0</v>
      </c>
      <c r="N146" s="35" t="n">
        <f aca="false">-N487</f>
        <v>-0</v>
      </c>
      <c r="O146" s="35" t="n">
        <f aca="false">-O487</f>
        <v>-0</v>
      </c>
      <c r="P146" s="35" t="n">
        <f aca="false">-P487</f>
        <v>-0</v>
      </c>
      <c r="Q146" s="35" t="n">
        <f aca="false">-Q487</f>
        <v>-0</v>
      </c>
      <c r="R146" s="35" t="n">
        <f aca="false">-R487</f>
        <v>-0</v>
      </c>
      <c r="S146" s="35" t="n">
        <f aca="false">-S487</f>
        <v>-0</v>
      </c>
      <c r="T146" s="35" t="n">
        <f aca="false">-T487</f>
        <v>-0</v>
      </c>
      <c r="U146" s="35" t="n">
        <f aca="false">-U487</f>
        <v>-0</v>
      </c>
      <c r="V146" s="35" t="n">
        <f aca="false">-V487</f>
        <v>-0</v>
      </c>
      <c r="W146" s="35" t="n">
        <f aca="false">-W487</f>
        <v>-0</v>
      </c>
      <c r="X146" s="35" t="n">
        <f aca="false">-X487</f>
        <v>-0</v>
      </c>
      <c r="Y146" s="35" t="n">
        <f aca="false">-Y487</f>
        <v>-0</v>
      </c>
      <c r="Z146" s="35" t="n">
        <f aca="false">-Z487</f>
        <v>-0</v>
      </c>
      <c r="AA146" s="35" t="n">
        <f aca="false">-AA487</f>
        <v>-0</v>
      </c>
      <c r="AB146" s="35" t="n">
        <f aca="false">-AB487</f>
        <v>-0</v>
      </c>
      <c r="AC146" s="35" t="n">
        <f aca="false">-AC487</f>
        <v>-0</v>
      </c>
    </row>
    <row r="147" customFormat="false" ht="11.25" hidden="false" customHeight="false" outlineLevel="0" collapsed="false">
      <c r="A147" s="35" t="str">
        <f aca="false">B339</f>
        <v>Production Payment</v>
      </c>
      <c r="H147" s="35" t="n">
        <f aca="false">H339</f>
        <v>0</v>
      </c>
      <c r="I147" s="35" t="n">
        <f aca="false">-I494</f>
        <v>-0</v>
      </c>
      <c r="J147" s="35" t="n">
        <f aca="false">-J494</f>
        <v>-0</v>
      </c>
      <c r="K147" s="35" t="n">
        <f aca="false">-K494</f>
        <v>-0</v>
      </c>
      <c r="L147" s="35" t="n">
        <f aca="false">-L494</f>
        <v>-0</v>
      </c>
      <c r="M147" s="35" t="n">
        <f aca="false">-M494</f>
        <v>-0</v>
      </c>
      <c r="N147" s="35" t="n">
        <f aca="false">-N494</f>
        <v>-0</v>
      </c>
      <c r="O147" s="35" t="n">
        <f aca="false">-O494</f>
        <v>-0</v>
      </c>
      <c r="P147" s="35" t="n">
        <f aca="false">-P494</f>
        <v>-0</v>
      </c>
      <c r="Q147" s="35" t="n">
        <f aca="false">-Q494</f>
        <v>-0</v>
      </c>
      <c r="R147" s="35" t="n">
        <f aca="false">-R494</f>
        <v>-0</v>
      </c>
      <c r="S147" s="35" t="n">
        <f aca="false">-S494</f>
        <v>-0</v>
      </c>
      <c r="T147" s="35" t="n">
        <f aca="false">-T494</f>
        <v>-0</v>
      </c>
      <c r="U147" s="35" t="n">
        <f aca="false">-U494</f>
        <v>-0</v>
      </c>
      <c r="V147" s="35" t="n">
        <f aca="false">-V494</f>
        <v>-0</v>
      </c>
      <c r="W147" s="35" t="n">
        <f aca="false">-W494</f>
        <v>-0</v>
      </c>
      <c r="X147" s="35" t="n">
        <f aca="false">-X494</f>
        <v>-0</v>
      </c>
      <c r="Y147" s="35" t="n">
        <f aca="false">-Y494</f>
        <v>-0</v>
      </c>
      <c r="Z147" s="35" t="n">
        <f aca="false">-Z494</f>
        <v>-0</v>
      </c>
      <c r="AA147" s="35" t="n">
        <f aca="false">-AA494</f>
        <v>-0</v>
      </c>
      <c r="AB147" s="35" t="n">
        <f aca="false">-AB494</f>
        <v>-0</v>
      </c>
      <c r="AC147" s="35" t="n">
        <f aca="false">-AC494</f>
        <v>-0</v>
      </c>
    </row>
    <row r="148" customFormat="false" ht="11.25" hidden="false" customHeight="false" outlineLevel="0" collapsed="false">
      <c r="A148" s="35" t="str">
        <f aca="false">B340</f>
        <v>ESOP Notes</v>
      </c>
      <c r="H148" s="35" t="n">
        <f aca="false">H340</f>
        <v>0</v>
      </c>
      <c r="I148" s="35" t="n">
        <f aca="false">-I502</f>
        <v>-0</v>
      </c>
      <c r="J148" s="35" t="n">
        <f aca="false">-J502</f>
        <v>-0</v>
      </c>
      <c r="K148" s="35" t="n">
        <f aca="false">-K502</f>
        <v>-0</v>
      </c>
      <c r="L148" s="35" t="n">
        <f aca="false">-L502</f>
        <v>-0</v>
      </c>
      <c r="M148" s="35" t="n">
        <f aca="false">-M502</f>
        <v>-0</v>
      </c>
      <c r="N148" s="35" t="n">
        <f aca="false">-N502</f>
        <v>-0</v>
      </c>
      <c r="O148" s="35" t="n">
        <f aca="false">-O502</f>
        <v>-0</v>
      </c>
      <c r="P148" s="35" t="n">
        <f aca="false">-P502</f>
        <v>-0</v>
      </c>
      <c r="Q148" s="35" t="n">
        <f aca="false">-Q502</f>
        <v>-0</v>
      </c>
      <c r="R148" s="35" t="n">
        <f aca="false">-R502</f>
        <v>-0</v>
      </c>
      <c r="S148" s="35" t="n">
        <f aca="false">-S502</f>
        <v>-0</v>
      </c>
      <c r="T148" s="35" t="n">
        <f aca="false">-T502</f>
        <v>-0</v>
      </c>
      <c r="U148" s="35" t="n">
        <f aca="false">-U502</f>
        <v>-0</v>
      </c>
      <c r="V148" s="35" t="n">
        <f aca="false">-V502</f>
        <v>-0</v>
      </c>
      <c r="W148" s="35" t="n">
        <f aca="false">-W502</f>
        <v>-0</v>
      </c>
      <c r="X148" s="35" t="n">
        <f aca="false">-X502</f>
        <v>-0</v>
      </c>
      <c r="Y148" s="35" t="n">
        <f aca="false">-Y502</f>
        <v>-0</v>
      </c>
      <c r="Z148" s="35" t="n">
        <f aca="false">-Z502</f>
        <v>-0</v>
      </c>
      <c r="AA148" s="35" t="n">
        <f aca="false">-AA502</f>
        <v>-0</v>
      </c>
      <c r="AB148" s="35" t="n">
        <f aca="false">-AB502</f>
        <v>-0</v>
      </c>
      <c r="AC148" s="35" t="n">
        <f aca="false">-AC502</f>
        <v>-0</v>
      </c>
    </row>
    <row r="149" customFormat="false" ht="11.25" hidden="false" customHeight="false" outlineLevel="0" collapsed="false">
      <c r="A149" s="35" t="str">
        <f aca="false">B341&amp;", "&amp;B342&amp;" and Existing Sr Debt"</f>
        <v>Placement 1, Placement 2 and Existing Sr Debt</v>
      </c>
      <c r="G149" s="417"/>
      <c r="H149" s="417" t="n">
        <f aca="false">H341+H342</f>
        <v>0</v>
      </c>
      <c r="I149" s="417" t="n">
        <f aca="false">-I505-I539-I541-I511</f>
        <v>0</v>
      </c>
      <c r="J149" s="417" t="n">
        <f aca="false">-J505-J539-J541-J511</f>
        <v>0</v>
      </c>
      <c r="K149" s="417" t="n">
        <f aca="false">-K505-K539-K541-K511</f>
        <v>0</v>
      </c>
      <c r="L149" s="417" t="n">
        <f aca="false">-L505-L539-L541-L511</f>
        <v>0</v>
      </c>
      <c r="M149" s="417" t="n">
        <f aca="false">-M505-M539-M541-M511</f>
        <v>0</v>
      </c>
      <c r="N149" s="417" t="n">
        <f aca="false">-N505-N539-N541-N511</f>
        <v>0</v>
      </c>
      <c r="O149" s="417" t="n">
        <f aca="false">-O505-O539-O541-O511</f>
        <v>0</v>
      </c>
      <c r="P149" s="417" t="n">
        <f aca="false">-P505-P539-P541-P511</f>
        <v>0</v>
      </c>
      <c r="Q149" s="417" t="n">
        <f aca="false">-Q505-Q539-Q541-Q511</f>
        <v>0</v>
      </c>
      <c r="R149" s="417" t="n">
        <f aca="false">-R505-R539-R541-R511</f>
        <v>0</v>
      </c>
      <c r="S149" s="417" t="n">
        <f aca="false">-S505-S539-S541-S511</f>
        <v>0</v>
      </c>
      <c r="T149" s="417" t="n">
        <f aca="false">-T505-T539-T541-T511</f>
        <v>0</v>
      </c>
      <c r="U149" s="417" t="n">
        <f aca="false">-U505-U539-U541-U511</f>
        <v>0</v>
      </c>
      <c r="V149" s="417" t="n">
        <f aca="false">-V505-V539-V541-V511</f>
        <v>0</v>
      </c>
      <c r="W149" s="417" t="n">
        <f aca="false">-W505-W539-W541-W511</f>
        <v>0</v>
      </c>
      <c r="X149" s="417" t="n">
        <f aca="false">-X505-X539-X541-X511</f>
        <v>0</v>
      </c>
      <c r="Y149" s="417" t="n">
        <f aca="false">-Y505-Y539-Y541-Y511</f>
        <v>0</v>
      </c>
      <c r="Z149" s="417" t="n">
        <f aca="false">-Z505-Z539-Z541-Z511</f>
        <v>0</v>
      </c>
      <c r="AA149" s="417" t="n">
        <f aca="false">-AA505-AA539-AA541-AA511</f>
        <v>0</v>
      </c>
      <c r="AB149" s="417" t="n">
        <f aca="false">-AB505-AB539-AB541-AB511</f>
        <v>0</v>
      </c>
      <c r="AC149" s="417" t="n">
        <f aca="false">-AC505-AC539-AC541-AC511</f>
        <v>0</v>
      </c>
    </row>
    <row r="150" customFormat="false" ht="11.25" hidden="false" customHeight="false" outlineLevel="0" collapsed="false">
      <c r="A150" s="35" t="str">
        <f aca="false">B343&amp;" and Existing Sub Debt"</f>
        <v>Sr Sub Notes and Existing Sub Debt</v>
      </c>
      <c r="G150" s="417"/>
      <c r="H150" s="417" t="n">
        <f aca="false">H343</f>
        <v>0</v>
      </c>
      <c r="I150" s="417" t="n">
        <f aca="false">-I515-I544</f>
        <v>-0</v>
      </c>
      <c r="J150" s="417" t="n">
        <f aca="false">-J515-J544</f>
        <v>-0</v>
      </c>
      <c r="K150" s="417" t="n">
        <f aca="false">-K515-K544</f>
        <v>-0</v>
      </c>
      <c r="L150" s="417" t="n">
        <f aca="false">-L515-L544</f>
        <v>-0</v>
      </c>
      <c r="M150" s="417" t="n">
        <f aca="false">-M515-M544</f>
        <v>-0</v>
      </c>
      <c r="N150" s="417" t="n">
        <f aca="false">-N515-N544</f>
        <v>-0</v>
      </c>
      <c r="O150" s="417" t="n">
        <f aca="false">-O515-O544</f>
        <v>-0</v>
      </c>
      <c r="P150" s="417" t="n">
        <f aca="false">-P515-P544</f>
        <v>-0</v>
      </c>
      <c r="Q150" s="417" t="n">
        <f aca="false">-Q515-Q544</f>
        <v>-0</v>
      </c>
      <c r="R150" s="417" t="n">
        <f aca="false">-R515-R544</f>
        <v>-0</v>
      </c>
      <c r="S150" s="417" t="n">
        <f aca="false">-S515-S544</f>
        <v>-0</v>
      </c>
      <c r="T150" s="417" t="n">
        <f aca="false">-T515-T544</f>
        <v>-0</v>
      </c>
      <c r="U150" s="417" t="n">
        <f aca="false">-U515-U544</f>
        <v>-0</v>
      </c>
      <c r="V150" s="417" t="n">
        <f aca="false">-V515-V544</f>
        <v>-0</v>
      </c>
      <c r="W150" s="417" t="n">
        <f aca="false">-W515-W544</f>
        <v>-0</v>
      </c>
      <c r="X150" s="417" t="n">
        <f aca="false">-X515-X544</f>
        <v>-0</v>
      </c>
      <c r="Y150" s="417" t="n">
        <f aca="false">-Y515-Y544</f>
        <v>-0</v>
      </c>
      <c r="Z150" s="417" t="n">
        <f aca="false">-Z515-Z544</f>
        <v>-0</v>
      </c>
      <c r="AA150" s="417" t="n">
        <f aca="false">-AA515-AA544</f>
        <v>-0</v>
      </c>
      <c r="AB150" s="417" t="n">
        <f aca="false">-AB515-AB544</f>
        <v>-0</v>
      </c>
      <c r="AC150" s="417" t="n">
        <f aca="false">-AC515-AC544</f>
        <v>-0</v>
      </c>
    </row>
    <row r="151" customFormat="false" ht="11.25" hidden="false" customHeight="false" outlineLevel="0" collapsed="false">
      <c r="A151" s="35" t="str">
        <f aca="false">B344</f>
        <v>Jr. Sub Notes</v>
      </c>
      <c r="G151" s="417"/>
      <c r="H151" s="417" t="n">
        <f aca="false">H344</f>
        <v>0</v>
      </c>
      <c r="I151" s="417" t="n">
        <f aca="false">-I523</f>
        <v>-0</v>
      </c>
      <c r="J151" s="417" t="n">
        <f aca="false">-J523</f>
        <v>-0</v>
      </c>
      <c r="K151" s="417" t="n">
        <f aca="false">-K523</f>
        <v>-0</v>
      </c>
      <c r="L151" s="417" t="n">
        <f aca="false">-L523</f>
        <v>-0</v>
      </c>
      <c r="M151" s="417" t="n">
        <f aca="false">-M523</f>
        <v>-0</v>
      </c>
      <c r="N151" s="417" t="n">
        <f aca="false">-N523</f>
        <v>-0</v>
      </c>
      <c r="O151" s="417" t="n">
        <f aca="false">-O523</f>
        <v>-0</v>
      </c>
      <c r="P151" s="417" t="n">
        <f aca="false">-P523</f>
        <v>-0</v>
      </c>
      <c r="Q151" s="417" t="n">
        <f aca="false">-Q523</f>
        <v>-0</v>
      </c>
      <c r="R151" s="417" t="n">
        <f aca="false">-R523</f>
        <v>-0</v>
      </c>
      <c r="S151" s="417" t="n">
        <f aca="false">-S523</f>
        <v>-0</v>
      </c>
      <c r="T151" s="417" t="n">
        <f aca="false">-T523</f>
        <v>-0</v>
      </c>
      <c r="U151" s="417" t="n">
        <f aca="false">-U523</f>
        <v>-0</v>
      </c>
      <c r="V151" s="417" t="n">
        <f aca="false">-V523</f>
        <v>-0</v>
      </c>
      <c r="W151" s="417" t="n">
        <f aca="false">-W523</f>
        <v>-0</v>
      </c>
      <c r="X151" s="417" t="n">
        <f aca="false">-X523</f>
        <v>-0</v>
      </c>
      <c r="Y151" s="417" t="n">
        <f aca="false">-Y523</f>
        <v>-0</v>
      </c>
      <c r="Z151" s="417" t="n">
        <f aca="false">-Z523</f>
        <v>-0</v>
      </c>
      <c r="AA151" s="417" t="n">
        <f aca="false">-AA523</f>
        <v>-0</v>
      </c>
      <c r="AB151" s="417" t="n">
        <f aca="false">-AB523</f>
        <v>-0</v>
      </c>
      <c r="AC151" s="417" t="n">
        <f aca="false">-AC523</f>
        <v>-0</v>
      </c>
    </row>
    <row r="152" customFormat="false" ht="11.25" hidden="false" customHeight="false" outlineLevel="0" collapsed="false">
      <c r="A152" s="35" t="str">
        <f aca="false">B345&amp;" and "&amp;A546</f>
        <v>Preferred Stock and Existing Preferred Stock</v>
      </c>
      <c r="G152" s="417"/>
      <c r="H152" s="417" t="n">
        <f aca="false">H345</f>
        <v>0</v>
      </c>
      <c r="I152" s="417" t="n">
        <f aca="false">-I530-I547</f>
        <v>-0</v>
      </c>
      <c r="J152" s="417" t="n">
        <f aca="false">-J530-J547</f>
        <v>-0</v>
      </c>
      <c r="K152" s="417" t="n">
        <f aca="false">-K530-K547</f>
        <v>-0</v>
      </c>
      <c r="L152" s="417" t="n">
        <f aca="false">-L530-L547</f>
        <v>-0</v>
      </c>
      <c r="M152" s="417" t="n">
        <f aca="false">-M530-M547</f>
        <v>-0</v>
      </c>
      <c r="N152" s="417" t="n">
        <f aca="false">-N530-N547</f>
        <v>-0</v>
      </c>
      <c r="O152" s="417" t="n">
        <f aca="false">-O530-O547</f>
        <v>-0</v>
      </c>
      <c r="P152" s="417" t="n">
        <f aca="false">-P530-P547</f>
        <v>-0</v>
      </c>
      <c r="Q152" s="417" t="n">
        <f aca="false">-Q530-Q547</f>
        <v>-0</v>
      </c>
      <c r="R152" s="417" t="n">
        <f aca="false">-R530-R547</f>
        <v>-0</v>
      </c>
      <c r="S152" s="417" t="n">
        <f aca="false">-S530-S547</f>
        <v>-0</v>
      </c>
      <c r="T152" s="417" t="n">
        <f aca="false">-T530-T547</f>
        <v>-0</v>
      </c>
      <c r="U152" s="417" t="n">
        <f aca="false">-U530-U547</f>
        <v>-0</v>
      </c>
      <c r="V152" s="417" t="n">
        <f aca="false">-V530-V547</f>
        <v>-0</v>
      </c>
      <c r="W152" s="417" t="n">
        <f aca="false">-W530-W547</f>
        <v>-0</v>
      </c>
      <c r="X152" s="417" t="n">
        <f aca="false">-X530-X547</f>
        <v>-0</v>
      </c>
      <c r="Y152" s="417" t="n">
        <f aca="false">-Y530-Y547</f>
        <v>-0</v>
      </c>
      <c r="Z152" s="417" t="n">
        <f aca="false">-Z530-Z547</f>
        <v>-0</v>
      </c>
      <c r="AA152" s="417" t="n">
        <f aca="false">-AA530-AA547</f>
        <v>-0</v>
      </c>
      <c r="AB152" s="417" t="n">
        <f aca="false">-AB530-AB547</f>
        <v>-0</v>
      </c>
      <c r="AC152" s="417" t="n">
        <f aca="false">-AC530-AC547</f>
        <v>-0</v>
      </c>
    </row>
    <row r="153" customFormat="false" ht="11.25" hidden="false" customHeight="false" outlineLevel="0" collapsed="false">
      <c r="A153" s="35" t="str">
        <f aca="false">B346</f>
        <v>Common Stock</v>
      </c>
      <c r="G153" s="417"/>
      <c r="H153" s="417" t="n">
        <f aca="false">H346</f>
        <v>0</v>
      </c>
      <c r="I153" s="417" t="n">
        <f aca="false">-I536</f>
        <v>-0</v>
      </c>
      <c r="J153" s="417" t="n">
        <f aca="false">-J536</f>
        <v>-0</v>
      </c>
      <c r="K153" s="417" t="n">
        <f aca="false">-K536</f>
        <v>-0</v>
      </c>
      <c r="L153" s="417" t="n">
        <f aca="false">-L536</f>
        <v>-0</v>
      </c>
      <c r="M153" s="417" t="n">
        <f aca="false">-M536</f>
        <v>-0</v>
      </c>
      <c r="N153" s="417" t="n">
        <f aca="false">-N536</f>
        <v>-0</v>
      </c>
      <c r="O153" s="417" t="n">
        <f aca="false">-O536</f>
        <v>-0</v>
      </c>
      <c r="P153" s="417" t="n">
        <f aca="false">-P536</f>
        <v>-0</v>
      </c>
      <c r="Q153" s="417" t="n">
        <f aca="false">-Q536</f>
        <v>-0</v>
      </c>
      <c r="R153" s="417" t="n">
        <f aca="false">-R536</f>
        <v>-0</v>
      </c>
      <c r="S153" s="417" t="n">
        <f aca="false">-S536</f>
        <v>-0</v>
      </c>
      <c r="T153" s="417" t="n">
        <f aca="false">-T536</f>
        <v>-0</v>
      </c>
      <c r="U153" s="417" t="n">
        <f aca="false">-U536</f>
        <v>-0</v>
      </c>
      <c r="V153" s="417" t="n">
        <f aca="false">-V536</f>
        <v>-0</v>
      </c>
      <c r="W153" s="417" t="n">
        <f aca="false">-W536</f>
        <v>-0</v>
      </c>
      <c r="X153" s="417" t="n">
        <f aca="false">-X536</f>
        <v>-0</v>
      </c>
      <c r="Y153" s="417" t="n">
        <f aca="false">-Y536</f>
        <v>-0</v>
      </c>
      <c r="Z153" s="417" t="n">
        <f aca="false">-Z536</f>
        <v>-0</v>
      </c>
      <c r="AA153" s="417" t="n">
        <f aca="false">-AA536</f>
        <v>-0</v>
      </c>
      <c r="AB153" s="417" t="n">
        <f aca="false">-AB536</f>
        <v>-0</v>
      </c>
      <c r="AC153" s="417" t="n">
        <f aca="false">-AC536</f>
        <v>-0</v>
      </c>
    </row>
    <row r="154" customFormat="false" ht="11.25" hidden="false" customHeight="false" outlineLevel="0" collapsed="false">
      <c r="A154" s="307" t="s">
        <v>691</v>
      </c>
      <c r="H154" s="158" t="n">
        <f aca="false">SUM(H145:H153)</f>
        <v>0</v>
      </c>
      <c r="I154" s="158" t="n">
        <f aca="false">SUM(I145:I153)</f>
        <v>0</v>
      </c>
      <c r="J154" s="158" t="n">
        <f aca="false">SUM(J145:J153)</f>
        <v>0</v>
      </c>
      <c r="K154" s="158" t="n">
        <f aca="false">SUM(K145:K153)</f>
        <v>0</v>
      </c>
      <c r="L154" s="158" t="n">
        <f aca="false">SUM(L145:L153)</f>
        <v>0</v>
      </c>
      <c r="M154" s="158" t="n">
        <f aca="false">SUM(M145:M153)</f>
        <v>0</v>
      </c>
      <c r="N154" s="158" t="n">
        <f aca="false">SUM(N145:N153)</f>
        <v>0</v>
      </c>
      <c r="O154" s="158" t="n">
        <f aca="false">SUM(O145:O153)</f>
        <v>0</v>
      </c>
      <c r="P154" s="158" t="n">
        <f aca="false">SUM(P145:P153)</f>
        <v>0</v>
      </c>
      <c r="Q154" s="158" t="n">
        <f aca="false">SUM(Q145:Q153)</f>
        <v>0</v>
      </c>
      <c r="R154" s="158" t="n">
        <f aca="false">SUM(R145:R153)</f>
        <v>0</v>
      </c>
      <c r="S154" s="158" t="n">
        <f aca="false">SUM(S145:S153)</f>
        <v>0</v>
      </c>
      <c r="T154" s="158" t="n">
        <f aca="false">SUM(T145:T153)</f>
        <v>0</v>
      </c>
      <c r="U154" s="158" t="n">
        <f aca="false">SUM(U145:U153)</f>
        <v>0</v>
      </c>
      <c r="V154" s="158" t="n">
        <f aca="false">SUM(V145:V153)</f>
        <v>0</v>
      </c>
      <c r="W154" s="158" t="n">
        <f aca="false">SUM(W145:W153)</f>
        <v>0</v>
      </c>
      <c r="X154" s="158" t="n">
        <f aca="false">SUM(X145:X153)</f>
        <v>0</v>
      </c>
      <c r="Y154" s="158" t="n">
        <f aca="false">SUM(Y145:Y153)</f>
        <v>0</v>
      </c>
      <c r="Z154" s="158" t="n">
        <f aca="false">SUM(Z145:Z153)</f>
        <v>0</v>
      </c>
      <c r="AA154" s="158" t="n">
        <f aca="false">SUM(AA145:AA153)</f>
        <v>0</v>
      </c>
      <c r="AB154" s="158" t="n">
        <f aca="false">SUM(AB145:AB153)</f>
        <v>0</v>
      </c>
      <c r="AC154" s="158" t="n">
        <f aca="false">SUM(AC145:AC153)</f>
        <v>0</v>
      </c>
    </row>
    <row r="156" customFormat="false" ht="11.25" hidden="false" customHeight="false" outlineLevel="0" collapsed="false">
      <c r="A156" s="43" t="s">
        <v>692</v>
      </c>
      <c r="H156" s="35" t="n">
        <v>0</v>
      </c>
      <c r="I156" s="35" t="e">
        <f aca="false">-I232-I234</f>
        <v>#VALUE!</v>
      </c>
      <c r="J156" s="35" t="e">
        <f aca="false">-J232-J234</f>
        <v>#N/A</v>
      </c>
      <c r="K156" s="35" t="e">
        <f aca="false">-K232-K234</f>
        <v>#N/A</v>
      </c>
      <c r="L156" s="35" t="e">
        <f aca="false">-L232-L234</f>
        <v>#N/A</v>
      </c>
      <c r="M156" s="35" t="e">
        <f aca="false">-M232-M234</f>
        <v>#N/A</v>
      </c>
      <c r="N156" s="35" t="e">
        <f aca="false">-N232-N234</f>
        <v>#N/A</v>
      </c>
      <c r="O156" s="35" t="e">
        <f aca="false">-O232-O234</f>
        <v>#N/A</v>
      </c>
      <c r="P156" s="35" t="e">
        <f aca="false">-P232-P234</f>
        <v>#N/A</v>
      </c>
      <c r="Q156" s="35" t="e">
        <f aca="false">-Q232-Q234</f>
        <v>#N/A</v>
      </c>
      <c r="R156" s="35" t="e">
        <f aca="false">-R232-R234</f>
        <v>#N/A</v>
      </c>
      <c r="S156" s="35" t="e">
        <f aca="false">-S232-S234</f>
        <v>#N/A</v>
      </c>
      <c r="T156" s="35" t="e">
        <f aca="false">-T232-T234</f>
        <v>#N/A</v>
      </c>
      <c r="U156" s="35" t="e">
        <f aca="false">-U232-U234</f>
        <v>#N/A</v>
      </c>
      <c r="V156" s="35" t="e">
        <f aca="false">-V232-V234</f>
        <v>#N/A</v>
      </c>
      <c r="W156" s="35" t="e">
        <f aca="false">-W232-W234</f>
        <v>#N/A</v>
      </c>
      <c r="X156" s="35" t="e">
        <f aca="false">-X232-X234</f>
        <v>#N/A</v>
      </c>
      <c r="Y156" s="35" t="e">
        <f aca="false">-Y232-Y234</f>
        <v>#N/A</v>
      </c>
      <c r="Z156" s="35" t="e">
        <f aca="false">-Z232-Z234</f>
        <v>#N/A</v>
      </c>
      <c r="AA156" s="35" t="e">
        <f aca="false">-AA232-AA234</f>
        <v>#N/A</v>
      </c>
      <c r="AB156" s="35" t="e">
        <f aca="false">-AB232-AB234</f>
        <v>#N/A</v>
      </c>
      <c r="AC156" s="35" t="e">
        <f aca="false">-AC232-AC234</f>
        <v>#N/A</v>
      </c>
    </row>
    <row r="157" customFormat="false" ht="11.25" hidden="false" customHeight="false" outlineLevel="0" collapsed="false">
      <c r="A157" s="43" t="s">
        <v>693</v>
      </c>
      <c r="G157" s="417"/>
      <c r="H157" s="417" t="n">
        <v>0</v>
      </c>
      <c r="I157" s="417" t="e">
        <f aca="false">-I225-I226</f>
        <v>#VALUE!</v>
      </c>
      <c r="J157" s="417" t="e">
        <f aca="false">-J225-J226</f>
        <v>#N/A</v>
      </c>
      <c r="K157" s="417" t="e">
        <f aca="false">-K225-K226</f>
        <v>#N/A</v>
      </c>
      <c r="L157" s="417" t="e">
        <f aca="false">-L225-L226</f>
        <v>#N/A</v>
      </c>
      <c r="M157" s="417" t="e">
        <f aca="false">-M225-M226</f>
        <v>#N/A</v>
      </c>
      <c r="N157" s="417" t="e">
        <f aca="false">-N225-N226</f>
        <v>#N/A</v>
      </c>
      <c r="O157" s="417" t="e">
        <f aca="false">-O225-O226</f>
        <v>#N/A</v>
      </c>
      <c r="P157" s="417" t="e">
        <f aca="false">-P225-P226</f>
        <v>#N/A</v>
      </c>
      <c r="Q157" s="417" t="e">
        <f aca="false">-Q225-Q226</f>
        <v>#N/A</v>
      </c>
      <c r="R157" s="417" t="e">
        <f aca="false">-R225-R226</f>
        <v>#N/A</v>
      </c>
      <c r="S157" s="417" t="e">
        <f aca="false">-S225-S226</f>
        <v>#N/A</v>
      </c>
      <c r="T157" s="417" t="e">
        <f aca="false">-T225-T226</f>
        <v>#N/A</v>
      </c>
      <c r="U157" s="417" t="e">
        <f aca="false">-U225-U226</f>
        <v>#N/A</v>
      </c>
      <c r="V157" s="417" t="e">
        <f aca="false">-V225-V226</f>
        <v>#N/A</v>
      </c>
      <c r="W157" s="417" t="e">
        <f aca="false">-W225-W226</f>
        <v>#N/A</v>
      </c>
      <c r="X157" s="417" t="e">
        <f aca="false">-X225-X226</f>
        <v>#N/A</v>
      </c>
      <c r="Y157" s="417" t="e">
        <f aca="false">-Y225-Y226</f>
        <v>#N/A</v>
      </c>
      <c r="Z157" s="417" t="e">
        <f aca="false">-Z225-Z226</f>
        <v>#N/A</v>
      </c>
      <c r="AA157" s="417" t="e">
        <f aca="false">-AA225-AA226</f>
        <v>#N/A</v>
      </c>
      <c r="AB157" s="417" t="e">
        <f aca="false">-AB225-AB226</f>
        <v>#N/A</v>
      </c>
      <c r="AC157" s="417" t="e">
        <f aca="false">-AC225-AC226</f>
        <v>#N/A</v>
      </c>
    </row>
    <row r="158" customFormat="false" ht="11.25" hidden="false" customHeight="false" outlineLevel="0" collapsed="false">
      <c r="A158" s="43" t="s">
        <v>694</v>
      </c>
      <c r="H158" s="35" t="n">
        <f aca="false">-H142-H154-H157-H156</f>
        <v>-0</v>
      </c>
      <c r="I158" s="35" t="e">
        <f aca="false">-I142-I154-I157-I156</f>
        <v>#VALUE!</v>
      </c>
      <c r="J158" s="35" t="e">
        <f aca="false">-J142-J154-J157-J156</f>
        <v>#N/A</v>
      </c>
      <c r="K158" s="35" t="e">
        <f aca="false">-K142-K154-K157-K156</f>
        <v>#N/A</v>
      </c>
      <c r="L158" s="35" t="e">
        <f aca="false">-L142-L154-L157-L156</f>
        <v>#N/A</v>
      </c>
      <c r="M158" s="35" t="e">
        <f aca="false">-M142-M154-M157-M156</f>
        <v>#N/A</v>
      </c>
      <c r="N158" s="35" t="e">
        <f aca="false">-N142-N154-N157-N156</f>
        <v>#N/A</v>
      </c>
      <c r="O158" s="35" t="e">
        <f aca="false">-O142-O154-O157-O156</f>
        <v>#N/A</v>
      </c>
      <c r="P158" s="35" t="e">
        <f aca="false">-P142-P154-P157-P156</f>
        <v>#N/A</v>
      </c>
      <c r="Q158" s="35" t="e">
        <f aca="false">-Q142-Q154-Q157-Q156</f>
        <v>#N/A</v>
      </c>
      <c r="R158" s="35" t="e">
        <f aca="false">-R142-R154-R157-R156</f>
        <v>#N/A</v>
      </c>
      <c r="S158" s="35" t="e">
        <f aca="false">-S142-S154-S157-S156</f>
        <v>#N/A</v>
      </c>
      <c r="T158" s="35" t="e">
        <f aca="false">-T142-T154-T157-T156</f>
        <v>#N/A</v>
      </c>
      <c r="U158" s="35" t="e">
        <f aca="false">-U142-U154-U157-U156</f>
        <v>#N/A</v>
      </c>
      <c r="V158" s="35" t="e">
        <f aca="false">-V142-V154-V157-V156</f>
        <v>#N/A</v>
      </c>
      <c r="W158" s="35" t="e">
        <f aca="false">-W142-W154-W157-W156</f>
        <v>#N/A</v>
      </c>
      <c r="X158" s="35" t="e">
        <f aca="false">-X142-X154-X157-X156</f>
        <v>#N/A</v>
      </c>
      <c r="Y158" s="35" t="e">
        <f aca="false">-Y142-Y154-Y157-Y156</f>
        <v>#N/A</v>
      </c>
      <c r="Z158" s="35" t="e">
        <f aca="false">-Z142-Z154-Z157-Z156</f>
        <v>#N/A</v>
      </c>
      <c r="AA158" s="35" t="e">
        <f aca="false">-AA142-AA154-AA157-AA156</f>
        <v>#N/A</v>
      </c>
      <c r="AB158" s="35" t="e">
        <f aca="false">-AB142-AB154-AB157-AB156</f>
        <v>#N/A</v>
      </c>
      <c r="AC158" s="35" t="e">
        <f aca="false">-AC142-AC154-AC157-AC156</f>
        <v>#N/A</v>
      </c>
    </row>
    <row r="159" customFormat="false" ht="11.25" hidden="false" customHeight="false" outlineLevel="0" collapsed="false">
      <c r="A159" s="307" t="s">
        <v>695</v>
      </c>
      <c r="G159" s="67"/>
      <c r="H159" s="419" t="n">
        <f aca="false">H154+H157+H158+H156</f>
        <v>0</v>
      </c>
      <c r="I159" s="419" t="e">
        <f aca="false">I154+I157+I158+I156</f>
        <v>#VALUE!</v>
      </c>
      <c r="J159" s="419" t="e">
        <f aca="false">J154+J157+J158+J156</f>
        <v>#N/A</v>
      </c>
      <c r="K159" s="419" t="e">
        <f aca="false">K154+K157+K158+K156</f>
        <v>#N/A</v>
      </c>
      <c r="L159" s="419" t="e">
        <f aca="false">L154+L157+L158+L156</f>
        <v>#N/A</v>
      </c>
      <c r="M159" s="419" t="e">
        <f aca="false">M154+M157+M158+M156</f>
        <v>#N/A</v>
      </c>
      <c r="N159" s="419" t="e">
        <f aca="false">N154+N157+N158+N156</f>
        <v>#N/A</v>
      </c>
      <c r="O159" s="419" t="e">
        <f aca="false">O154+O157+O158+O156</f>
        <v>#N/A</v>
      </c>
      <c r="P159" s="419" t="e">
        <f aca="false">P154+P157+P158+P156</f>
        <v>#N/A</v>
      </c>
      <c r="Q159" s="419" t="e">
        <f aca="false">Q154+Q157+Q158+Q156</f>
        <v>#N/A</v>
      </c>
      <c r="R159" s="419" t="e">
        <f aca="false">R154+R157+R158+R156</f>
        <v>#N/A</v>
      </c>
      <c r="S159" s="419" t="e">
        <f aca="false">S154+S157+S158+S156</f>
        <v>#N/A</v>
      </c>
      <c r="T159" s="419" t="e">
        <f aca="false">T154+T157+T158+T156</f>
        <v>#N/A</v>
      </c>
      <c r="U159" s="419" t="e">
        <f aca="false">U154+U157+U158+U156</f>
        <v>#N/A</v>
      </c>
      <c r="V159" s="419" t="e">
        <f aca="false">V154+V157+V158+V156</f>
        <v>#N/A</v>
      </c>
      <c r="W159" s="419" t="e">
        <f aca="false">W154+W157+W158+W156</f>
        <v>#N/A</v>
      </c>
      <c r="X159" s="419" t="e">
        <f aca="false">X154+X157+X158+X156</f>
        <v>#N/A</v>
      </c>
      <c r="Y159" s="419" t="e">
        <f aca="false">Y154+Y157+Y158+Y156</f>
        <v>#N/A</v>
      </c>
      <c r="Z159" s="419" t="e">
        <f aca="false">Z154+Z157+Z158+Z156</f>
        <v>#N/A</v>
      </c>
      <c r="AA159" s="419" t="e">
        <f aca="false">AA154+AA157+AA158+AA156</f>
        <v>#N/A</v>
      </c>
      <c r="AB159" s="419" t="e">
        <f aca="false">AB154+AB157+AB158+AB156</f>
        <v>#N/A</v>
      </c>
      <c r="AC159" s="419" t="e">
        <f aca="false">AC154+AC157+AC158+AC156</f>
        <v>#N/A</v>
      </c>
    </row>
    <row r="160" customFormat="false" ht="11.25" hidden="false" customHeight="false" outlineLevel="0" collapsed="false">
      <c r="G160" s="67"/>
      <c r="H160" s="417"/>
      <c r="I160" s="417"/>
      <c r="J160" s="417"/>
      <c r="K160" s="417"/>
      <c r="L160" s="417"/>
      <c r="M160" s="417"/>
      <c r="N160" s="417"/>
      <c r="O160" s="417"/>
      <c r="P160" s="417"/>
      <c r="Q160" s="417"/>
      <c r="R160" s="417"/>
      <c r="S160" s="417"/>
      <c r="T160" s="417"/>
      <c r="U160" s="417"/>
      <c r="V160" s="417"/>
      <c r="W160" s="417"/>
      <c r="X160" s="417"/>
      <c r="Y160" s="417"/>
      <c r="Z160" s="417"/>
      <c r="AA160" s="417"/>
      <c r="AB160" s="417"/>
      <c r="AC160" s="417"/>
    </row>
    <row r="161" customFormat="false" ht="11.25" hidden="false" customHeight="false" outlineLevel="0" collapsed="false">
      <c r="A161" s="307" t="s">
        <v>696</v>
      </c>
      <c r="G161" s="67"/>
      <c r="H161" s="417"/>
      <c r="I161" s="417"/>
      <c r="J161" s="417"/>
      <c r="K161" s="417"/>
      <c r="L161" s="417"/>
      <c r="M161" s="417"/>
      <c r="N161" s="417"/>
      <c r="O161" s="417"/>
      <c r="P161" s="417"/>
      <c r="Q161" s="417"/>
      <c r="R161" s="417"/>
      <c r="S161" s="417"/>
      <c r="T161" s="417"/>
      <c r="U161" s="417"/>
      <c r="V161" s="417"/>
      <c r="W161" s="417"/>
      <c r="X161" s="417"/>
      <c r="Y161" s="417"/>
      <c r="Z161" s="417"/>
      <c r="AA161" s="417"/>
      <c r="AB161" s="417"/>
      <c r="AC161" s="417"/>
    </row>
    <row r="162" customFormat="false" ht="11.25" hidden="false" customHeight="false" outlineLevel="0" collapsed="false">
      <c r="A162" s="43" t="s">
        <v>697</v>
      </c>
      <c r="G162" s="67"/>
      <c r="H162" s="417" t="n">
        <f aca="false">I389</f>
        <v>0</v>
      </c>
      <c r="I162" s="417" t="n">
        <f aca="false">H168</f>
        <v>0</v>
      </c>
      <c r="J162" s="417" t="e">
        <f aca="false">I168</f>
        <v>#VALUE!</v>
      </c>
      <c r="K162" s="417" t="e">
        <f aca="false">J168</f>
        <v>#VALUE!</v>
      </c>
      <c r="L162" s="417" t="e">
        <f aca="false">K168</f>
        <v>#VALUE!</v>
      </c>
      <c r="M162" s="417" t="e">
        <f aca="false">L168</f>
        <v>#VALUE!</v>
      </c>
      <c r="N162" s="417" t="e">
        <f aca="false">M168</f>
        <v>#VALUE!</v>
      </c>
      <c r="O162" s="417" t="e">
        <f aca="false">N168</f>
        <v>#VALUE!</v>
      </c>
      <c r="P162" s="417" t="e">
        <f aca="false">O168</f>
        <v>#VALUE!</v>
      </c>
      <c r="Q162" s="417" t="e">
        <f aca="false">P168</f>
        <v>#VALUE!</v>
      </c>
      <c r="R162" s="417" t="e">
        <f aca="false">Q168</f>
        <v>#VALUE!</v>
      </c>
      <c r="S162" s="417" t="e">
        <f aca="false">R168</f>
        <v>#VALUE!</v>
      </c>
      <c r="T162" s="417" t="e">
        <f aca="false">S168</f>
        <v>#VALUE!</v>
      </c>
      <c r="U162" s="417" t="e">
        <f aca="false">T168</f>
        <v>#VALUE!</v>
      </c>
      <c r="V162" s="417" t="e">
        <f aca="false">U168</f>
        <v>#VALUE!</v>
      </c>
      <c r="W162" s="417" t="e">
        <f aca="false">V168</f>
        <v>#VALUE!</v>
      </c>
      <c r="X162" s="417" t="e">
        <f aca="false">W168</f>
        <v>#VALUE!</v>
      </c>
      <c r="Y162" s="417" t="e">
        <f aca="false">X168</f>
        <v>#VALUE!</v>
      </c>
      <c r="Z162" s="417" t="e">
        <f aca="false">Y168</f>
        <v>#VALUE!</v>
      </c>
      <c r="AA162" s="417" t="e">
        <f aca="false">Z168</f>
        <v>#VALUE!</v>
      </c>
      <c r="AB162" s="417" t="e">
        <f aca="false">AA168</f>
        <v>#VALUE!</v>
      </c>
      <c r="AC162" s="417" t="e">
        <f aca="false">AB168</f>
        <v>#VALUE!</v>
      </c>
    </row>
    <row r="163" customFormat="false" ht="11.25" hidden="false" customHeight="false" outlineLevel="0" collapsed="false">
      <c r="A163" s="43" t="s">
        <v>698</v>
      </c>
      <c r="H163" s="35" t="n">
        <v>0</v>
      </c>
      <c r="I163" s="35" t="n">
        <f aca="false">I450-H450</f>
        <v>-0</v>
      </c>
      <c r="J163" s="35" t="n">
        <f aca="false">J450-I450</f>
        <v>0</v>
      </c>
      <c r="K163" s="35" t="n">
        <f aca="false">K450-J450</f>
        <v>0</v>
      </c>
      <c r="L163" s="35" t="n">
        <f aca="false">L450-K450</f>
        <v>0</v>
      </c>
      <c r="M163" s="35" t="n">
        <f aca="false">M450-L450</f>
        <v>0</v>
      </c>
      <c r="N163" s="35" t="n">
        <f aca="false">N450-M450</f>
        <v>0</v>
      </c>
      <c r="O163" s="35" t="n">
        <f aca="false">O450-N450</f>
        <v>0</v>
      </c>
      <c r="P163" s="35" t="n">
        <f aca="false">P450-O450</f>
        <v>0</v>
      </c>
      <c r="Q163" s="35" t="n">
        <f aca="false">Q450-P450</f>
        <v>0</v>
      </c>
      <c r="R163" s="35" t="n">
        <f aca="false">R450-Q450</f>
        <v>0</v>
      </c>
      <c r="S163" s="35" t="n">
        <f aca="false">S450-R450</f>
        <v>0</v>
      </c>
      <c r="T163" s="35" t="n">
        <f aca="false">T450-S450</f>
        <v>0</v>
      </c>
      <c r="U163" s="35" t="n">
        <f aca="false">U450-T450</f>
        <v>0</v>
      </c>
      <c r="V163" s="35" t="n">
        <f aca="false">V450-U450</f>
        <v>0</v>
      </c>
      <c r="W163" s="35" t="n">
        <f aca="false">W450-V450</f>
        <v>0</v>
      </c>
      <c r="X163" s="35" t="n">
        <f aca="false">X450-W450</f>
        <v>0</v>
      </c>
      <c r="Y163" s="35" t="n">
        <f aca="false">Y450-X450</f>
        <v>0</v>
      </c>
      <c r="Z163" s="35" t="n">
        <f aca="false">Z450-Y450</f>
        <v>0</v>
      </c>
      <c r="AA163" s="35" t="n">
        <f aca="false">AA450-Z450</f>
        <v>0</v>
      </c>
      <c r="AB163" s="35" t="n">
        <f aca="false">AB450-AA450</f>
        <v>0</v>
      </c>
      <c r="AC163" s="35" t="n">
        <f aca="false">AC450-AB450</f>
        <v>0</v>
      </c>
    </row>
    <row r="164" customFormat="false" ht="11.25" hidden="false" customHeight="false" outlineLevel="0" collapsed="false">
      <c r="A164" s="43" t="s">
        <v>699</v>
      </c>
      <c r="G164" s="417"/>
      <c r="H164" s="417" t="n">
        <f aca="false">-H158</f>
        <v>0</v>
      </c>
      <c r="I164" s="417" t="e">
        <f aca="false">-I158</f>
        <v>#VALUE!</v>
      </c>
      <c r="J164" s="417" t="e">
        <f aca="false">-J158</f>
        <v>#N/A</v>
      </c>
      <c r="K164" s="417" t="e">
        <f aca="false">-K158</f>
        <v>#N/A</v>
      </c>
      <c r="L164" s="417" t="e">
        <f aca="false">-L158</f>
        <v>#N/A</v>
      </c>
      <c r="M164" s="417" t="e">
        <f aca="false">-M158</f>
        <v>#N/A</v>
      </c>
      <c r="N164" s="417" t="e">
        <f aca="false">-N158</f>
        <v>#N/A</v>
      </c>
      <c r="O164" s="417" t="e">
        <f aca="false">-O158</f>
        <v>#N/A</v>
      </c>
      <c r="P164" s="417" t="e">
        <f aca="false">-P158</f>
        <v>#N/A</v>
      </c>
      <c r="Q164" s="417" t="e">
        <f aca="false">-Q158</f>
        <v>#N/A</v>
      </c>
      <c r="R164" s="417" t="e">
        <f aca="false">-R158</f>
        <v>#N/A</v>
      </c>
      <c r="S164" s="417" t="e">
        <f aca="false">-S158</f>
        <v>#N/A</v>
      </c>
      <c r="T164" s="417" t="e">
        <f aca="false">-T158</f>
        <v>#N/A</v>
      </c>
      <c r="U164" s="417" t="e">
        <f aca="false">-U158</f>
        <v>#N/A</v>
      </c>
      <c r="V164" s="417" t="e">
        <f aca="false">-V158</f>
        <v>#N/A</v>
      </c>
      <c r="W164" s="417" t="e">
        <f aca="false">-W158</f>
        <v>#N/A</v>
      </c>
      <c r="X164" s="417" t="e">
        <f aca="false">-X158</f>
        <v>#N/A</v>
      </c>
      <c r="Y164" s="417" t="e">
        <f aca="false">-Y158</f>
        <v>#N/A</v>
      </c>
      <c r="Z164" s="417" t="e">
        <f aca="false">-Z158</f>
        <v>#N/A</v>
      </c>
      <c r="AA164" s="417" t="e">
        <f aca="false">-AA158</f>
        <v>#N/A</v>
      </c>
      <c r="AB164" s="417" t="e">
        <f aca="false">-AB158</f>
        <v>#N/A</v>
      </c>
      <c r="AC164" s="417" t="e">
        <f aca="false">-AC158</f>
        <v>#N/A</v>
      </c>
    </row>
    <row r="165" customFormat="false" ht="11.25" hidden="false" customHeight="false" outlineLevel="0" collapsed="false">
      <c r="A165" s="35" t="str">
        <f aca="false">"Excess Cash Flow Recaptured on "&amp;B338</f>
        <v>Excess Cash Flow Recaptured on Term Loan</v>
      </c>
      <c r="H165" s="35" t="n">
        <v>0</v>
      </c>
      <c r="I165" s="35" t="e">
        <f aca="false">-MIN(IF(I164&lt;0,0,I164*I488),I241-I242-I243)</f>
        <v>#VALUE!</v>
      </c>
      <c r="J165" s="35" t="e">
        <f aca="false">-MIN(IF(J164&lt;0,0,J164*J488),J241-J242-J243)</f>
        <v>#N/A</v>
      </c>
      <c r="K165" s="35" t="e">
        <f aca="false">-MIN(IF(K164&lt;0,0,K164*K488),K241-K242-K243)</f>
        <v>#N/A</v>
      </c>
      <c r="L165" s="35" t="e">
        <f aca="false">-MIN(IF(L164&lt;0,0,L164*L488),L241-L242-L243)</f>
        <v>#N/A</v>
      </c>
      <c r="M165" s="35" t="e">
        <f aca="false">-MIN(IF(M164&lt;0,0,M164*M488),M241-M242-M243)</f>
        <v>#N/A</v>
      </c>
      <c r="N165" s="35" t="e">
        <f aca="false">-MIN(IF(N164&lt;0,0,N164*N488),N241-N242-N243)</f>
        <v>#N/A</v>
      </c>
      <c r="O165" s="35" t="e">
        <f aca="false">-MIN(IF(O164&lt;0,0,O164*O488),O241-O242-O243)</f>
        <v>#N/A</v>
      </c>
      <c r="P165" s="35" t="e">
        <f aca="false">-MIN(IF(P164&lt;0,0,P164*P488),P241-P242-P243)</f>
        <v>#N/A</v>
      </c>
      <c r="Q165" s="35" t="e">
        <f aca="false">-MIN(IF(Q164&lt;0,0,Q164*Q488),Q241-Q242-Q243)</f>
        <v>#N/A</v>
      </c>
      <c r="R165" s="35" t="e">
        <f aca="false">-MIN(IF(R164&lt;0,0,R164*R488),R241-R242-R243)</f>
        <v>#N/A</v>
      </c>
      <c r="S165" s="35" t="e">
        <f aca="false">-MIN(IF(S164&lt;0,0,S164*S488),S241-S242-S243)</f>
        <v>#N/A</v>
      </c>
      <c r="T165" s="35" t="e">
        <f aca="false">-MIN(IF(T164&lt;0,0,T164*T488),T241-T242-T243)</f>
        <v>#N/A</v>
      </c>
      <c r="U165" s="35" t="e">
        <f aca="false">-MIN(IF(U164&lt;0,0,U164*U488),U241-U242-U243)</f>
        <v>#N/A</v>
      </c>
      <c r="V165" s="35" t="e">
        <f aca="false">-MIN(IF(V164&lt;0,0,V164*V488),V241-V242-V243)</f>
        <v>#N/A</v>
      </c>
      <c r="W165" s="35" t="e">
        <f aca="false">-MIN(IF(W164&lt;0,0,W164*W488),W241-W242-W243)</f>
        <v>#N/A</v>
      </c>
      <c r="X165" s="35" t="e">
        <f aca="false">-MIN(IF(X164&lt;0,0,X164*X488),X241-X242-X243)</f>
        <v>#N/A</v>
      </c>
      <c r="Y165" s="35" t="e">
        <f aca="false">-MIN(IF(Y164&lt;0,0,Y164*Y488),Y241-Y242-Y243)</f>
        <v>#N/A</v>
      </c>
      <c r="Z165" s="35" t="e">
        <f aca="false">-MIN(IF(Z164&lt;0,0,Z164*Z488),Z241-Z242-Z243)</f>
        <v>#N/A</v>
      </c>
      <c r="AA165" s="35" t="e">
        <f aca="false">-MIN(IF(AA164&lt;0,0,AA164*AA488),AA241-AA242-AA243)</f>
        <v>#N/A</v>
      </c>
      <c r="AB165" s="35" t="e">
        <f aca="false">-MIN(IF(AB164&lt;0,0,AB164*AB488),AB241-AB242-AB243)</f>
        <v>#N/A</v>
      </c>
      <c r="AC165" s="35" t="e">
        <f aca="false">-MIN(IF(AC164&lt;0,0,AC164*AC488),AC241-AC242-AC243)</f>
        <v>#N/A</v>
      </c>
    </row>
    <row r="166" customFormat="false" ht="11.25" hidden="false" customHeight="false" outlineLevel="0" collapsed="false">
      <c r="A166" s="35" t="str">
        <f aca="false">"Excess Cash Flow Recaptured on "&amp;B337</f>
        <v>Excess Cash Flow Recaptured on Revolving Loan</v>
      </c>
      <c r="H166" s="35" t="n">
        <v>0</v>
      </c>
      <c r="I166" s="35" t="e">
        <f aca="false">IF(AND(I164&gt;0,I164+I165&gt;=0),-MIN((I164+I165)*I484,I230-I232-I234-I233),0)</f>
        <v>#VALUE!</v>
      </c>
      <c r="J166" s="35" t="e">
        <f aca="false">IF(AND(J164&gt;0,J164+J165&gt;=0),-MIN((J164+J165)*J484,J230-J232-J234-J233),0)</f>
        <v>#N/A</v>
      </c>
      <c r="K166" s="35" t="e">
        <f aca="false">IF(AND(K164&gt;0,K164+K165&gt;=0),-MIN((K164+K165)*K484,K230-K232-K234-K233),0)</f>
        <v>#N/A</v>
      </c>
      <c r="L166" s="35" t="e">
        <f aca="false">IF(AND(L164&gt;0,L164+L165&gt;=0),-MIN((L164+L165)*L484,L230-L232-L234-L233),0)</f>
        <v>#N/A</v>
      </c>
      <c r="M166" s="35" t="e">
        <f aca="false">IF(AND(M164&gt;0,M164+M165&gt;=0),-MIN((M164+M165)*M484,M230-M232-M234-M233),0)</f>
        <v>#N/A</v>
      </c>
      <c r="N166" s="35" t="e">
        <f aca="false">IF(AND(N164&gt;0,N164+N165&gt;=0),-MIN((N164+N165)*N484,N230-N232-N234-N233),0)</f>
        <v>#N/A</v>
      </c>
      <c r="O166" s="35" t="e">
        <f aca="false">IF(AND(O164&gt;0,O164+O165&gt;=0),-MIN((O164+O165)*O484,O230-O232-O234-O233),0)</f>
        <v>#N/A</v>
      </c>
      <c r="P166" s="35" t="e">
        <f aca="false">IF(AND(P164&gt;0,P164+P165&gt;=0),-MIN((P164+P165)*P484,P230-P232-P234-P233),0)</f>
        <v>#N/A</v>
      </c>
      <c r="Q166" s="35" t="e">
        <f aca="false">IF(AND(Q164&gt;0,Q164+Q165&gt;=0),-MIN((Q164+Q165)*Q484,Q230-Q232-Q234-Q233),0)</f>
        <v>#N/A</v>
      </c>
      <c r="R166" s="35" t="e">
        <f aca="false">IF(AND(R164&gt;0,R164+R165&gt;=0),-MIN((R164+R165)*R484,R230-R232-R234-R233),0)</f>
        <v>#N/A</v>
      </c>
      <c r="S166" s="35" t="e">
        <f aca="false">IF(AND(S164&gt;0,S164+S165&gt;=0),-MIN((S164+S165)*S484,S230-S232-S234-S233),0)</f>
        <v>#N/A</v>
      </c>
      <c r="T166" s="35" t="e">
        <f aca="false">IF(AND(T164&gt;0,T164+T165&gt;=0),-MIN((T164+T165)*T484,T230-T232-T234-T233),0)</f>
        <v>#N/A</v>
      </c>
      <c r="U166" s="35" t="e">
        <f aca="false">IF(AND(U164&gt;0,U164+U165&gt;=0),-MIN((U164+U165)*U484,U230-U232-U234-U233),0)</f>
        <v>#N/A</v>
      </c>
      <c r="V166" s="35" t="e">
        <f aca="false">IF(AND(V164&gt;0,V164+V165&gt;=0),-MIN((V164+V165)*V484,V230-V232-V234-V233),0)</f>
        <v>#N/A</v>
      </c>
      <c r="W166" s="35" t="e">
        <f aca="false">IF(AND(W164&gt;0,W164+W165&gt;=0),-MIN((W164+W165)*W484,W230-W232-W234-W233),0)</f>
        <v>#N/A</v>
      </c>
      <c r="X166" s="35" t="e">
        <f aca="false">IF(AND(X164&gt;0,X164+X165&gt;=0),-MIN((X164+X165)*X484,X230-X232-X234-X233),0)</f>
        <v>#N/A</v>
      </c>
      <c r="Y166" s="35" t="e">
        <f aca="false">IF(AND(Y164&gt;0,Y164+Y165&gt;=0),-MIN((Y164+Y165)*Y484,Y230-Y232-Y234-Y233),0)</f>
        <v>#N/A</v>
      </c>
      <c r="Z166" s="35" t="e">
        <f aca="false">IF(AND(Z164&gt;0,Z164+Z165&gt;=0),-MIN((Z164+Z165)*Z484,Z230-Z232-Z234-Z233),0)</f>
        <v>#N/A</v>
      </c>
      <c r="AA166" s="35" t="e">
        <f aca="false">IF(AND(AA164&gt;0,AA164+AA165&gt;=0),-MIN((AA164+AA165)*AA484,AA230-AA232-AA234-AA233),0)</f>
        <v>#N/A</v>
      </c>
      <c r="AB166" s="35" t="e">
        <f aca="false">IF(AND(AB164&gt;0,AB164+AB165&gt;=0),-MIN((AB164+AB165)*AB484,AB230-AB232-AB234-AB233),0)</f>
        <v>#N/A</v>
      </c>
      <c r="AC166" s="35" t="e">
        <f aca="false">IF(AND(AC164&gt;0,AC164+AC165&gt;=0),-MIN((AC164+AC165)*AC484,AC230-AC232-AC234-AC233),0)</f>
        <v>#N/A</v>
      </c>
    </row>
    <row r="167" customFormat="false" ht="11.25" hidden="false" customHeight="false" outlineLevel="0" collapsed="false">
      <c r="A167" s="35" t="str">
        <f aca="false">"Excess Cash Flow Recaptured on "&amp;B343</f>
        <v>Excess Cash Flow Recaptured on Sr Sub Notes</v>
      </c>
      <c r="H167" s="35" t="n">
        <v>0</v>
      </c>
      <c r="I167" s="35" t="e">
        <f aca="false">IF(AND(I164&gt;0,I164+I165+I166&gt;=0),-MIN((+I164+I165+I166)*I520,I276-I277-I278),0)</f>
        <v>#VALUE!</v>
      </c>
      <c r="J167" s="35" t="e">
        <f aca="false">IF(AND(J164&gt;0,J164+J165+J166&gt;=0),-MIN((+J164+J165+J166)*J520,J276-J277-J278),0)</f>
        <v>#N/A</v>
      </c>
      <c r="K167" s="35" t="e">
        <f aca="false">IF(AND(K164&gt;0,K164+K165+K166&gt;=0),-MIN((+K164+K165+K166)*K520,K276-K277-K278),0)</f>
        <v>#N/A</v>
      </c>
      <c r="L167" s="35" t="e">
        <f aca="false">IF(AND(L164&gt;0,L164+L165+L166&gt;=0),-MIN((+L164+L165+L166)*L520,L276-L277-L278),0)</f>
        <v>#N/A</v>
      </c>
      <c r="M167" s="35" t="e">
        <f aca="false">IF(AND(M164&gt;0,M164+M165+M166&gt;=0),-MIN((+M164+M165+M166)*M520,M276-M277-M278),0)</f>
        <v>#N/A</v>
      </c>
      <c r="N167" s="35" t="e">
        <f aca="false">IF(AND(N164&gt;0,N164+N165+N166&gt;=0),-MIN((+N164+N165+N166)*N520,N276-N277-N278),0)</f>
        <v>#N/A</v>
      </c>
      <c r="O167" s="35" t="e">
        <f aca="false">IF(AND(O164&gt;0,O164+O165+O166&gt;=0),-MIN((+O164+O165+O166)*O520,O276-O277-O278),0)</f>
        <v>#N/A</v>
      </c>
      <c r="P167" s="35" t="e">
        <f aca="false">IF(AND(P164&gt;0,P164+P165+P166&gt;=0),-MIN((+P164+P165+P166)*P520,P276-P277-P278),0)</f>
        <v>#N/A</v>
      </c>
      <c r="Q167" s="35" t="e">
        <f aca="false">IF(AND(Q164&gt;0,Q164+Q165+Q166&gt;=0),-MIN((+Q164+Q165+Q166)*Q520,Q276-Q277-Q278),0)</f>
        <v>#N/A</v>
      </c>
      <c r="R167" s="35" t="e">
        <f aca="false">IF(AND(R164&gt;0,R164+R165+R166&gt;=0),-MIN((+R164+R165+R166)*R520,R276-R277-R278),0)</f>
        <v>#N/A</v>
      </c>
      <c r="S167" s="35" t="e">
        <f aca="false">IF(AND(S164&gt;0,S164+S165+S166&gt;=0),-MIN((+S164+S165+S166)*S520,S276-S277-S278),0)</f>
        <v>#N/A</v>
      </c>
      <c r="T167" s="35" t="e">
        <f aca="false">IF(AND(T164&gt;0,T164+T165+T166&gt;=0),-MIN((+T164+T165+T166)*T520,T276-T277-T278),0)</f>
        <v>#N/A</v>
      </c>
      <c r="U167" s="35" t="e">
        <f aca="false">IF(AND(U164&gt;0,U164+U165+U166&gt;=0),-MIN((+U164+U165+U166)*U520,U276-U277-U278),0)</f>
        <v>#N/A</v>
      </c>
      <c r="V167" s="35" t="e">
        <f aca="false">IF(AND(V164&gt;0,V164+V165+V166&gt;=0),-MIN((+V164+V165+V166)*V520,V276-V277-V278),0)</f>
        <v>#N/A</v>
      </c>
      <c r="W167" s="35" t="e">
        <f aca="false">IF(AND(W164&gt;0,W164+W165+W166&gt;=0),-MIN((+W164+W165+W166)*W520,W276-W277-W278),0)</f>
        <v>#N/A</v>
      </c>
      <c r="X167" s="35" t="e">
        <f aca="false">IF(AND(X164&gt;0,X164+X165+X166&gt;=0),-MIN((+X164+X165+X166)*X520,X276-X277-X278),0)</f>
        <v>#N/A</v>
      </c>
      <c r="Y167" s="35" t="e">
        <f aca="false">IF(AND(Y164&gt;0,Y164+Y165+Y166&gt;=0),-MIN((+Y164+Y165+Y166)*Y520,Y276-Y277-Y278),0)</f>
        <v>#N/A</v>
      </c>
      <c r="Z167" s="35" t="e">
        <f aca="false">IF(AND(Z164&gt;0,Z164+Z165+Z166&gt;=0),-MIN((+Z164+Z165+Z166)*Z520,Z276-Z277-Z278),0)</f>
        <v>#N/A</v>
      </c>
      <c r="AA167" s="35" t="e">
        <f aca="false">IF(AND(AA164&gt;0,AA164+AA165+AA166&gt;=0),-MIN((+AA164+AA165+AA166)*AA520,AA276-AA277-AA278),0)</f>
        <v>#N/A</v>
      </c>
      <c r="AB167" s="35" t="e">
        <f aca="false">IF(AND(AB164&gt;0,AB164+AB165+AB166&gt;=0),-MIN((+AB164+AB165+AB166)*AB520,AB276-AB277-AB278),0)</f>
        <v>#N/A</v>
      </c>
      <c r="AC167" s="35" t="e">
        <f aca="false">IF(AND(AC164&gt;0,AC164+AC165+AC166&gt;=0),-MIN((+AC164+AC165+AC166)*AC520,AC276-AC277-AC278),0)</f>
        <v>#N/A</v>
      </c>
    </row>
    <row r="168" customFormat="false" ht="11.25" hidden="false" customHeight="false" outlineLevel="0" collapsed="false">
      <c r="A168" s="43" t="s">
        <v>700</v>
      </c>
      <c r="G168" s="67"/>
      <c r="H168" s="419" t="n">
        <f aca="false">H162+H163+H164+H165+H166+H167</f>
        <v>0</v>
      </c>
      <c r="I168" s="419" t="e">
        <f aca="false">I162+I163+I164+I165+I166+I167</f>
        <v>#VALUE!</v>
      </c>
      <c r="J168" s="419" t="e">
        <f aca="false">J162+J163+J164+J165+J166+J167</f>
        <v>#VALUE!</v>
      </c>
      <c r="K168" s="419" t="e">
        <f aca="false">K162+K163+K164+K165+K166+K167</f>
        <v>#VALUE!</v>
      </c>
      <c r="L168" s="419" t="e">
        <f aca="false">L162+L163+L164+L165+L166+L167</f>
        <v>#VALUE!</v>
      </c>
      <c r="M168" s="419" t="e">
        <f aca="false">M162+M163+M164+M165+M166+M167</f>
        <v>#VALUE!</v>
      </c>
      <c r="N168" s="419" t="e">
        <f aca="false">N162+N163+N164+N165+N166+N167</f>
        <v>#VALUE!</v>
      </c>
      <c r="O168" s="419" t="e">
        <f aca="false">O162+O163+O164+O165+O166+O167</f>
        <v>#VALUE!</v>
      </c>
      <c r="P168" s="419" t="e">
        <f aca="false">P162+P163+P164+P165+P166+P167</f>
        <v>#VALUE!</v>
      </c>
      <c r="Q168" s="419" t="e">
        <f aca="false">Q162+Q163+Q164+Q165+Q166+Q167</f>
        <v>#VALUE!</v>
      </c>
      <c r="R168" s="419" t="e">
        <f aca="false">R162+R163+R164+R165+R166+R167</f>
        <v>#VALUE!</v>
      </c>
      <c r="S168" s="419" t="e">
        <f aca="false">S162+S163+S164+S165+S166+S167</f>
        <v>#VALUE!</v>
      </c>
      <c r="T168" s="419" t="e">
        <f aca="false">T162+T163+T164+T165+T166+T167</f>
        <v>#VALUE!</v>
      </c>
      <c r="U168" s="419" t="e">
        <f aca="false">U162+U163+U164+U165+U166+U167</f>
        <v>#VALUE!</v>
      </c>
      <c r="V168" s="419" t="e">
        <f aca="false">V162+V163+V164+V165+V166+V167</f>
        <v>#VALUE!</v>
      </c>
      <c r="W168" s="419" t="e">
        <f aca="false">W162+W163+W164+W165+W166+W167</f>
        <v>#VALUE!</v>
      </c>
      <c r="X168" s="419" t="e">
        <f aca="false">X162+X163+X164+X165+X166+X167</f>
        <v>#VALUE!</v>
      </c>
      <c r="Y168" s="419" t="e">
        <f aca="false">Y162+Y163+Y164+Y165+Y166+Y167</f>
        <v>#VALUE!</v>
      </c>
      <c r="Z168" s="419" t="e">
        <f aca="false">Z162+Z163+Z164+Z165+Z166+Z167</f>
        <v>#VALUE!</v>
      </c>
      <c r="AA168" s="419" t="e">
        <f aca="false">AA162+AA163+AA164+AA165+AA166+AA167</f>
        <v>#VALUE!</v>
      </c>
      <c r="AB168" s="419" t="e">
        <f aca="false">AB162+AB163+AB164+AB165+AB166+AB167</f>
        <v>#VALUE!</v>
      </c>
      <c r="AC168" s="419" t="e">
        <f aca="false">AC162+AC163+AC164+AC165+AC166+AC167</f>
        <v>#VALUE!</v>
      </c>
    </row>
    <row r="169" customFormat="false" ht="12" hidden="false" customHeight="false" outlineLevel="0" collapsed="false">
      <c r="A169" s="43"/>
      <c r="G169" s="431"/>
      <c r="H169" s="432"/>
      <c r="I169" s="432"/>
      <c r="J169" s="432"/>
      <c r="K169" s="432"/>
      <c r="L169" s="432"/>
      <c r="M169" s="432"/>
      <c r="N169" s="432"/>
      <c r="O169" s="432"/>
      <c r="P169" s="432"/>
      <c r="Q169" s="432"/>
      <c r="R169" s="432"/>
      <c r="S169" s="432"/>
    </row>
    <row r="170" customFormat="false" ht="12.75" hidden="false" customHeight="false" outlineLevel="0" collapsed="false">
      <c r="E170" s="429" t="n">
        <f aca="false">EOMONTH($I$170,-12*3)</f>
        <v>35430</v>
      </c>
      <c r="F170" s="429" t="n">
        <f aca="false">EOMONTH($I$170,-12*2)</f>
        <v>35795</v>
      </c>
      <c r="G170" s="429" t="n">
        <f aca="false">EOMONTH($I$170,-12)</f>
        <v>36160</v>
      </c>
      <c r="H170" s="429" t="n">
        <f aca="false">C323</f>
        <v>36341</v>
      </c>
      <c r="I170" s="429" t="n">
        <f aca="false">E331</f>
        <v>36525</v>
      </c>
      <c r="J170" s="429" t="n">
        <f aca="false">EOMONTH($I$170,12)</f>
        <v>36891</v>
      </c>
      <c r="K170" s="429" t="n">
        <f aca="false">EOMONTH($I$170,24)</f>
        <v>37256</v>
      </c>
      <c r="L170" s="429" t="n">
        <f aca="false">EOMONTH($I$170,3*12)</f>
        <v>37621</v>
      </c>
      <c r="M170" s="429" t="n">
        <f aca="false">EOMONTH($I$170,4*12)</f>
        <v>37986</v>
      </c>
      <c r="N170" s="429" t="n">
        <f aca="false">EOMONTH($I$170,5*12)</f>
        <v>38352</v>
      </c>
      <c r="O170" s="429" t="n">
        <f aca="false">EOMONTH($I$170,6*12)</f>
        <v>38717</v>
      </c>
      <c r="P170" s="429" t="n">
        <f aca="false">EOMONTH($I$170,7*12)</f>
        <v>39082</v>
      </c>
      <c r="Q170" s="429" t="n">
        <f aca="false">EOMONTH($I$170,8*12)</f>
        <v>39447</v>
      </c>
      <c r="R170" s="429" t="n">
        <f aca="false">EOMONTH($I$170,9*12)</f>
        <v>39813</v>
      </c>
      <c r="S170" s="429" t="n">
        <f aca="false">EOMONTH($I$170,10*12)</f>
        <v>40178</v>
      </c>
      <c r="T170" s="429" t="n">
        <f aca="false">EOMONTH($I$170,11*12)</f>
        <v>40543</v>
      </c>
      <c r="U170" s="429" t="n">
        <f aca="false">EOMONTH($I$170,12*12)</f>
        <v>40908</v>
      </c>
      <c r="V170" s="429" t="n">
        <f aca="false">EOMONTH($I$170,13*12)</f>
        <v>41274</v>
      </c>
      <c r="W170" s="429" t="n">
        <f aca="false">EOMONTH($I$170,14*12)</f>
        <v>41639</v>
      </c>
      <c r="X170" s="429" t="n">
        <f aca="false">EOMONTH($I$170,15*12)</f>
        <v>42004</v>
      </c>
      <c r="Y170" s="429" t="n">
        <f aca="false">EOMONTH($I$170,16*12)</f>
        <v>42369</v>
      </c>
      <c r="Z170" s="429" t="n">
        <f aca="false">EOMONTH($I$170,17*12)</f>
        <v>42735</v>
      </c>
      <c r="AA170" s="429" t="n">
        <f aca="false">EOMONTH($I$170,18*12)</f>
        <v>43100</v>
      </c>
      <c r="AB170" s="429" t="n">
        <f aca="false">EOMONTH($I$170,19*12)</f>
        <v>43465</v>
      </c>
      <c r="AC170" s="429" t="n">
        <f aca="false">EOMONTH($I$170,20*12)</f>
        <v>43830</v>
      </c>
    </row>
    <row r="171" customFormat="false" ht="12" hidden="false" customHeight="false" outlineLevel="0" collapsed="false">
      <c r="A171" s="153" t="s">
        <v>701</v>
      </c>
      <c r="E171" s="67"/>
      <c r="F171" s="67"/>
      <c r="G171" s="67"/>
      <c r="H171" s="67"/>
      <c r="I171" s="67"/>
      <c r="J171" s="67"/>
      <c r="K171" s="67"/>
      <c r="L171" s="67"/>
      <c r="M171" s="67"/>
      <c r="N171" s="67"/>
      <c r="O171" s="67"/>
      <c r="P171" s="67"/>
      <c r="Q171" s="67"/>
      <c r="R171" s="67"/>
      <c r="S171" s="67"/>
    </row>
    <row r="172" customFormat="false" ht="11.25" hidden="false" customHeight="false" outlineLevel="0" collapsed="false">
      <c r="A172" s="35" t="str">
        <f aca="false">A389</f>
        <v>Cash and Marketable Securities</v>
      </c>
      <c r="C172" s="172"/>
      <c r="D172" s="172"/>
      <c r="E172" s="417" t="n">
        <f aca="false">E389</f>
        <v>0</v>
      </c>
      <c r="F172" s="417" t="n">
        <f aca="false">F389</f>
        <v>0</v>
      </c>
      <c r="G172" s="417" t="n">
        <f aca="false">G389</f>
        <v>0</v>
      </c>
      <c r="H172" s="418" t="n">
        <f aca="false">N389</f>
        <v>0</v>
      </c>
      <c r="I172" s="417" t="e">
        <f aca="false">I168</f>
        <v>#VALUE!</v>
      </c>
      <c r="J172" s="417" t="e">
        <f aca="false">J168</f>
        <v>#VALUE!</v>
      </c>
      <c r="K172" s="417" t="e">
        <f aca="false">K168</f>
        <v>#VALUE!</v>
      </c>
      <c r="L172" s="417" t="e">
        <f aca="false">L168</f>
        <v>#VALUE!</v>
      </c>
      <c r="M172" s="417" t="e">
        <f aca="false">M168</f>
        <v>#VALUE!</v>
      </c>
      <c r="N172" s="417" t="e">
        <f aca="false">N168</f>
        <v>#VALUE!</v>
      </c>
      <c r="O172" s="417" t="e">
        <f aca="false">O168</f>
        <v>#VALUE!</v>
      </c>
      <c r="P172" s="417" t="e">
        <f aca="false">P168</f>
        <v>#VALUE!</v>
      </c>
      <c r="Q172" s="417" t="e">
        <f aca="false">Q168</f>
        <v>#VALUE!</v>
      </c>
      <c r="R172" s="417" t="e">
        <f aca="false">R168</f>
        <v>#VALUE!</v>
      </c>
      <c r="S172" s="417" t="e">
        <f aca="false">S168</f>
        <v>#VALUE!</v>
      </c>
      <c r="T172" s="417" t="e">
        <f aca="false">T168</f>
        <v>#VALUE!</v>
      </c>
      <c r="U172" s="417" t="e">
        <f aca="false">U168</f>
        <v>#VALUE!</v>
      </c>
      <c r="V172" s="417" t="e">
        <f aca="false">V168</f>
        <v>#VALUE!</v>
      </c>
      <c r="W172" s="417" t="e">
        <f aca="false">W168</f>
        <v>#VALUE!</v>
      </c>
      <c r="X172" s="417" t="e">
        <f aca="false">X168</f>
        <v>#VALUE!</v>
      </c>
      <c r="Y172" s="417" t="e">
        <f aca="false">Y168</f>
        <v>#VALUE!</v>
      </c>
      <c r="Z172" s="417" t="e">
        <f aca="false">Z168</f>
        <v>#VALUE!</v>
      </c>
      <c r="AA172" s="417" t="e">
        <f aca="false">AA168</f>
        <v>#VALUE!</v>
      </c>
      <c r="AB172" s="417" t="e">
        <f aca="false">AB168</f>
        <v>#VALUE!</v>
      </c>
      <c r="AC172" s="417" t="e">
        <f aca="false">AC168</f>
        <v>#VALUE!</v>
      </c>
    </row>
    <row r="173" customFormat="false" ht="11.25" hidden="false" customHeight="false" outlineLevel="0" collapsed="false">
      <c r="A173" s="35" t="str">
        <f aca="false">A390</f>
        <v>Accounts Receivable</v>
      </c>
      <c r="C173" s="417"/>
      <c r="D173" s="417"/>
      <c r="E173" s="417" t="n">
        <f aca="false">E390</f>
        <v>0</v>
      </c>
      <c r="F173" s="417" t="n">
        <f aca="false">F390</f>
        <v>0</v>
      </c>
      <c r="G173" s="417" t="n">
        <f aca="false">G390</f>
        <v>0</v>
      </c>
      <c r="H173" s="418" t="n">
        <f aca="false">N390</f>
        <v>0</v>
      </c>
      <c r="I173" s="417" t="n">
        <f aca="false">I451</f>
        <v>-0</v>
      </c>
      <c r="J173" s="417" t="n">
        <f aca="false">J451</f>
        <v>-0</v>
      </c>
      <c r="K173" s="417" t="n">
        <f aca="false">K451</f>
        <v>-0</v>
      </c>
      <c r="L173" s="417" t="n">
        <f aca="false">L451</f>
        <v>-0</v>
      </c>
      <c r="M173" s="417" t="n">
        <f aca="false">M451</f>
        <v>-0</v>
      </c>
      <c r="N173" s="417" t="n">
        <f aca="false">N451</f>
        <v>-0</v>
      </c>
      <c r="O173" s="417" t="n">
        <f aca="false">O451</f>
        <v>-0</v>
      </c>
      <c r="P173" s="417" t="n">
        <f aca="false">P451</f>
        <v>-0</v>
      </c>
      <c r="Q173" s="417" t="n">
        <f aca="false">Q451</f>
        <v>-0</v>
      </c>
      <c r="R173" s="417" t="n">
        <f aca="false">R451</f>
        <v>-0</v>
      </c>
      <c r="S173" s="417" t="n">
        <f aca="false">S451</f>
        <v>-0</v>
      </c>
      <c r="T173" s="417" t="n">
        <f aca="false">T451</f>
        <v>-0</v>
      </c>
      <c r="U173" s="417" t="n">
        <f aca="false">U451</f>
        <v>-0</v>
      </c>
      <c r="V173" s="417" t="n">
        <f aca="false">V451</f>
        <v>-0</v>
      </c>
      <c r="W173" s="417" t="n">
        <f aca="false">W451</f>
        <v>-0</v>
      </c>
      <c r="X173" s="417" t="n">
        <f aca="false">X451</f>
        <v>-0</v>
      </c>
      <c r="Y173" s="417" t="n">
        <f aca="false">Y451</f>
        <v>-0</v>
      </c>
      <c r="Z173" s="417" t="n">
        <f aca="false">Z451</f>
        <v>-0</v>
      </c>
      <c r="AA173" s="417" t="n">
        <f aca="false">AA451</f>
        <v>-0</v>
      </c>
      <c r="AB173" s="417" t="n">
        <f aca="false">AB451</f>
        <v>-0</v>
      </c>
      <c r="AC173" s="417" t="n">
        <f aca="false">AC451</f>
        <v>-0</v>
      </c>
    </row>
    <row r="174" customFormat="false" ht="11.25" hidden="false" customHeight="false" outlineLevel="0" collapsed="false">
      <c r="A174" s="35" t="str">
        <f aca="false">A391</f>
        <v>Inventories</v>
      </c>
      <c r="C174" s="417"/>
      <c r="D174" s="417"/>
      <c r="E174" s="417" t="n">
        <f aca="false">E391</f>
        <v>0</v>
      </c>
      <c r="F174" s="417" t="n">
        <f aca="false">F391</f>
        <v>0</v>
      </c>
      <c r="G174" s="417" t="n">
        <f aca="false">G391</f>
        <v>0</v>
      </c>
      <c r="H174" s="418" t="n">
        <f aca="false">N391</f>
        <v>0</v>
      </c>
      <c r="I174" s="417" t="n">
        <f aca="false">I452</f>
        <v>0</v>
      </c>
      <c r="J174" s="417" t="n">
        <f aca="false">J452</f>
        <v>0</v>
      </c>
      <c r="K174" s="417" t="n">
        <f aca="false">K452</f>
        <v>0</v>
      </c>
      <c r="L174" s="417" t="n">
        <f aca="false">L452</f>
        <v>0</v>
      </c>
      <c r="M174" s="417" t="n">
        <f aca="false">M452</f>
        <v>0</v>
      </c>
      <c r="N174" s="417" t="n">
        <f aca="false">N452</f>
        <v>0</v>
      </c>
      <c r="O174" s="417" t="n">
        <f aca="false">O452</f>
        <v>0</v>
      </c>
      <c r="P174" s="417" t="n">
        <f aca="false">P452</f>
        <v>0</v>
      </c>
      <c r="Q174" s="417" t="n">
        <f aca="false">Q452</f>
        <v>0</v>
      </c>
      <c r="R174" s="417" t="n">
        <f aca="false">R452</f>
        <v>0</v>
      </c>
      <c r="S174" s="417" t="n">
        <f aca="false">S452</f>
        <v>0</v>
      </c>
      <c r="T174" s="417" t="n">
        <f aca="false">T452</f>
        <v>0</v>
      </c>
      <c r="U174" s="417" t="n">
        <f aca="false">U452</f>
        <v>0</v>
      </c>
      <c r="V174" s="417" t="n">
        <f aca="false">V452</f>
        <v>0</v>
      </c>
      <c r="W174" s="417" t="n">
        <f aca="false">W452</f>
        <v>0</v>
      </c>
      <c r="X174" s="417" t="n">
        <f aca="false">X452</f>
        <v>0</v>
      </c>
      <c r="Y174" s="417" t="n">
        <f aca="false">Y452</f>
        <v>0</v>
      </c>
      <c r="Z174" s="417" t="n">
        <f aca="false">Z452</f>
        <v>0</v>
      </c>
      <c r="AA174" s="417" t="n">
        <f aca="false">AA452</f>
        <v>0</v>
      </c>
      <c r="AB174" s="417" t="n">
        <f aca="false">AB452</f>
        <v>0</v>
      </c>
      <c r="AC174" s="417" t="n">
        <f aca="false">AC452</f>
        <v>0</v>
      </c>
    </row>
    <row r="175" customFormat="false" ht="11.25" hidden="false" customHeight="false" outlineLevel="0" collapsed="false">
      <c r="A175" s="35" t="str">
        <f aca="false">A392</f>
        <v>Other Current Assets</v>
      </c>
      <c r="C175" s="417"/>
      <c r="D175" s="417"/>
      <c r="E175" s="417" t="n">
        <f aca="false">E392</f>
        <v>0</v>
      </c>
      <c r="F175" s="417" t="n">
        <f aca="false">F392</f>
        <v>0</v>
      </c>
      <c r="G175" s="417" t="n">
        <f aca="false">G392</f>
        <v>0</v>
      </c>
      <c r="H175" s="418" t="n">
        <f aca="false">N392</f>
        <v>0</v>
      </c>
      <c r="I175" s="417" t="n">
        <f aca="false">I453</f>
        <v>0</v>
      </c>
      <c r="J175" s="417" t="n">
        <f aca="false">J453</f>
        <v>0</v>
      </c>
      <c r="K175" s="417" t="n">
        <f aca="false">K453</f>
        <v>0</v>
      </c>
      <c r="L175" s="417" t="n">
        <f aca="false">L453</f>
        <v>0</v>
      </c>
      <c r="M175" s="417" t="n">
        <f aca="false">M453</f>
        <v>0</v>
      </c>
      <c r="N175" s="417" t="n">
        <f aca="false">N453</f>
        <v>0</v>
      </c>
      <c r="O175" s="417" t="n">
        <f aca="false">O453</f>
        <v>0</v>
      </c>
      <c r="P175" s="417" t="n">
        <f aca="false">P453</f>
        <v>0</v>
      </c>
      <c r="Q175" s="417" t="n">
        <f aca="false">Q453</f>
        <v>0</v>
      </c>
      <c r="R175" s="417" t="n">
        <f aca="false">R453</f>
        <v>0</v>
      </c>
      <c r="S175" s="417" t="n">
        <f aca="false">S453</f>
        <v>0</v>
      </c>
      <c r="T175" s="417" t="n">
        <f aca="false">T453</f>
        <v>0</v>
      </c>
      <c r="U175" s="417" t="n">
        <f aca="false">U453</f>
        <v>0</v>
      </c>
      <c r="V175" s="417" t="n">
        <f aca="false">V453</f>
        <v>0</v>
      </c>
      <c r="W175" s="417" t="n">
        <f aca="false">W453</f>
        <v>0</v>
      </c>
      <c r="X175" s="417" t="n">
        <f aca="false">X453</f>
        <v>0</v>
      </c>
      <c r="Y175" s="417" t="n">
        <f aca="false">Y453</f>
        <v>0</v>
      </c>
      <c r="Z175" s="417" t="n">
        <f aca="false">Z453</f>
        <v>0</v>
      </c>
      <c r="AA175" s="417" t="n">
        <f aca="false">AA453</f>
        <v>0</v>
      </c>
      <c r="AB175" s="417" t="n">
        <f aca="false">AB453</f>
        <v>0</v>
      </c>
      <c r="AC175" s="417" t="n">
        <f aca="false">AC453</f>
        <v>0</v>
      </c>
    </row>
    <row r="176" customFormat="false" ht="11.25" hidden="false" customHeight="false" outlineLevel="0" collapsed="false">
      <c r="A176" s="168" t="str">
        <f aca="false">A393</f>
        <v>Total Current Assets</v>
      </c>
      <c r="C176" s="417"/>
      <c r="D176" s="417"/>
      <c r="E176" s="419" t="n">
        <f aca="false">SUM(E172:E175)</f>
        <v>0</v>
      </c>
      <c r="F176" s="419" t="n">
        <f aca="false">SUM(F172:F175)</f>
        <v>0</v>
      </c>
      <c r="G176" s="419" t="n">
        <f aca="false">SUM(G172:G175)</f>
        <v>0</v>
      </c>
      <c r="H176" s="420" t="n">
        <f aca="false">SUM(H172:H175)</f>
        <v>0</v>
      </c>
      <c r="I176" s="419" t="e">
        <f aca="false">SUM(I172:I175)</f>
        <v>#VALUE!</v>
      </c>
      <c r="J176" s="419" t="e">
        <f aca="false">SUM(J172:J175)</f>
        <v>#VALUE!</v>
      </c>
      <c r="K176" s="419" t="e">
        <f aca="false">SUM(K172:K175)</f>
        <v>#VALUE!</v>
      </c>
      <c r="L176" s="419" t="e">
        <f aca="false">SUM(L172:L175)</f>
        <v>#VALUE!</v>
      </c>
      <c r="M176" s="419" t="e">
        <f aca="false">SUM(M172:M175)</f>
        <v>#VALUE!</v>
      </c>
      <c r="N176" s="419" t="e">
        <f aca="false">SUM(N172:N175)</f>
        <v>#VALUE!</v>
      </c>
      <c r="O176" s="419" t="e">
        <f aca="false">SUM(O172:O175)</f>
        <v>#VALUE!</v>
      </c>
      <c r="P176" s="419" t="e">
        <f aca="false">SUM(P172:P175)</f>
        <v>#VALUE!</v>
      </c>
      <c r="Q176" s="419" t="e">
        <f aca="false">SUM(Q172:Q175)</f>
        <v>#VALUE!</v>
      </c>
      <c r="R176" s="419" t="e">
        <f aca="false">SUM(R172:R175)</f>
        <v>#VALUE!</v>
      </c>
      <c r="S176" s="419" t="e">
        <f aca="false">SUM(S172:S175)</f>
        <v>#VALUE!</v>
      </c>
      <c r="T176" s="419" t="e">
        <f aca="false">SUM(T172:T175)</f>
        <v>#VALUE!</v>
      </c>
      <c r="U176" s="419" t="e">
        <f aca="false">SUM(U172:U175)</f>
        <v>#VALUE!</v>
      </c>
      <c r="V176" s="419" t="e">
        <f aca="false">SUM(V172:V175)</f>
        <v>#VALUE!</v>
      </c>
      <c r="W176" s="419" t="e">
        <f aca="false">SUM(W172:W175)</f>
        <v>#VALUE!</v>
      </c>
      <c r="X176" s="419" t="e">
        <f aca="false">SUM(X172:X175)</f>
        <v>#VALUE!</v>
      </c>
      <c r="Y176" s="419" t="e">
        <f aca="false">SUM(Y172:Y175)</f>
        <v>#VALUE!</v>
      </c>
      <c r="Z176" s="419" t="e">
        <f aca="false">SUM(Z172:Z175)</f>
        <v>#VALUE!</v>
      </c>
      <c r="AA176" s="419" t="e">
        <f aca="false">SUM(AA172:AA175)</f>
        <v>#VALUE!</v>
      </c>
      <c r="AB176" s="419" t="e">
        <f aca="false">SUM(AB172:AB175)</f>
        <v>#VALUE!</v>
      </c>
      <c r="AC176" s="419" t="e">
        <f aca="false">SUM(AC172:AC175)</f>
        <v>#VALUE!</v>
      </c>
    </row>
    <row r="177" customFormat="false" ht="11.25" hidden="false" customHeight="false" outlineLevel="0" collapsed="false">
      <c r="C177" s="172"/>
      <c r="D177" s="172"/>
      <c r="E177" s="172"/>
      <c r="F177" s="172"/>
      <c r="G177" s="417"/>
      <c r="H177" s="418"/>
      <c r="I177" s="417"/>
      <c r="J177" s="417"/>
      <c r="K177" s="417"/>
      <c r="L177" s="417"/>
      <c r="M177" s="417"/>
      <c r="N177" s="417"/>
      <c r="O177" s="417"/>
      <c r="P177" s="417"/>
      <c r="Q177" s="417"/>
      <c r="R177" s="417"/>
      <c r="S177" s="417"/>
      <c r="T177" s="417"/>
      <c r="U177" s="417"/>
      <c r="V177" s="417"/>
      <c r="W177" s="417"/>
      <c r="X177" s="417"/>
      <c r="Y177" s="417"/>
      <c r="Z177" s="417"/>
      <c r="AA177" s="417"/>
      <c r="AB177" s="417"/>
      <c r="AC177" s="417"/>
    </row>
    <row r="178" customFormat="false" ht="11.25" hidden="false" customHeight="false" outlineLevel="0" collapsed="false">
      <c r="A178" s="35" t="str">
        <f aca="false">A395</f>
        <v>Intangibles</v>
      </c>
      <c r="C178" s="172"/>
      <c r="D178" s="172"/>
      <c r="E178" s="417" t="n">
        <f aca="false">E395</f>
        <v>0</v>
      </c>
      <c r="F178" s="417" t="n">
        <f aca="false">F395</f>
        <v>0</v>
      </c>
      <c r="G178" s="417" t="n">
        <f aca="false">G395</f>
        <v>0</v>
      </c>
      <c r="H178" s="418" t="n">
        <f aca="false">N395</f>
        <v>0</v>
      </c>
      <c r="I178" s="417" t="n">
        <f aca="false">H178+I944-I591</f>
        <v>0</v>
      </c>
      <c r="J178" s="417" t="n">
        <f aca="false">I178+J944-J591</f>
        <v>0</v>
      </c>
      <c r="K178" s="417" t="n">
        <f aca="false">J178+K944-K591</f>
        <v>0</v>
      </c>
      <c r="L178" s="417" t="n">
        <f aca="false">K178+L944-L591</f>
        <v>0</v>
      </c>
      <c r="M178" s="417" t="n">
        <f aca="false">L178+M944-M591</f>
        <v>0</v>
      </c>
      <c r="N178" s="417" t="n">
        <f aca="false">M178+N944-N591</f>
        <v>0</v>
      </c>
      <c r="O178" s="417" t="n">
        <f aca="false">N178+O944-O591</f>
        <v>0</v>
      </c>
      <c r="P178" s="417" t="n">
        <f aca="false">O178+P944-P591</f>
        <v>0</v>
      </c>
      <c r="Q178" s="417" t="n">
        <f aca="false">P178+Q944-Q591</f>
        <v>0</v>
      </c>
      <c r="R178" s="417" t="n">
        <f aca="false">Q178+R944-R591</f>
        <v>0</v>
      </c>
      <c r="S178" s="417" t="n">
        <f aca="false">R178+S944-S591</f>
        <v>0</v>
      </c>
      <c r="T178" s="417" t="n">
        <f aca="false">S178+T944-T591</f>
        <v>0</v>
      </c>
      <c r="U178" s="417" t="n">
        <f aca="false">T178+U944-U591</f>
        <v>0</v>
      </c>
      <c r="V178" s="417" t="n">
        <f aca="false">U178+V944-V591</f>
        <v>0</v>
      </c>
      <c r="W178" s="417" t="n">
        <f aca="false">V178+W944-W591</f>
        <v>0</v>
      </c>
      <c r="X178" s="417" t="n">
        <f aca="false">W178+X944-X591</f>
        <v>0</v>
      </c>
      <c r="Y178" s="417" t="n">
        <f aca="false">X178+Y944-Y591</f>
        <v>0</v>
      </c>
      <c r="Z178" s="417" t="n">
        <f aca="false">Y178+Z944-Z591</f>
        <v>0</v>
      </c>
      <c r="AA178" s="417" t="n">
        <f aca="false">Z178+AA944-AA591</f>
        <v>0</v>
      </c>
      <c r="AB178" s="417" t="n">
        <f aca="false">AA178+AB944-AB591</f>
        <v>0</v>
      </c>
      <c r="AC178" s="417" t="n">
        <f aca="false">AB178+AC944-AC591</f>
        <v>0</v>
      </c>
    </row>
    <row r="179" customFormat="false" ht="11.25" hidden="false" customHeight="false" outlineLevel="0" collapsed="false">
      <c r="A179" s="35" t="str">
        <f aca="false">A396</f>
        <v>Goodwill</v>
      </c>
      <c r="C179" s="172"/>
      <c r="D179" s="172"/>
      <c r="E179" s="417" t="n">
        <f aca="false">E396</f>
        <v>0</v>
      </c>
      <c r="F179" s="417" t="n">
        <f aca="false">F396</f>
        <v>0</v>
      </c>
      <c r="G179" s="417" t="n">
        <f aca="false">G396</f>
        <v>0</v>
      </c>
      <c r="H179" s="418" t="n">
        <f aca="false">N396</f>
        <v>0</v>
      </c>
      <c r="I179" s="417" t="n">
        <f aca="false">H179-I589-I588</f>
        <v>0</v>
      </c>
      <c r="J179" s="417" t="n">
        <f aca="false">I179-J589-J588</f>
        <v>0</v>
      </c>
      <c r="K179" s="417" t="n">
        <f aca="false">J179-K589-K588</f>
        <v>0</v>
      </c>
      <c r="L179" s="417" t="n">
        <f aca="false">K179-L589-L588</f>
        <v>0</v>
      </c>
      <c r="M179" s="417" t="n">
        <f aca="false">L179-M589-M588</f>
        <v>0</v>
      </c>
      <c r="N179" s="417" t="n">
        <f aca="false">M179-N589-N588</f>
        <v>0</v>
      </c>
      <c r="O179" s="417" t="n">
        <f aca="false">N179-O589-O588</f>
        <v>0</v>
      </c>
      <c r="P179" s="417" t="n">
        <f aca="false">O179-P589-P588</f>
        <v>0</v>
      </c>
      <c r="Q179" s="417" t="n">
        <f aca="false">P179-Q589-Q588</f>
        <v>0</v>
      </c>
      <c r="R179" s="417" t="n">
        <f aca="false">Q179-R589-R588</f>
        <v>0</v>
      </c>
      <c r="S179" s="417" t="n">
        <f aca="false">R179-S589-S588</f>
        <v>0</v>
      </c>
      <c r="T179" s="417" t="n">
        <f aca="false">S179-T589-T588</f>
        <v>0</v>
      </c>
      <c r="U179" s="417" t="n">
        <f aca="false">T179-U589-U588</f>
        <v>0</v>
      </c>
      <c r="V179" s="417" t="n">
        <f aca="false">U179-V589-V588</f>
        <v>0</v>
      </c>
      <c r="W179" s="417" t="n">
        <f aca="false">V179-W589-W588</f>
        <v>0</v>
      </c>
      <c r="X179" s="417" t="n">
        <f aca="false">W179-X589-X588</f>
        <v>0</v>
      </c>
      <c r="Y179" s="417" t="n">
        <f aca="false">X179-Y589-Y588</f>
        <v>0</v>
      </c>
      <c r="Z179" s="417" t="n">
        <f aca="false">Y179-Z589-Z588</f>
        <v>0</v>
      </c>
      <c r="AA179" s="417" t="n">
        <f aca="false">Z179-AA589-AA588</f>
        <v>0</v>
      </c>
      <c r="AB179" s="417" t="n">
        <f aca="false">AA179-AB589-AB588</f>
        <v>0</v>
      </c>
      <c r="AC179" s="417" t="n">
        <f aca="false">AB179-AC589-AC588</f>
        <v>0</v>
      </c>
    </row>
    <row r="180" customFormat="false" ht="11.25" hidden="false" customHeight="false" outlineLevel="0" collapsed="false">
      <c r="A180" s="35" t="str">
        <f aca="false">A397</f>
        <v>Transaction Fees</v>
      </c>
      <c r="C180" s="172"/>
      <c r="D180" s="172"/>
      <c r="E180" s="417" t="n">
        <f aca="false">E397</f>
        <v>0</v>
      </c>
      <c r="F180" s="417" t="n">
        <f aca="false">F397</f>
        <v>0</v>
      </c>
      <c r="G180" s="417" t="n">
        <f aca="false">G397</f>
        <v>0</v>
      </c>
      <c r="H180" s="418" t="n">
        <f aca="false">N397</f>
        <v>0</v>
      </c>
      <c r="I180" s="417" t="n">
        <f aca="false">H180-I590</f>
        <v>0</v>
      </c>
      <c r="J180" s="417" t="n">
        <f aca="false">I180-J590</f>
        <v>0</v>
      </c>
      <c r="K180" s="417" t="n">
        <f aca="false">J180-K590</f>
        <v>0</v>
      </c>
      <c r="L180" s="417" t="n">
        <f aca="false">K180-L590</f>
        <v>0</v>
      </c>
      <c r="M180" s="417" t="n">
        <f aca="false">L180-M590</f>
        <v>0</v>
      </c>
      <c r="N180" s="417" t="n">
        <f aca="false">M180-N590</f>
        <v>0</v>
      </c>
      <c r="O180" s="417" t="n">
        <f aca="false">N180-O590</f>
        <v>0</v>
      </c>
      <c r="P180" s="417" t="n">
        <f aca="false">O180-P590</f>
        <v>0</v>
      </c>
      <c r="Q180" s="417" t="n">
        <f aca="false">P180-Q590</f>
        <v>0</v>
      </c>
      <c r="R180" s="417" t="n">
        <f aca="false">Q180-R590</f>
        <v>0</v>
      </c>
      <c r="S180" s="417" t="n">
        <f aca="false">R180-S590</f>
        <v>0</v>
      </c>
      <c r="T180" s="417" t="n">
        <f aca="false">S180-T590</f>
        <v>0</v>
      </c>
      <c r="U180" s="417" t="n">
        <f aca="false">T180-U590</f>
        <v>0</v>
      </c>
      <c r="V180" s="417" t="n">
        <f aca="false">U180-V590</f>
        <v>0</v>
      </c>
      <c r="W180" s="417" t="n">
        <f aca="false">V180-W590</f>
        <v>0</v>
      </c>
      <c r="X180" s="417" t="n">
        <f aca="false">W180-X590</f>
        <v>0</v>
      </c>
      <c r="Y180" s="417" t="n">
        <f aca="false">X180-Y590</f>
        <v>0</v>
      </c>
      <c r="Z180" s="417" t="n">
        <f aca="false">Y180-Z590</f>
        <v>0</v>
      </c>
      <c r="AA180" s="417" t="n">
        <f aca="false">Z180-AA590</f>
        <v>0</v>
      </c>
      <c r="AB180" s="417" t="n">
        <f aca="false">AA180-AB590</f>
        <v>0</v>
      </c>
      <c r="AC180" s="417" t="n">
        <f aca="false">AB180-AC590</f>
        <v>0</v>
      </c>
    </row>
    <row r="181" customFormat="false" ht="11.25" hidden="false" customHeight="false" outlineLevel="0" collapsed="false">
      <c r="A181" s="168" t="s">
        <v>702</v>
      </c>
      <c r="C181" s="172"/>
      <c r="D181" s="172"/>
      <c r="E181" s="419" t="n">
        <f aca="false">SUM(E178:E180)</f>
        <v>0</v>
      </c>
      <c r="F181" s="419" t="n">
        <f aca="false">SUM(F178:F180)</f>
        <v>0</v>
      </c>
      <c r="G181" s="419" t="n">
        <f aca="false">SUM(G178:G180)</f>
        <v>0</v>
      </c>
      <c r="H181" s="420" t="n">
        <f aca="false">SUM(H178:H180)</f>
        <v>0</v>
      </c>
      <c r="I181" s="419" t="n">
        <f aca="false">SUM(I178:I180)</f>
        <v>0</v>
      </c>
      <c r="J181" s="419" t="n">
        <f aca="false">SUM(J178:J180)</f>
        <v>0</v>
      </c>
      <c r="K181" s="419" t="n">
        <f aca="false">SUM(K178:K180)</f>
        <v>0</v>
      </c>
      <c r="L181" s="419" t="n">
        <f aca="false">SUM(L178:L180)</f>
        <v>0</v>
      </c>
      <c r="M181" s="419" t="n">
        <f aca="false">SUM(M178:M180)</f>
        <v>0</v>
      </c>
      <c r="N181" s="419" t="n">
        <f aca="false">SUM(N178:N180)</f>
        <v>0</v>
      </c>
      <c r="O181" s="419" t="n">
        <f aca="false">SUM(O178:O180)</f>
        <v>0</v>
      </c>
      <c r="P181" s="419" t="n">
        <f aca="false">SUM(P178:P180)</f>
        <v>0</v>
      </c>
      <c r="Q181" s="419" t="n">
        <f aca="false">SUM(Q178:Q180)</f>
        <v>0</v>
      </c>
      <c r="R181" s="419" t="n">
        <f aca="false">SUM(R178:R180)</f>
        <v>0</v>
      </c>
      <c r="S181" s="419" t="n">
        <f aca="false">SUM(S178:S180)</f>
        <v>0</v>
      </c>
      <c r="T181" s="419" t="n">
        <f aca="false">SUM(T178:T180)</f>
        <v>0</v>
      </c>
      <c r="U181" s="419" t="n">
        <f aca="false">SUM(U178:U180)</f>
        <v>0</v>
      </c>
      <c r="V181" s="419" t="n">
        <f aca="false">SUM(V178:V180)</f>
        <v>0</v>
      </c>
      <c r="W181" s="419" t="n">
        <f aca="false">SUM(W178:W180)</f>
        <v>0</v>
      </c>
      <c r="X181" s="419" t="n">
        <f aca="false">SUM(X178:X180)</f>
        <v>0</v>
      </c>
      <c r="Y181" s="419" t="n">
        <f aca="false">SUM(Y178:Y180)</f>
        <v>0</v>
      </c>
      <c r="Z181" s="419" t="n">
        <f aca="false">SUM(Z178:Z180)</f>
        <v>0</v>
      </c>
      <c r="AA181" s="419" t="n">
        <f aca="false">SUM(AA178:AA180)</f>
        <v>0</v>
      </c>
      <c r="AB181" s="419" t="n">
        <f aca="false">SUM(AB178:AB180)</f>
        <v>0</v>
      </c>
      <c r="AC181" s="419" t="n">
        <f aca="false">SUM(AC178:AC180)</f>
        <v>0</v>
      </c>
    </row>
    <row r="182" customFormat="false" ht="11.25" hidden="false" customHeight="false" outlineLevel="0" collapsed="false">
      <c r="C182" s="172"/>
      <c r="D182" s="172"/>
      <c r="E182" s="417"/>
      <c r="F182" s="417"/>
      <c r="G182" s="417"/>
      <c r="H182" s="418"/>
      <c r="I182" s="417"/>
      <c r="J182" s="417"/>
      <c r="K182" s="417"/>
      <c r="L182" s="417"/>
      <c r="M182" s="417"/>
      <c r="N182" s="417"/>
      <c r="O182" s="417"/>
      <c r="P182" s="417"/>
      <c r="Q182" s="417"/>
      <c r="R182" s="417"/>
      <c r="S182" s="417"/>
      <c r="T182" s="417"/>
      <c r="U182" s="417"/>
      <c r="V182" s="417"/>
      <c r="W182" s="417"/>
      <c r="X182" s="417"/>
      <c r="Y182" s="417"/>
      <c r="Z182" s="417"/>
      <c r="AA182" s="417"/>
      <c r="AB182" s="417"/>
      <c r="AC182" s="417"/>
    </row>
    <row r="183" customFormat="false" ht="11.25" hidden="false" customHeight="false" outlineLevel="0" collapsed="false">
      <c r="A183" s="35" t="str">
        <f aca="false">A399</f>
        <v>Gross PP&amp;E</v>
      </c>
      <c r="C183" s="172"/>
      <c r="D183" s="172"/>
      <c r="E183" s="417" t="n">
        <f aca="false">E399</f>
        <v>0</v>
      </c>
      <c r="F183" s="417" t="n">
        <f aca="false">F399</f>
        <v>0</v>
      </c>
      <c r="G183" s="417" t="n">
        <f aca="false">G399</f>
        <v>0</v>
      </c>
      <c r="H183" s="418" t="n">
        <f aca="false">N399</f>
        <v>0</v>
      </c>
      <c r="I183" s="417" t="n">
        <f aca="false">H183-I603+(I941-I943-I944)-H353</f>
        <v>0</v>
      </c>
      <c r="J183" s="417" t="n">
        <f aca="false">I183-J603+(J941-J943-J944)</f>
        <v>0</v>
      </c>
      <c r="K183" s="417" t="n">
        <f aca="false">J183-K603+(K941-K943-K944)</f>
        <v>0</v>
      </c>
      <c r="L183" s="417" t="n">
        <f aca="false">K183-L603+(L941-L943-L944)</f>
        <v>0</v>
      </c>
      <c r="M183" s="417" t="n">
        <f aca="false">L183-M603+(M941-M943-M944)</f>
        <v>0</v>
      </c>
      <c r="N183" s="417" t="n">
        <f aca="false">M183-N603+(N941-N943-N944)</f>
        <v>0</v>
      </c>
      <c r="O183" s="417" t="n">
        <f aca="false">N183-O603+(O941-O943-O944)</f>
        <v>25.811</v>
      </c>
      <c r="P183" s="417" t="n">
        <f aca="false">O183-P603+(P941-P943-P944)</f>
        <v>31.323</v>
      </c>
      <c r="Q183" s="417" t="n">
        <f aca="false">P183-Q603+(Q941-Q943-Q944)</f>
        <v>47.523</v>
      </c>
      <c r="R183" s="417" t="n">
        <f aca="false">Q183-R603+(R941-R943-R944)</f>
        <v>47.523</v>
      </c>
      <c r="S183" s="417" t="n">
        <f aca="false">R183-S603+(S941-S943-S944)</f>
        <v>47.523</v>
      </c>
      <c r="T183" s="417" t="n">
        <f aca="false">S183-T603+(T941-T943-T944)</f>
        <v>47.523</v>
      </c>
      <c r="U183" s="417" t="n">
        <f aca="false">T183-U603+(U941-U943-U944)</f>
        <v>47.523</v>
      </c>
      <c r="V183" s="417" t="n">
        <f aca="false">U183-V603+(V941-V943-V944)</f>
        <v>47.523</v>
      </c>
      <c r="W183" s="417" t="n">
        <f aca="false">V183-W603+(W941-W943-W944)</f>
        <v>47.523</v>
      </c>
      <c r="X183" s="417" t="n">
        <f aca="false">W183-X603+(X941-X943-X944)</f>
        <v>47.523</v>
      </c>
      <c r="Y183" s="417" t="n">
        <f aca="false">X183-Y603+(Y941-Y943-Y944)</f>
        <v>47.523</v>
      </c>
      <c r="Z183" s="417" t="n">
        <f aca="false">Y183-Z603+(Z941-Z943-Z944)</f>
        <v>47.523</v>
      </c>
      <c r="AA183" s="417" t="n">
        <f aca="false">Z183-AA603+(AA941-AA943-AA944)</f>
        <v>47.523</v>
      </c>
      <c r="AB183" s="417" t="n">
        <f aca="false">AA183-AB603+(AB941-AB943-AB944)</f>
        <v>47.523</v>
      </c>
      <c r="AC183" s="417" t="n">
        <f aca="false">AB183-AC603+(AC941-AC943-AC944)</f>
        <v>47.523</v>
      </c>
    </row>
    <row r="184" customFormat="false" ht="11.25" hidden="false" customHeight="false" outlineLevel="0" collapsed="false">
      <c r="A184" s="35" t="str">
        <f aca="false">A400</f>
        <v>Accumulated Depreciation</v>
      </c>
      <c r="C184" s="172"/>
      <c r="D184" s="172"/>
      <c r="E184" s="417" t="n">
        <f aca="false">E400</f>
        <v>0</v>
      </c>
      <c r="F184" s="417" t="n">
        <f aca="false">F400</f>
        <v>0</v>
      </c>
      <c r="G184" s="417" t="n">
        <f aca="false">G400</f>
        <v>0</v>
      </c>
      <c r="H184" s="418" t="n">
        <f aca="false">N400</f>
        <v>0</v>
      </c>
      <c r="I184" s="417" t="n">
        <f aca="false">H184+I604-I76</f>
        <v>0</v>
      </c>
      <c r="J184" s="417" t="n">
        <f aca="false">I184+J604-J76</f>
        <v>0</v>
      </c>
      <c r="K184" s="417" t="n">
        <f aca="false">J184+K604-K76</f>
        <v>0</v>
      </c>
      <c r="L184" s="417" t="n">
        <f aca="false">K184+L604-L76</f>
        <v>0</v>
      </c>
      <c r="M184" s="417" t="n">
        <f aca="false">L184+M604-M76</f>
        <v>0</v>
      </c>
      <c r="N184" s="417" t="n">
        <f aca="false">M184+N604-N76</f>
        <v>0</v>
      </c>
      <c r="O184" s="417" t="n">
        <f aca="false">N184+O604-O76</f>
        <v>-4.37940610692124</v>
      </c>
      <c r="P184" s="417" t="n">
        <f aca="false">O184+P604-P76</f>
        <v>-9.11419740824649</v>
      </c>
      <c r="Q184" s="417" t="n">
        <f aca="false">P184+Q604-Q76</f>
        <v>-16.2160314689052</v>
      </c>
      <c r="R184" s="417" t="n">
        <f aca="false">Q184+R604-R76</f>
        <v>-22.2763249725593</v>
      </c>
      <c r="S184" s="417" t="n">
        <f aca="false">R184+S604-S76</f>
        <v>-27.4109465742226</v>
      </c>
      <c r="T184" s="417" t="n">
        <f aca="false">S184+T604-T76</f>
        <v>-31.7246399746797</v>
      </c>
      <c r="U184" s="417" t="n">
        <f aca="false">T184+U604-U76</f>
        <v>-35.3406870606248</v>
      </c>
      <c r="V184" s="417" t="n">
        <f aca="false">U184+V604-V76</f>
        <v>-38.3097147170176</v>
      </c>
      <c r="W184" s="417" t="n">
        <f aca="false">V184+W604-W76</f>
        <v>-40.7445590735698</v>
      </c>
      <c r="X184" s="417" t="n">
        <f aca="false">W184+X604-X76</f>
        <v>-42.7197622009446</v>
      </c>
      <c r="Y184" s="417" t="n">
        <f aca="false">X184+Y604-Y76</f>
        <v>-44.2764015099079</v>
      </c>
      <c r="Z184" s="417" t="n">
        <f aca="false">Y184+Z604-Z76</f>
        <v>-45.4199151609393</v>
      </c>
      <c r="AA184" s="417" t="n">
        <f aca="false">Z184+AA604-AA76</f>
        <v>-46.2943424410989</v>
      </c>
      <c r="AB184" s="417" t="n">
        <f aca="false">AA184+AB604-AB76</f>
        <v>-46.9670144395706</v>
      </c>
      <c r="AC184" s="417" t="n">
        <f aca="false">AB184+AC604-AC76</f>
        <v>-47.523</v>
      </c>
    </row>
    <row r="185" customFormat="false" ht="11.25" hidden="false" customHeight="false" outlineLevel="0" collapsed="false">
      <c r="A185" s="168" t="str">
        <f aca="false">A401</f>
        <v>Net PP&amp;E</v>
      </c>
      <c r="C185" s="417"/>
      <c r="D185" s="417"/>
      <c r="E185" s="419" t="n">
        <f aca="false">E183+E184</f>
        <v>0</v>
      </c>
      <c r="F185" s="419" t="n">
        <f aca="false">F183+F184</f>
        <v>0</v>
      </c>
      <c r="G185" s="419" t="n">
        <f aca="false">G183+G184</f>
        <v>0</v>
      </c>
      <c r="H185" s="420" t="n">
        <f aca="false">H183+H184</f>
        <v>0</v>
      </c>
      <c r="I185" s="419" t="n">
        <f aca="false">I183+I184</f>
        <v>0</v>
      </c>
      <c r="J185" s="419" t="n">
        <f aca="false">J183+J184</f>
        <v>0</v>
      </c>
      <c r="K185" s="419" t="n">
        <f aca="false">K183+K184</f>
        <v>0</v>
      </c>
      <c r="L185" s="419" t="n">
        <f aca="false">L183+L184</f>
        <v>0</v>
      </c>
      <c r="M185" s="419" t="n">
        <f aca="false">M183+M184</f>
        <v>0</v>
      </c>
      <c r="N185" s="419" t="n">
        <f aca="false">N183+N184</f>
        <v>0</v>
      </c>
      <c r="O185" s="419" t="n">
        <f aca="false">O183+O184</f>
        <v>21.4315938930788</v>
      </c>
      <c r="P185" s="419" t="n">
        <f aca="false">P183+P184</f>
        <v>22.2088025917535</v>
      </c>
      <c r="Q185" s="419" t="n">
        <f aca="false">Q183+Q184</f>
        <v>31.3069685310948</v>
      </c>
      <c r="R185" s="419" t="n">
        <f aca="false">R183+R184</f>
        <v>25.2466750274407</v>
      </c>
      <c r="S185" s="419" t="n">
        <f aca="false">S183+S184</f>
        <v>20.1120534257774</v>
      </c>
      <c r="T185" s="419" t="n">
        <f aca="false">T183+T184</f>
        <v>15.7983600253203</v>
      </c>
      <c r="U185" s="419" t="n">
        <f aca="false">U183+U184</f>
        <v>12.1823129393752</v>
      </c>
      <c r="V185" s="419" t="n">
        <f aca="false">V183+V184</f>
        <v>9.21328528298236</v>
      </c>
      <c r="W185" s="419" t="n">
        <f aca="false">W183+W184</f>
        <v>6.77844092643017</v>
      </c>
      <c r="X185" s="419" t="n">
        <f aca="false">X183+X184</f>
        <v>4.80323779905537</v>
      </c>
      <c r="Y185" s="419" t="n">
        <f aca="false">Y183+Y184</f>
        <v>3.2465984900921</v>
      </c>
      <c r="Z185" s="419" t="n">
        <f aca="false">Z183+Z184</f>
        <v>2.10308483906068</v>
      </c>
      <c r="AA185" s="419" t="n">
        <f aca="false">AA183+AA184</f>
        <v>1.22865755890106</v>
      </c>
      <c r="AB185" s="419" t="n">
        <f aca="false">AB183+AB184</f>
        <v>0.555985560429427</v>
      </c>
      <c r="AC185" s="419" t="n">
        <f aca="false">AC183+AC184</f>
        <v>0</v>
      </c>
    </row>
    <row r="186" customFormat="false" ht="11.25" hidden="false" customHeight="false" outlineLevel="0" collapsed="false">
      <c r="C186" s="417"/>
      <c r="D186" s="417"/>
      <c r="E186" s="417"/>
      <c r="F186" s="417"/>
      <c r="G186" s="417"/>
      <c r="H186" s="418"/>
      <c r="I186" s="417"/>
      <c r="J186" s="417"/>
      <c r="K186" s="417"/>
      <c r="L186" s="417"/>
      <c r="M186" s="417"/>
      <c r="N186" s="417"/>
      <c r="O186" s="417"/>
      <c r="P186" s="417"/>
      <c r="Q186" s="417"/>
      <c r="R186" s="417"/>
      <c r="S186" s="417"/>
      <c r="T186" s="417"/>
      <c r="U186" s="417"/>
      <c r="V186" s="417"/>
      <c r="W186" s="417"/>
      <c r="X186" s="417"/>
      <c r="Y186" s="417"/>
      <c r="Z186" s="417"/>
      <c r="AA186" s="417"/>
      <c r="AB186" s="417"/>
      <c r="AC186" s="417"/>
    </row>
    <row r="187" customFormat="false" ht="11.25" hidden="false" customHeight="false" outlineLevel="0" collapsed="false">
      <c r="A187" s="35" t="str">
        <f aca="false">A403</f>
        <v>Deferred Income Taxes</v>
      </c>
      <c r="C187" s="172"/>
      <c r="D187" s="172"/>
      <c r="E187" s="417" t="n">
        <f aca="false">E403</f>
        <v>0</v>
      </c>
      <c r="F187" s="417" t="n">
        <f aca="false">F403</f>
        <v>0</v>
      </c>
      <c r="G187" s="417" t="n">
        <f aca="false">G403</f>
        <v>0</v>
      </c>
      <c r="H187" s="418" t="n">
        <f aca="false">N403</f>
        <v>0</v>
      </c>
      <c r="I187" s="417" t="n">
        <f aca="false">H187+I943+H354</f>
        <v>0</v>
      </c>
      <c r="J187" s="417" t="n">
        <f aca="false">I187+J943</f>
        <v>0</v>
      </c>
      <c r="K187" s="417" t="n">
        <f aca="false">J187+K943</f>
        <v>0</v>
      </c>
      <c r="L187" s="417" t="n">
        <f aca="false">K187+L943</f>
        <v>0</v>
      </c>
      <c r="M187" s="417" t="n">
        <f aca="false">L187+M943</f>
        <v>0</v>
      </c>
      <c r="N187" s="417" t="n">
        <f aca="false">M187+N943</f>
        <v>0</v>
      </c>
      <c r="O187" s="417" t="n">
        <f aca="false">N187+O943</f>
        <v>0</v>
      </c>
      <c r="P187" s="417" t="n">
        <f aca="false">O187+P943</f>
        <v>0</v>
      </c>
      <c r="Q187" s="417" t="n">
        <f aca="false">P187+Q943</f>
        <v>0</v>
      </c>
      <c r="R187" s="417" t="n">
        <f aca="false">Q187+R943</f>
        <v>0</v>
      </c>
      <c r="S187" s="417" t="n">
        <f aca="false">R187+S943</f>
        <v>0</v>
      </c>
      <c r="T187" s="417" t="n">
        <f aca="false">S187+T943</f>
        <v>0</v>
      </c>
      <c r="U187" s="417" t="n">
        <f aca="false">T187+U943</f>
        <v>0</v>
      </c>
      <c r="V187" s="417" t="n">
        <f aca="false">U187+V943</f>
        <v>0</v>
      </c>
      <c r="W187" s="417" t="n">
        <f aca="false">V187+W943</f>
        <v>0</v>
      </c>
      <c r="X187" s="417" t="n">
        <f aca="false">W187+X943</f>
        <v>0</v>
      </c>
      <c r="Y187" s="417" t="n">
        <f aca="false">X187+Y943</f>
        <v>0</v>
      </c>
      <c r="Z187" s="417" t="n">
        <f aca="false">Y187+Z943</f>
        <v>0</v>
      </c>
      <c r="AA187" s="417" t="n">
        <f aca="false">Z187+AA943</f>
        <v>0</v>
      </c>
      <c r="AB187" s="417" t="n">
        <f aca="false">AA187+AB943</f>
        <v>0</v>
      </c>
      <c r="AC187" s="417" t="n">
        <f aca="false">AB187+AC943</f>
        <v>0</v>
      </c>
    </row>
    <row r="188" customFormat="false" ht="11.25" hidden="false" customHeight="false" outlineLevel="0" collapsed="false">
      <c r="A188" s="35" t="str">
        <f aca="false">A404</f>
        <v>Other Assets</v>
      </c>
      <c r="C188" s="172"/>
      <c r="D188" s="172"/>
      <c r="E188" s="417" t="n">
        <f aca="false">E404</f>
        <v>0</v>
      </c>
      <c r="F188" s="417" t="n">
        <f aca="false">F404</f>
        <v>0</v>
      </c>
      <c r="G188" s="417" t="n">
        <f aca="false">G404</f>
        <v>0</v>
      </c>
      <c r="H188" s="418" t="n">
        <f aca="false">N404</f>
        <v>0</v>
      </c>
      <c r="I188" s="417" t="n">
        <f aca="false">H188+I131</f>
        <v>0</v>
      </c>
      <c r="J188" s="417" t="n">
        <f aca="false">I188+J131</f>
        <v>0</v>
      </c>
      <c r="K188" s="417" t="n">
        <f aca="false">J188+K131</f>
        <v>0</v>
      </c>
      <c r="L188" s="417" t="n">
        <f aca="false">K188+L131</f>
        <v>0</v>
      </c>
      <c r="M188" s="417" t="n">
        <f aca="false">L188+M131</f>
        <v>0</v>
      </c>
      <c r="N188" s="417" t="n">
        <f aca="false">M188+N131</f>
        <v>0</v>
      </c>
      <c r="O188" s="417" t="n">
        <f aca="false">N188+O131</f>
        <v>0</v>
      </c>
      <c r="P188" s="417" t="n">
        <f aca="false">O188+P131</f>
        <v>0</v>
      </c>
      <c r="Q188" s="417" t="n">
        <f aca="false">P188+Q131</f>
        <v>0</v>
      </c>
      <c r="R188" s="417" t="n">
        <f aca="false">Q188+R131</f>
        <v>0</v>
      </c>
      <c r="S188" s="417" t="n">
        <f aca="false">R188+S131</f>
        <v>0</v>
      </c>
      <c r="T188" s="417" t="n">
        <f aca="false">S188+T131</f>
        <v>0</v>
      </c>
      <c r="U188" s="417" t="n">
        <f aca="false">T188+U131</f>
        <v>0</v>
      </c>
      <c r="V188" s="417" t="n">
        <f aca="false">U188+V131</f>
        <v>0</v>
      </c>
      <c r="W188" s="417" t="n">
        <f aca="false">V188+W131</f>
        <v>0</v>
      </c>
      <c r="X188" s="417" t="n">
        <f aca="false">W188+X131</f>
        <v>0</v>
      </c>
      <c r="Y188" s="417" t="n">
        <f aca="false">X188+Y131</f>
        <v>0</v>
      </c>
      <c r="Z188" s="417" t="n">
        <f aca="false">Y188+Z131</f>
        <v>0</v>
      </c>
      <c r="AA188" s="417" t="n">
        <f aca="false">Z188+AA131</f>
        <v>0</v>
      </c>
      <c r="AB188" s="417" t="n">
        <f aca="false">AA188+AB131</f>
        <v>0</v>
      </c>
      <c r="AC188" s="417" t="n">
        <f aca="false">AB188+AC131</f>
        <v>0</v>
      </c>
    </row>
    <row r="189" customFormat="false" ht="12" hidden="false" customHeight="false" outlineLevel="0" collapsed="false">
      <c r="A189" s="168" t="str">
        <f aca="false">A405</f>
        <v>Total Assets</v>
      </c>
      <c r="C189" s="417"/>
      <c r="D189" s="417"/>
      <c r="E189" s="425" t="n">
        <f aca="false">E176+E181+E185+E187+E188</f>
        <v>0</v>
      </c>
      <c r="F189" s="425" t="n">
        <f aca="false">F176+F181+F185+F187+F188</f>
        <v>0</v>
      </c>
      <c r="G189" s="425" t="n">
        <f aca="false">G176+G181+G185+G187+G188</f>
        <v>0</v>
      </c>
      <c r="H189" s="426" t="n">
        <f aca="false">H176+H181+H185+H187+H188</f>
        <v>0</v>
      </c>
      <c r="I189" s="425" t="e">
        <f aca="false">I176+I181+I185+I187+I188</f>
        <v>#VALUE!</v>
      </c>
      <c r="J189" s="425" t="e">
        <f aca="false">J176+J181+J185+J187+J188</f>
        <v>#VALUE!</v>
      </c>
      <c r="K189" s="425" t="e">
        <f aca="false">K176+K181+K185+K187+K188</f>
        <v>#VALUE!</v>
      </c>
      <c r="L189" s="425" t="e">
        <f aca="false">L176+L181+L185+L187+L188</f>
        <v>#VALUE!</v>
      </c>
      <c r="M189" s="425" t="e">
        <f aca="false">M176+M181+M185+M187+M188</f>
        <v>#VALUE!</v>
      </c>
      <c r="N189" s="425" t="e">
        <f aca="false">N176+N181+N185+N187+N188</f>
        <v>#VALUE!</v>
      </c>
      <c r="O189" s="425" t="e">
        <f aca="false">O176+O181+O185+O187+O188</f>
        <v>#VALUE!</v>
      </c>
      <c r="P189" s="425" t="e">
        <f aca="false">P176+P181+P185+P187+P188</f>
        <v>#VALUE!</v>
      </c>
      <c r="Q189" s="425" t="e">
        <f aca="false">Q176+Q181+Q185+Q187+Q188</f>
        <v>#VALUE!</v>
      </c>
      <c r="R189" s="425" t="e">
        <f aca="false">R176+R181+R185+R187+R188</f>
        <v>#VALUE!</v>
      </c>
      <c r="S189" s="425" t="e">
        <f aca="false">S176+S181+S185+S187+S188</f>
        <v>#VALUE!</v>
      </c>
      <c r="T189" s="425" t="e">
        <f aca="false">T176+T181+T185+T187+T188</f>
        <v>#VALUE!</v>
      </c>
      <c r="U189" s="425" t="e">
        <f aca="false">U176+U181+U185+U187+U188</f>
        <v>#VALUE!</v>
      </c>
      <c r="V189" s="425" t="e">
        <f aca="false">V176+V181+V185+V187+V188</f>
        <v>#VALUE!</v>
      </c>
      <c r="W189" s="425" t="e">
        <f aca="false">W176+W181+W185+W187+W188</f>
        <v>#VALUE!</v>
      </c>
      <c r="X189" s="425" t="e">
        <f aca="false">X176+X181+X185+X187+X188</f>
        <v>#VALUE!</v>
      </c>
      <c r="Y189" s="425" t="e">
        <f aca="false">Y176+Y181+Y185+Y187+Y188</f>
        <v>#VALUE!</v>
      </c>
      <c r="Z189" s="425" t="e">
        <f aca="false">Z176+Z181+Z185+Z187+Z188</f>
        <v>#VALUE!</v>
      </c>
      <c r="AA189" s="425" t="e">
        <f aca="false">AA176+AA181+AA185+AA187+AA188</f>
        <v>#VALUE!</v>
      </c>
      <c r="AB189" s="425" t="e">
        <f aca="false">AB176+AB181+AB185+AB187+AB188</f>
        <v>#VALUE!</v>
      </c>
      <c r="AC189" s="425" t="e">
        <f aca="false">AC176+AC181+AC185+AC187+AC188</f>
        <v>#VALUE!</v>
      </c>
    </row>
    <row r="190" customFormat="false" ht="12" hidden="false" customHeight="false" outlineLevel="0" collapsed="false">
      <c r="C190" s="417"/>
      <c r="D190" s="417"/>
      <c r="E190" s="417"/>
      <c r="F190" s="417"/>
      <c r="G190" s="417"/>
      <c r="H190" s="417"/>
      <c r="I190" s="417"/>
      <c r="J190" s="417"/>
      <c r="K190" s="417"/>
      <c r="L190" s="417"/>
      <c r="M190" s="417"/>
      <c r="N190" s="417"/>
      <c r="O190" s="417"/>
      <c r="P190" s="417"/>
      <c r="Q190" s="417"/>
      <c r="R190" s="417"/>
      <c r="S190" s="417"/>
      <c r="T190" s="417"/>
      <c r="U190" s="417"/>
      <c r="V190" s="417"/>
      <c r="W190" s="417"/>
      <c r="X190" s="417"/>
      <c r="Y190" s="417"/>
      <c r="Z190" s="417"/>
      <c r="AA190" s="417"/>
      <c r="AB190" s="417"/>
      <c r="AC190" s="417"/>
    </row>
    <row r="191" customFormat="false" ht="11.25" hidden="false" customHeight="false" outlineLevel="0" collapsed="false">
      <c r="A191" s="168" t="str">
        <f aca="false">A407</f>
        <v>LIABILITIES &amp; EQUITY:</v>
      </c>
      <c r="C191" s="172"/>
      <c r="D191" s="172"/>
      <c r="E191" s="172"/>
      <c r="F191" s="172"/>
      <c r="G191" s="417"/>
      <c r="H191" s="417"/>
      <c r="I191" s="417"/>
      <c r="J191" s="417"/>
      <c r="K191" s="417"/>
      <c r="L191" s="417"/>
      <c r="M191" s="417"/>
      <c r="N191" s="417"/>
      <c r="O191" s="417"/>
      <c r="P191" s="417"/>
      <c r="Q191" s="417"/>
      <c r="R191" s="417"/>
      <c r="S191" s="417"/>
      <c r="T191" s="417"/>
      <c r="U191" s="417"/>
      <c r="V191" s="417"/>
      <c r="W191" s="417"/>
      <c r="X191" s="417"/>
      <c r="Y191" s="417"/>
      <c r="Z191" s="417"/>
      <c r="AA191" s="417"/>
      <c r="AB191" s="417"/>
      <c r="AC191" s="417"/>
    </row>
    <row r="192" customFormat="false" ht="11.25" hidden="false" customHeight="false" outlineLevel="0" collapsed="false">
      <c r="A192" s="35" t="str">
        <f aca="false">A408</f>
        <v>Accounts Payable</v>
      </c>
      <c r="C192" s="417"/>
      <c r="D192" s="417"/>
      <c r="E192" s="417" t="n">
        <f aca="false">E408</f>
        <v>0</v>
      </c>
      <c r="F192" s="417" t="n">
        <f aca="false">F408</f>
        <v>0</v>
      </c>
      <c r="G192" s="417" t="n">
        <f aca="false">G408</f>
        <v>0</v>
      </c>
      <c r="H192" s="418" t="n">
        <f aca="false">N408</f>
        <v>0</v>
      </c>
      <c r="I192" s="417" t="n">
        <f aca="false">I454</f>
        <v>-0</v>
      </c>
      <c r="J192" s="417" t="n">
        <f aca="false">J454</f>
        <v>-0</v>
      </c>
      <c r="K192" s="417" t="n">
        <f aca="false">K454</f>
        <v>-0</v>
      </c>
      <c r="L192" s="417" t="n">
        <f aca="false">L454</f>
        <v>-0</v>
      </c>
      <c r="M192" s="417" t="n">
        <f aca="false">M454</f>
        <v>-0</v>
      </c>
      <c r="N192" s="417" t="n">
        <f aca="false">N454</f>
        <v>-0</v>
      </c>
      <c r="O192" s="417" t="n">
        <f aca="false">O454</f>
        <v>-0</v>
      </c>
      <c r="P192" s="417" t="n">
        <f aca="false">P454</f>
        <v>-0</v>
      </c>
      <c r="Q192" s="417" t="n">
        <f aca="false">Q454</f>
        <v>0</v>
      </c>
      <c r="R192" s="417" t="n">
        <f aca="false">R454</f>
        <v>0</v>
      </c>
      <c r="S192" s="417" t="n">
        <f aca="false">S454</f>
        <v>0</v>
      </c>
      <c r="T192" s="417" t="n">
        <f aca="false">T454</f>
        <v>0</v>
      </c>
      <c r="U192" s="417" t="n">
        <f aca="false">U454</f>
        <v>0</v>
      </c>
      <c r="V192" s="417" t="n">
        <f aca="false">V454</f>
        <v>0</v>
      </c>
      <c r="W192" s="417" t="n">
        <f aca="false">W454</f>
        <v>0</v>
      </c>
      <c r="X192" s="417" t="n">
        <f aca="false">X454</f>
        <v>0</v>
      </c>
      <c r="Y192" s="417" t="n">
        <f aca="false">Y454</f>
        <v>-0</v>
      </c>
      <c r="Z192" s="417" t="n">
        <f aca="false">Z454</f>
        <v>-0</v>
      </c>
      <c r="AA192" s="417" t="n">
        <f aca="false">AA454</f>
        <v>-0</v>
      </c>
      <c r="AB192" s="417" t="n">
        <f aca="false">AB454</f>
        <v>-0</v>
      </c>
      <c r="AC192" s="417" t="n">
        <f aca="false">AC454</f>
        <v>-0</v>
      </c>
    </row>
    <row r="193" customFormat="false" ht="11.25" hidden="false" customHeight="false" outlineLevel="0" collapsed="false">
      <c r="A193" s="35" t="str">
        <f aca="false">A409</f>
        <v>Accrued Liabilities</v>
      </c>
      <c r="C193" s="417"/>
      <c r="D193" s="417"/>
      <c r="E193" s="417" t="n">
        <f aca="false">E409</f>
        <v>0</v>
      </c>
      <c r="F193" s="417" t="n">
        <f aca="false">F409</f>
        <v>0</v>
      </c>
      <c r="G193" s="417" t="n">
        <f aca="false">G409</f>
        <v>0</v>
      </c>
      <c r="H193" s="418" t="n">
        <f aca="false">N409</f>
        <v>0</v>
      </c>
      <c r="I193" s="417" t="n">
        <f aca="false">I455</f>
        <v>-0</v>
      </c>
      <c r="J193" s="417" t="n">
        <f aca="false">J455</f>
        <v>-0</v>
      </c>
      <c r="K193" s="417" t="n">
        <f aca="false">K455</f>
        <v>-0</v>
      </c>
      <c r="L193" s="417" t="n">
        <f aca="false">L455</f>
        <v>-0</v>
      </c>
      <c r="M193" s="417" t="n">
        <f aca="false">M455</f>
        <v>-0</v>
      </c>
      <c r="N193" s="417" t="n">
        <f aca="false">N455</f>
        <v>-0</v>
      </c>
      <c r="O193" s="417" t="n">
        <f aca="false">O455</f>
        <v>-0</v>
      </c>
      <c r="P193" s="417" t="n">
        <f aca="false">P455</f>
        <v>-0</v>
      </c>
      <c r="Q193" s="417" t="n">
        <f aca="false">Q455</f>
        <v>-0</v>
      </c>
      <c r="R193" s="417" t="n">
        <f aca="false">R455</f>
        <v>-0</v>
      </c>
      <c r="S193" s="417" t="n">
        <f aca="false">S455</f>
        <v>-0</v>
      </c>
      <c r="T193" s="417" t="n">
        <f aca="false">T455</f>
        <v>-0</v>
      </c>
      <c r="U193" s="417" t="n">
        <f aca="false">U455</f>
        <v>-0</v>
      </c>
      <c r="V193" s="417" t="n">
        <f aca="false">V455</f>
        <v>-0</v>
      </c>
      <c r="W193" s="417" t="n">
        <f aca="false">W455</f>
        <v>-0</v>
      </c>
      <c r="X193" s="417" t="n">
        <f aca="false">X455</f>
        <v>-0</v>
      </c>
      <c r="Y193" s="417" t="n">
        <f aca="false">Y455</f>
        <v>-0</v>
      </c>
      <c r="Z193" s="417" t="n">
        <f aca="false">Z455</f>
        <v>-0</v>
      </c>
      <c r="AA193" s="417" t="n">
        <f aca="false">AA455</f>
        <v>-0</v>
      </c>
      <c r="AB193" s="417" t="n">
        <f aca="false">AB455</f>
        <v>-0</v>
      </c>
      <c r="AC193" s="417" t="n">
        <f aca="false">AC455</f>
        <v>-0</v>
      </c>
    </row>
    <row r="194" customFormat="false" ht="11.25" hidden="false" customHeight="false" outlineLevel="0" collapsed="false">
      <c r="A194" s="35" t="str">
        <f aca="false">A410</f>
        <v>Other Payables</v>
      </c>
      <c r="C194" s="417"/>
      <c r="D194" s="417"/>
      <c r="E194" s="417" t="n">
        <f aca="false">E410</f>
        <v>0</v>
      </c>
      <c r="F194" s="417" t="n">
        <f aca="false">F410</f>
        <v>0</v>
      </c>
      <c r="G194" s="417" t="n">
        <f aca="false">G410</f>
        <v>0</v>
      </c>
      <c r="H194" s="418" t="n">
        <f aca="false">N410</f>
        <v>0</v>
      </c>
      <c r="I194" s="417" t="n">
        <f aca="false">I456</f>
        <v>0</v>
      </c>
      <c r="J194" s="417" t="n">
        <f aca="false">J456</f>
        <v>0</v>
      </c>
      <c r="K194" s="417" t="n">
        <f aca="false">K456</f>
        <v>0</v>
      </c>
      <c r="L194" s="417" t="n">
        <f aca="false">L456</f>
        <v>0</v>
      </c>
      <c r="M194" s="417" t="n">
        <f aca="false">M456</f>
        <v>0</v>
      </c>
      <c r="N194" s="417" t="n">
        <f aca="false">N456</f>
        <v>0</v>
      </c>
      <c r="O194" s="417" t="n">
        <f aca="false">O456</f>
        <v>0</v>
      </c>
      <c r="P194" s="417" t="n">
        <f aca="false">P456</f>
        <v>0</v>
      </c>
      <c r="Q194" s="417" t="n">
        <f aca="false">Q456</f>
        <v>0</v>
      </c>
      <c r="R194" s="417" t="n">
        <f aca="false">R456</f>
        <v>0</v>
      </c>
      <c r="S194" s="417" t="n">
        <f aca="false">S456</f>
        <v>0</v>
      </c>
      <c r="T194" s="417" t="n">
        <f aca="false">T456</f>
        <v>0</v>
      </c>
      <c r="U194" s="417" t="n">
        <f aca="false">U456</f>
        <v>0</v>
      </c>
      <c r="V194" s="417" t="n">
        <f aca="false">V456</f>
        <v>0</v>
      </c>
      <c r="W194" s="417" t="n">
        <f aca="false">W456</f>
        <v>0</v>
      </c>
      <c r="X194" s="417" t="n">
        <f aca="false">X456</f>
        <v>0</v>
      </c>
      <c r="Y194" s="417" t="n">
        <f aca="false">Y456</f>
        <v>0</v>
      </c>
      <c r="Z194" s="417" t="n">
        <f aca="false">Z456</f>
        <v>0</v>
      </c>
      <c r="AA194" s="417" t="n">
        <f aca="false">AA456</f>
        <v>0</v>
      </c>
      <c r="AB194" s="417" t="n">
        <f aca="false">AB456</f>
        <v>0</v>
      </c>
      <c r="AC194" s="417" t="n">
        <f aca="false">AC456</f>
        <v>0</v>
      </c>
    </row>
    <row r="195" customFormat="false" ht="11.25" hidden="false" customHeight="false" outlineLevel="0" collapsed="false">
      <c r="A195" s="35" t="str">
        <f aca="false">A411</f>
        <v>Current Maturities</v>
      </c>
      <c r="C195" s="172"/>
      <c r="D195" s="172"/>
      <c r="E195" s="417" t="n">
        <f aca="false">E411</f>
        <v>0</v>
      </c>
      <c r="F195" s="417" t="n">
        <f aca="false">F411</f>
        <v>0</v>
      </c>
      <c r="G195" s="417" t="n">
        <f aca="false">G411</f>
        <v>0</v>
      </c>
      <c r="H195" s="418" t="n">
        <f aca="false">N411</f>
        <v>0</v>
      </c>
      <c r="I195" s="417" t="e">
        <f aca="false">J270+J243+J303+J264+J258+J309+J278+J285+J233</f>
        <v>#N/A</v>
      </c>
      <c r="J195" s="417" t="e">
        <f aca="false">K270+K243+K303+K264+K258+K309+K278+K285+K233</f>
        <v>#VALUE!</v>
      </c>
      <c r="K195" s="417" t="e">
        <f aca="false">L270+L243+L303+L264+L258+L309+L278+L285+L233</f>
        <v>#VALUE!</v>
      </c>
      <c r="L195" s="417" t="e">
        <f aca="false">M270+M243+M303+M264+M258+M309+M278+M285+M233</f>
        <v>#VALUE!</v>
      </c>
      <c r="M195" s="417" t="e">
        <f aca="false">N270+N243+N303+N264+N258+N309+N278+N285+N233</f>
        <v>#VALUE!</v>
      </c>
      <c r="N195" s="417" t="e">
        <f aca="false">O270+O243+O303+O264+O258+O309+O278+O285+O233</f>
        <v>#VALUE!</v>
      </c>
      <c r="O195" s="417" t="e">
        <f aca="false">P270+P243+P303+P264+P258+P309+P278+P285+P233</f>
        <v>#VALUE!</v>
      </c>
      <c r="P195" s="417" t="e">
        <f aca="false">Q270+Q243+Q303+Q264+Q258+Q309+Q278+Q285+Q233</f>
        <v>#VALUE!</v>
      </c>
      <c r="Q195" s="417" t="e">
        <f aca="false">R270+R243+R303+R264+R258+R309+R278+R285+R233</f>
        <v>#VALUE!</v>
      </c>
      <c r="R195" s="417" t="e">
        <f aca="false">S270+S243+S303+S264+S258+S309+S278+S285+S233</f>
        <v>#VALUE!</v>
      </c>
      <c r="S195" s="417" t="e">
        <f aca="false">T270+T243+T303+T264+T258+T309+T278+T285+T233</f>
        <v>#VALUE!</v>
      </c>
      <c r="T195" s="417" t="e">
        <f aca="false">U270+U243+U303+U264+U258+U309+U278+U285+U233</f>
        <v>#VALUE!</v>
      </c>
      <c r="U195" s="417" t="e">
        <f aca="false">V270+V243+V303+V264+V258+V309+V278+V285+V233</f>
        <v>#VALUE!</v>
      </c>
      <c r="V195" s="417" t="e">
        <f aca="false">W270+W243+W303+W264+W258+W309+W278+W285+W233</f>
        <v>#VALUE!</v>
      </c>
      <c r="W195" s="417" t="e">
        <f aca="false">X270+X243+X303+X264+X258+X309+X278+X285+X233</f>
        <v>#VALUE!</v>
      </c>
      <c r="X195" s="417" t="e">
        <f aca="false">Y270+Y243+Y303+Y264+Y258+Y309+Y278+Y285+Y233</f>
        <v>#VALUE!</v>
      </c>
      <c r="Y195" s="417" t="e">
        <f aca="false">Z270+Z243+Z303+Z264+Z258+Z309+Z278+Z285+Z233</f>
        <v>#VALUE!</v>
      </c>
      <c r="Z195" s="417" t="e">
        <f aca="false">AA270+AA243+AA303+AA264+AA258+AA309+AA278+AA285+AA233</f>
        <v>#VALUE!</v>
      </c>
      <c r="AA195" s="417" t="e">
        <f aca="false">AB270+AB243+AB303+AB264+AB258+AB309+AB278+AB285+AB233</f>
        <v>#VALUE!</v>
      </c>
      <c r="AB195" s="417" t="e">
        <f aca="false">AC270+AC243+AC303+AC264+AC258+AC309+AC278+AC285+AC233</f>
        <v>#VALUE!</v>
      </c>
      <c r="AC195" s="417" t="n">
        <f aca="false">AD270+AD243+AD303+AD264+AD258+AD309+AD278+AD285+AD233</f>
        <v>0</v>
      </c>
    </row>
    <row r="196" customFormat="false" ht="11.25" hidden="false" customHeight="false" outlineLevel="0" collapsed="false">
      <c r="A196" s="35" t="str">
        <f aca="false">A412</f>
        <v>Short-term Debt</v>
      </c>
      <c r="C196" s="172"/>
      <c r="D196" s="172"/>
      <c r="E196" s="417" t="n">
        <f aca="false">E412</f>
        <v>0</v>
      </c>
      <c r="F196" s="417" t="n">
        <f aca="false">F412</f>
        <v>0</v>
      </c>
      <c r="G196" s="417" t="n">
        <f aca="false">G412</f>
        <v>0</v>
      </c>
      <c r="H196" s="418" t="n">
        <f aca="false">N412</f>
        <v>0</v>
      </c>
      <c r="I196" s="417" t="e">
        <f aca="false">I298+I227</f>
        <v>#VALUE!</v>
      </c>
      <c r="J196" s="417" t="e">
        <f aca="false">J298+J227</f>
        <v>#N/A</v>
      </c>
      <c r="K196" s="417" t="e">
        <f aca="false">K298+K227</f>
        <v>#N/A</v>
      </c>
      <c r="L196" s="417" t="e">
        <f aca="false">L298+L227</f>
        <v>#N/A</v>
      </c>
      <c r="M196" s="417" t="e">
        <f aca="false">M298+M227</f>
        <v>#N/A</v>
      </c>
      <c r="N196" s="417" t="e">
        <f aca="false">N298+N227</f>
        <v>#N/A</v>
      </c>
      <c r="O196" s="417" t="e">
        <f aca="false">O298+O227</f>
        <v>#N/A</v>
      </c>
      <c r="P196" s="417" t="e">
        <f aca="false">P298+P227</f>
        <v>#N/A</v>
      </c>
      <c r="Q196" s="417" t="e">
        <f aca="false">Q298+Q227</f>
        <v>#N/A</v>
      </c>
      <c r="R196" s="417" t="e">
        <f aca="false">R298+R227</f>
        <v>#N/A</v>
      </c>
      <c r="S196" s="417" t="e">
        <f aca="false">S298+S227</f>
        <v>#N/A</v>
      </c>
      <c r="T196" s="417" t="e">
        <f aca="false">T298+T227</f>
        <v>#N/A</v>
      </c>
      <c r="U196" s="417" t="e">
        <f aca="false">U298+U227</f>
        <v>#N/A</v>
      </c>
      <c r="V196" s="417" t="e">
        <f aca="false">V298+V227</f>
        <v>#N/A</v>
      </c>
      <c r="W196" s="417" t="e">
        <f aca="false">W298+W227</f>
        <v>#N/A</v>
      </c>
      <c r="X196" s="417" t="e">
        <f aca="false">X298+X227</f>
        <v>#N/A</v>
      </c>
      <c r="Y196" s="417" t="e">
        <f aca="false">Y298+Y227</f>
        <v>#N/A</v>
      </c>
      <c r="Z196" s="417" t="e">
        <f aca="false">Z298+Z227</f>
        <v>#N/A</v>
      </c>
      <c r="AA196" s="417" t="e">
        <f aca="false">AA298+AA227</f>
        <v>#N/A</v>
      </c>
      <c r="AB196" s="417" t="e">
        <f aca="false">AB298+AB227</f>
        <v>#N/A</v>
      </c>
      <c r="AC196" s="417" t="e">
        <f aca="false">AC298+AC227</f>
        <v>#N/A</v>
      </c>
    </row>
    <row r="197" customFormat="false" ht="11.25" hidden="false" customHeight="false" outlineLevel="0" collapsed="false">
      <c r="A197" s="168" t="str">
        <f aca="false">A413</f>
        <v>Total Current Liabilities</v>
      </c>
      <c r="C197" s="417"/>
      <c r="D197" s="417"/>
      <c r="E197" s="419" t="n">
        <f aca="false">E192+E193+E195+E194+E196</f>
        <v>0</v>
      </c>
      <c r="F197" s="419" t="n">
        <f aca="false">F192+F193+F195+F194+F196</f>
        <v>0</v>
      </c>
      <c r="G197" s="419" t="n">
        <f aca="false">G192+G193+G195+G194+G196</f>
        <v>0</v>
      </c>
      <c r="H197" s="420" t="n">
        <f aca="false">H192+H193+H195+H194+H196</f>
        <v>0</v>
      </c>
      <c r="I197" s="419" t="e">
        <f aca="false">I192+I193+I195+I194+I196</f>
        <v>#N/A</v>
      </c>
      <c r="J197" s="419" t="e">
        <f aca="false">J192+J193+J195+J194+J196</f>
        <v>#VALUE!</v>
      </c>
      <c r="K197" s="419" t="e">
        <f aca="false">K192+K193+K195+K194+K196</f>
        <v>#VALUE!</v>
      </c>
      <c r="L197" s="419" t="e">
        <f aca="false">L192+L193+L195+L194+L196</f>
        <v>#VALUE!</v>
      </c>
      <c r="M197" s="419" t="e">
        <f aca="false">M192+M193+M195+M194+M196</f>
        <v>#VALUE!</v>
      </c>
      <c r="N197" s="419" t="e">
        <f aca="false">N192+N193+N195+N194+N196</f>
        <v>#VALUE!</v>
      </c>
      <c r="O197" s="419" t="e">
        <f aca="false">O192+O193+O195+O194+O196</f>
        <v>#VALUE!</v>
      </c>
      <c r="P197" s="419" t="e">
        <f aca="false">P192+P193+P195+P194+P196</f>
        <v>#VALUE!</v>
      </c>
      <c r="Q197" s="419" t="e">
        <f aca="false">Q192+Q193+Q195+Q194+Q196</f>
        <v>#VALUE!</v>
      </c>
      <c r="R197" s="419" t="e">
        <f aca="false">R192+R193+R195+R194+R196</f>
        <v>#VALUE!</v>
      </c>
      <c r="S197" s="419" t="e">
        <f aca="false">S192+S193+S195+S194+S196</f>
        <v>#VALUE!</v>
      </c>
      <c r="T197" s="419" t="e">
        <f aca="false">T192+T193+T195+T194+T196</f>
        <v>#VALUE!</v>
      </c>
      <c r="U197" s="419" t="e">
        <f aca="false">U192+U193+U195+U194+U196</f>
        <v>#VALUE!</v>
      </c>
      <c r="V197" s="419" t="e">
        <f aca="false">V192+V193+V195+V194+V196</f>
        <v>#VALUE!</v>
      </c>
      <c r="W197" s="419" t="e">
        <f aca="false">W192+W193+W195+W194+W196</f>
        <v>#VALUE!</v>
      </c>
      <c r="X197" s="419" t="e">
        <f aca="false">X192+X193+X195+X194+X196</f>
        <v>#VALUE!</v>
      </c>
      <c r="Y197" s="419" t="e">
        <f aca="false">Y192+Y193+Y195+Y194+Y196</f>
        <v>#VALUE!</v>
      </c>
      <c r="Z197" s="419" t="e">
        <f aca="false">Z192+Z193+Z195+Z194+Z196</f>
        <v>#VALUE!</v>
      </c>
      <c r="AA197" s="419" t="e">
        <f aca="false">AA192+AA193+AA195+AA194+AA196</f>
        <v>#VALUE!</v>
      </c>
      <c r="AB197" s="419" t="e">
        <f aca="false">AB192+AB193+AB195+AB194+AB196</f>
        <v>#VALUE!</v>
      </c>
      <c r="AC197" s="419" t="e">
        <f aca="false">AC192+AC193+AC195+AC194+AC196</f>
        <v>#N/A</v>
      </c>
    </row>
    <row r="198" customFormat="false" ht="11.25" hidden="false" customHeight="false" outlineLevel="0" collapsed="false">
      <c r="C198" s="172"/>
      <c r="D198" s="172"/>
      <c r="E198" s="172"/>
      <c r="F198" s="172"/>
      <c r="G198" s="417"/>
      <c r="H198" s="418"/>
      <c r="I198" s="417"/>
      <c r="J198" s="417"/>
      <c r="K198" s="417"/>
      <c r="L198" s="417"/>
      <c r="M198" s="417"/>
      <c r="N198" s="417"/>
      <c r="O198" s="417"/>
      <c r="P198" s="417"/>
      <c r="Q198" s="417"/>
      <c r="R198" s="417"/>
      <c r="S198" s="417"/>
      <c r="T198" s="417"/>
      <c r="U198" s="417"/>
      <c r="V198" s="417"/>
      <c r="W198" s="417"/>
      <c r="X198" s="417"/>
      <c r="Y198" s="417"/>
      <c r="Z198" s="417"/>
      <c r="AA198" s="417"/>
      <c r="AB198" s="417"/>
      <c r="AC198" s="417"/>
    </row>
    <row r="199" customFormat="false" ht="11.25" hidden="false" customHeight="false" outlineLevel="0" collapsed="false">
      <c r="A199" s="35" t="str">
        <f aca="false">A415</f>
        <v>Senior Debt</v>
      </c>
      <c r="E199" s="417" t="n">
        <f aca="false">E415</f>
        <v>0</v>
      </c>
      <c r="F199" s="417" t="n">
        <f aca="false">F415</f>
        <v>0</v>
      </c>
      <c r="G199" s="417" t="n">
        <f aca="false">G415</f>
        <v>0</v>
      </c>
      <c r="H199" s="418" t="n">
        <f aca="false">N415</f>
        <v>0</v>
      </c>
      <c r="I199" s="35" t="e">
        <f aca="false">I259+I265+I304+I236+I245+I271-J270-J243-J303-J264-J258-J233</f>
        <v>#VALUE!</v>
      </c>
      <c r="J199" s="35" t="e">
        <f aca="false">J259+J265+J304+J236+J245+J271-K270-K243-K303-K264-K258-K233</f>
        <v>#VALUE!</v>
      </c>
      <c r="K199" s="35" t="e">
        <f aca="false">K259+K265+K304+K236+K245+K271-L270-L243-L303-L264-L258-L233</f>
        <v>#VALUE!</v>
      </c>
      <c r="L199" s="35" t="e">
        <f aca="false">L259+L265+L304+L236+L245+L271-M270-M243-M303-M264-M258-M233</f>
        <v>#VALUE!</v>
      </c>
      <c r="M199" s="35" t="e">
        <f aca="false">M259+M265+M304+M236+M245+M271-N270-N243-N303-N264-N258-N233</f>
        <v>#VALUE!</v>
      </c>
      <c r="N199" s="35" t="e">
        <f aca="false">N259+N265+N304+N236+N245+N271-O270-O243-O303-O264-O258-O233</f>
        <v>#VALUE!</v>
      </c>
      <c r="O199" s="35" t="e">
        <f aca="false">O259+O265+O304+O236+O245+O271-P270-P243-P303-P264-P258-P233</f>
        <v>#VALUE!</v>
      </c>
      <c r="P199" s="35" t="e">
        <f aca="false">P259+P265+P304+P236+P245+P271-Q270-Q243-Q303-Q264-Q258-Q233</f>
        <v>#VALUE!</v>
      </c>
      <c r="Q199" s="35" t="e">
        <f aca="false">Q259+Q265+Q304+Q236+Q245+Q271-R270-R243-R303-R264-R258-R233</f>
        <v>#VALUE!</v>
      </c>
      <c r="R199" s="35" t="e">
        <f aca="false">R259+R265+R304+R236+R245+R271-S270-S243-S303-S264-S258-S233</f>
        <v>#VALUE!</v>
      </c>
      <c r="S199" s="35" t="e">
        <f aca="false">S259+S265+S304+S236+S245+S271-T270-T243-T303-T264-T258-T233</f>
        <v>#VALUE!</v>
      </c>
      <c r="T199" s="35" t="e">
        <f aca="false">T259+T265+T304+T236+T245+T271-U270-U243-U303-U264-U258-U233</f>
        <v>#VALUE!</v>
      </c>
      <c r="U199" s="35" t="e">
        <f aca="false">U259+U265+U304+U236+U245+U271-V270-V243-V303-V264-V258-V233</f>
        <v>#VALUE!</v>
      </c>
      <c r="V199" s="35" t="e">
        <f aca="false">V259+V265+V304+V236+V245+V271-W270-W243-W303-W264-W258-W233</f>
        <v>#VALUE!</v>
      </c>
      <c r="W199" s="35" t="e">
        <f aca="false">W259+W265+W304+W236+W245+W271-X270-X243-X303-X264-X258-X233</f>
        <v>#VALUE!</v>
      </c>
      <c r="X199" s="35" t="e">
        <f aca="false">X259+X265+X304+X236+X245+X271-Y270-Y243-Y303-Y264-Y258-Y233</f>
        <v>#VALUE!</v>
      </c>
      <c r="Y199" s="35" t="e">
        <f aca="false">Y259+Y265+Y304+Y236+Y245+Y271-Z270-Z243-Z303-Z264-Z258-Z233</f>
        <v>#VALUE!</v>
      </c>
      <c r="Z199" s="35" t="e">
        <f aca="false">Z259+Z265+Z304+Z236+Z245+Z271-AA270-AA243-AA303-AA264-AA258-AA233</f>
        <v>#VALUE!</v>
      </c>
      <c r="AA199" s="35" t="e">
        <f aca="false">AA259+AA265+AA304+AA236+AA245+AA271-AB270-AB243-AB303-AB264-AB258-AB233</f>
        <v>#VALUE!</v>
      </c>
      <c r="AB199" s="35" t="e">
        <f aca="false">AB259+AB265+AB304+AB236+AB245+AB271-AC270-AC243-AC303-AC264-AC258-AC233</f>
        <v>#VALUE!</v>
      </c>
      <c r="AC199" s="35" t="e">
        <f aca="false">AC259+AC265+AC304+AC236+AC245+AC271-AD270-AD243-AD303-AD264-AD258-AD233</f>
        <v>#VALUE!</v>
      </c>
    </row>
    <row r="200" customFormat="false" ht="11.25" hidden="false" customHeight="false" outlineLevel="0" collapsed="false">
      <c r="A200" s="35" t="str">
        <f aca="false">A416</f>
        <v>Subordinated Debt</v>
      </c>
      <c r="C200" s="172"/>
      <c r="D200" s="172"/>
      <c r="E200" s="417" t="n">
        <f aca="false">E416</f>
        <v>0</v>
      </c>
      <c r="F200" s="417" t="n">
        <f aca="false">F416</f>
        <v>0</v>
      </c>
      <c r="G200" s="417" t="n">
        <f aca="false">G416</f>
        <v>0</v>
      </c>
      <c r="H200" s="418" t="n">
        <f aca="false">N416</f>
        <v>0</v>
      </c>
      <c r="I200" s="417" t="e">
        <f aca="false">I286+I280+I310-J309-J278-J285</f>
        <v>#VALUE!</v>
      </c>
      <c r="J200" s="417" t="e">
        <f aca="false">J286+J280+J310-K309-K278-K285</f>
        <v>#VALUE!</v>
      </c>
      <c r="K200" s="417" t="e">
        <f aca="false">K286+K280+K310-L309-L278-L285</f>
        <v>#VALUE!</v>
      </c>
      <c r="L200" s="417" t="e">
        <f aca="false">L286+L280+L310-M309-M278-M285</f>
        <v>#VALUE!</v>
      </c>
      <c r="M200" s="417" t="e">
        <f aca="false">M286+M280+M310-N309-N278-N285</f>
        <v>#VALUE!</v>
      </c>
      <c r="N200" s="417" t="e">
        <f aca="false">N286+N280+N310-O309-O278-O285</f>
        <v>#VALUE!</v>
      </c>
      <c r="O200" s="417" t="e">
        <f aca="false">O286+O280+O310-P309-P278-P285</f>
        <v>#VALUE!</v>
      </c>
      <c r="P200" s="417" t="e">
        <f aca="false">P286+P280+P310-Q309-Q278-Q285</f>
        <v>#VALUE!</v>
      </c>
      <c r="Q200" s="417" t="e">
        <f aca="false">Q286+Q280+Q310-R309-R278-R285</f>
        <v>#VALUE!</v>
      </c>
      <c r="R200" s="417" t="e">
        <f aca="false">R286+R280+R310-S309-S278-S285</f>
        <v>#VALUE!</v>
      </c>
      <c r="S200" s="417" t="e">
        <f aca="false">S286+S280+S310-T309-T278-T285</f>
        <v>#VALUE!</v>
      </c>
      <c r="T200" s="417" t="e">
        <f aca="false">T286+T280+T310-U309-U278-U285</f>
        <v>#VALUE!</v>
      </c>
      <c r="U200" s="417" t="e">
        <f aca="false">U286+U280+U310-V309-V278-V285</f>
        <v>#VALUE!</v>
      </c>
      <c r="V200" s="417" t="e">
        <f aca="false">V286+V280+V310-W309-W278-W285</f>
        <v>#VALUE!</v>
      </c>
      <c r="W200" s="417" t="e">
        <f aca="false">W286+W280+W310-X309-X278-X285</f>
        <v>#VALUE!</v>
      </c>
      <c r="X200" s="417" t="e">
        <f aca="false">X286+X280+X310-Y309-Y278-Y285</f>
        <v>#VALUE!</v>
      </c>
      <c r="Y200" s="417" t="e">
        <f aca="false">Y286+Y280+Y310-Z309-Z278-Z285</f>
        <v>#VALUE!</v>
      </c>
      <c r="Z200" s="417" t="e">
        <f aca="false">Z286+Z280+Z310-AA309-AA278-AA285</f>
        <v>#VALUE!</v>
      </c>
      <c r="AA200" s="417" t="e">
        <f aca="false">AA286+AA280+AA310-AB309-AB278-AB285</f>
        <v>#VALUE!</v>
      </c>
      <c r="AB200" s="417" t="e">
        <f aca="false">AB286+AB280+AB310-AC309-AC278-AC285</f>
        <v>#VALUE!</v>
      </c>
      <c r="AC200" s="417" t="e">
        <f aca="false">AC286+AC280+AC310-AD309-AD278-AD285</f>
        <v>#VALUE!</v>
      </c>
    </row>
    <row r="201" customFormat="false" ht="11.25" hidden="false" customHeight="false" outlineLevel="0" collapsed="false">
      <c r="A201" s="35" t="str">
        <f aca="false">A417</f>
        <v>Deferred Taxes</v>
      </c>
      <c r="C201" s="172"/>
      <c r="D201" s="172"/>
      <c r="E201" s="417" t="n">
        <f aca="false">E417</f>
        <v>0</v>
      </c>
      <c r="F201" s="417" t="n">
        <f aca="false">F417</f>
        <v>0</v>
      </c>
      <c r="G201" s="417" t="n">
        <f aca="false">G417</f>
        <v>0</v>
      </c>
      <c r="H201" s="418" t="n">
        <f aca="false">N417</f>
        <v>0</v>
      </c>
      <c r="I201" s="417" t="e">
        <f aca="false">I121+H201</f>
        <v>#VALUE!</v>
      </c>
      <c r="J201" s="417" t="e">
        <f aca="false">J121+I201</f>
        <v>#VALUE!</v>
      </c>
      <c r="K201" s="417" t="e">
        <f aca="false">K121+J201</f>
        <v>#VALUE!</v>
      </c>
      <c r="L201" s="417" t="e">
        <f aca="false">L121+K201</f>
        <v>#VALUE!</v>
      </c>
      <c r="M201" s="417" t="e">
        <f aca="false">M121+L201</f>
        <v>#VALUE!</v>
      </c>
      <c r="N201" s="417" t="e">
        <f aca="false">N121+M201</f>
        <v>#VALUE!</v>
      </c>
      <c r="O201" s="417" t="e">
        <f aca="false">O121+N201</f>
        <v>#VALUE!</v>
      </c>
      <c r="P201" s="417" t="e">
        <f aca="false">P121+O201</f>
        <v>#VALUE!</v>
      </c>
      <c r="Q201" s="417" t="e">
        <f aca="false">Q121+P201</f>
        <v>#VALUE!</v>
      </c>
      <c r="R201" s="417" t="e">
        <f aca="false">R121+Q201</f>
        <v>#VALUE!</v>
      </c>
      <c r="S201" s="417" t="e">
        <f aca="false">S121+R201</f>
        <v>#VALUE!</v>
      </c>
      <c r="T201" s="417" t="e">
        <f aca="false">T121+S201</f>
        <v>#VALUE!</v>
      </c>
      <c r="U201" s="417" t="e">
        <f aca="false">U121+T201</f>
        <v>#VALUE!</v>
      </c>
      <c r="V201" s="417" t="e">
        <f aca="false">V121+U201</f>
        <v>#VALUE!</v>
      </c>
      <c r="W201" s="417" t="e">
        <f aca="false">W121+V201</f>
        <v>#VALUE!</v>
      </c>
      <c r="X201" s="417" t="e">
        <f aca="false">X121+W201</f>
        <v>#VALUE!</v>
      </c>
      <c r="Y201" s="417" t="e">
        <f aca="false">Y121+X201</f>
        <v>#VALUE!</v>
      </c>
      <c r="Z201" s="417" t="e">
        <f aca="false">Z121+Y201</f>
        <v>#VALUE!</v>
      </c>
      <c r="AA201" s="417" t="e">
        <f aca="false">AA121+Z201</f>
        <v>#VALUE!</v>
      </c>
      <c r="AB201" s="417" t="e">
        <f aca="false">AB121+AA201</f>
        <v>#VALUE!</v>
      </c>
      <c r="AC201" s="417" t="e">
        <f aca="false">AC121+AB201</f>
        <v>#VALUE!</v>
      </c>
    </row>
    <row r="202" customFormat="false" ht="11.25" hidden="false" customHeight="false" outlineLevel="0" collapsed="false">
      <c r="A202" s="5" t="str">
        <f aca="false">A418</f>
        <v>Commitments and Contingencies</v>
      </c>
      <c r="C202" s="172"/>
      <c r="D202" s="172"/>
      <c r="E202" s="417" t="n">
        <f aca="false">E418</f>
        <v>0</v>
      </c>
      <c r="F202" s="417" t="n">
        <f aca="false">F418</f>
        <v>0</v>
      </c>
      <c r="G202" s="417" t="n">
        <f aca="false">G418</f>
        <v>0</v>
      </c>
      <c r="H202" s="418" t="n">
        <f aca="false">N418</f>
        <v>0</v>
      </c>
      <c r="I202" s="417" t="n">
        <f aca="false">H202-I253</f>
        <v>0</v>
      </c>
      <c r="J202" s="417" t="n">
        <f aca="false">I202-J253</f>
        <v>0</v>
      </c>
      <c r="K202" s="417" t="n">
        <f aca="false">J202-K253</f>
        <v>0</v>
      </c>
      <c r="L202" s="417" t="n">
        <f aca="false">K202-L253</f>
        <v>0</v>
      </c>
      <c r="M202" s="417" t="n">
        <f aca="false">L202-M253</f>
        <v>0</v>
      </c>
      <c r="N202" s="417" t="n">
        <f aca="false">M202-N253</f>
        <v>0</v>
      </c>
      <c r="O202" s="417" t="n">
        <f aca="false">N202-O253</f>
        <v>0</v>
      </c>
      <c r="P202" s="417" t="n">
        <f aca="false">O202-P253</f>
        <v>0</v>
      </c>
      <c r="Q202" s="417" t="n">
        <f aca="false">P202-Q253</f>
        <v>0</v>
      </c>
      <c r="R202" s="417" t="n">
        <f aca="false">Q202-R253</f>
        <v>0</v>
      </c>
      <c r="S202" s="417" t="n">
        <f aca="false">R202-S253</f>
        <v>0</v>
      </c>
      <c r="T202" s="417" t="n">
        <f aca="false">S202-T253</f>
        <v>0</v>
      </c>
      <c r="U202" s="417" t="n">
        <f aca="false">T202-U253</f>
        <v>0</v>
      </c>
      <c r="V202" s="417" t="n">
        <f aca="false">U202-V253</f>
        <v>0</v>
      </c>
      <c r="W202" s="417" t="n">
        <f aca="false">V202-W253</f>
        <v>0</v>
      </c>
      <c r="X202" s="417" t="n">
        <f aca="false">W202-X253</f>
        <v>0</v>
      </c>
      <c r="Y202" s="417" t="n">
        <f aca="false">X202-Y253</f>
        <v>0</v>
      </c>
      <c r="Z202" s="417" t="n">
        <f aca="false">Y202-Z253</f>
        <v>0</v>
      </c>
      <c r="AA202" s="417" t="n">
        <f aca="false">Z202-AA253</f>
        <v>0</v>
      </c>
      <c r="AB202" s="417" t="n">
        <f aca="false">AA202-AB253</f>
        <v>0</v>
      </c>
      <c r="AC202" s="417" t="n">
        <f aca="false">AB202-AC253</f>
        <v>0</v>
      </c>
    </row>
    <row r="203" customFormat="false" ht="11.25" hidden="false" customHeight="false" outlineLevel="0" collapsed="false">
      <c r="A203" s="35" t="str">
        <f aca="false">A419</f>
        <v>Other Liabilities</v>
      </c>
      <c r="E203" s="417" t="n">
        <f aca="false">E419</f>
        <v>0</v>
      </c>
      <c r="F203" s="417" t="n">
        <f aca="false">F419</f>
        <v>0</v>
      </c>
      <c r="G203" s="417" t="n">
        <f aca="false">G419</f>
        <v>0</v>
      </c>
      <c r="H203" s="418" t="n">
        <f aca="false">N419</f>
        <v>0</v>
      </c>
      <c r="I203" s="35" t="n">
        <f aca="false">H203+I123</f>
        <v>0</v>
      </c>
      <c r="J203" s="35" t="n">
        <f aca="false">I203+J123</f>
        <v>0</v>
      </c>
      <c r="K203" s="35" t="n">
        <f aca="false">J203+K123</f>
        <v>0</v>
      </c>
      <c r="L203" s="35" t="n">
        <f aca="false">K203+L123</f>
        <v>0</v>
      </c>
      <c r="M203" s="35" t="n">
        <f aca="false">L203+M123</f>
        <v>0</v>
      </c>
      <c r="N203" s="35" t="n">
        <f aca="false">M203+N123</f>
        <v>0</v>
      </c>
      <c r="O203" s="35" t="n">
        <f aca="false">N203+O123</f>
        <v>0</v>
      </c>
      <c r="P203" s="35" t="n">
        <f aca="false">O203+P123</f>
        <v>0</v>
      </c>
      <c r="Q203" s="35" t="n">
        <f aca="false">P203+Q123</f>
        <v>0</v>
      </c>
      <c r="R203" s="35" t="n">
        <f aca="false">Q203+R123</f>
        <v>0</v>
      </c>
      <c r="S203" s="35" t="n">
        <f aca="false">R203+S123</f>
        <v>0</v>
      </c>
      <c r="T203" s="35" t="n">
        <f aca="false">S203+T123</f>
        <v>0</v>
      </c>
      <c r="U203" s="35" t="n">
        <f aca="false">T203+U123</f>
        <v>0</v>
      </c>
      <c r="V203" s="35" t="n">
        <f aca="false">U203+V123</f>
        <v>0</v>
      </c>
      <c r="W203" s="35" t="n">
        <f aca="false">V203+W123</f>
        <v>0</v>
      </c>
      <c r="X203" s="35" t="n">
        <f aca="false">W203+X123</f>
        <v>0</v>
      </c>
      <c r="Y203" s="35" t="n">
        <f aca="false">X203+Y123</f>
        <v>0</v>
      </c>
      <c r="Z203" s="35" t="n">
        <f aca="false">Y203+Z123</f>
        <v>0</v>
      </c>
      <c r="AA203" s="35" t="n">
        <f aca="false">Z203+AA123</f>
        <v>0</v>
      </c>
      <c r="AB203" s="35" t="n">
        <f aca="false">AA203+AB123</f>
        <v>0</v>
      </c>
      <c r="AC203" s="35" t="n">
        <f aca="false">AB203+AC123</f>
        <v>0</v>
      </c>
    </row>
    <row r="204" customFormat="false" ht="11.25" hidden="false" customHeight="false" outlineLevel="0" collapsed="false">
      <c r="A204" s="168" t="str">
        <f aca="false">A420</f>
        <v>Total Long-term Liabilities</v>
      </c>
      <c r="C204" s="417"/>
      <c r="D204" s="417"/>
      <c r="E204" s="419" t="n">
        <f aca="false">E199+E200+E201+E203+E202</f>
        <v>0</v>
      </c>
      <c r="F204" s="419" t="n">
        <f aca="false">F199+F200+F201+F203+F202</f>
        <v>0</v>
      </c>
      <c r="G204" s="419" t="n">
        <f aca="false">G199+G200+G201+G203+G202</f>
        <v>0</v>
      </c>
      <c r="H204" s="420" t="n">
        <f aca="false">H199+H200+H201+H203+H202</f>
        <v>0</v>
      </c>
      <c r="I204" s="419" t="e">
        <f aca="false">I199+I200+I201+I203+I202</f>
        <v>#VALUE!</v>
      </c>
      <c r="J204" s="419" t="e">
        <f aca="false">J199+J200+J201+J203+J202</f>
        <v>#VALUE!</v>
      </c>
      <c r="K204" s="419" t="e">
        <f aca="false">K199+K200+K201+K203+K202</f>
        <v>#VALUE!</v>
      </c>
      <c r="L204" s="419" t="e">
        <f aca="false">L199+L200+L201+L203+L202</f>
        <v>#VALUE!</v>
      </c>
      <c r="M204" s="419" t="e">
        <f aca="false">M199+M200+M201+M203+M202</f>
        <v>#VALUE!</v>
      </c>
      <c r="N204" s="419" t="e">
        <f aca="false">N199+N200+N201+N203+N202</f>
        <v>#VALUE!</v>
      </c>
      <c r="O204" s="419" t="e">
        <f aca="false">O199+O200+O201+O203+O202</f>
        <v>#VALUE!</v>
      </c>
      <c r="P204" s="419" t="e">
        <f aca="false">P199+P200+P201+P203+P202</f>
        <v>#VALUE!</v>
      </c>
      <c r="Q204" s="419" t="e">
        <f aca="false">Q199+Q200+Q201+Q203+Q202</f>
        <v>#VALUE!</v>
      </c>
      <c r="R204" s="419" t="e">
        <f aca="false">R199+R200+R201+R203+R202</f>
        <v>#VALUE!</v>
      </c>
      <c r="S204" s="419" t="e">
        <f aca="false">S199+S200+S201+S203+S202</f>
        <v>#VALUE!</v>
      </c>
      <c r="T204" s="419" t="e">
        <f aca="false">T199+T200+T201+T203+T202</f>
        <v>#VALUE!</v>
      </c>
      <c r="U204" s="419" t="e">
        <f aca="false">U199+U200+U201+U203+U202</f>
        <v>#VALUE!</v>
      </c>
      <c r="V204" s="419" t="e">
        <f aca="false">V199+V200+V201+V203+V202</f>
        <v>#VALUE!</v>
      </c>
      <c r="W204" s="419" t="e">
        <f aca="false">W199+W200+W201+W203+W202</f>
        <v>#VALUE!</v>
      </c>
      <c r="X204" s="419" t="e">
        <f aca="false">X199+X200+X201+X203+X202</f>
        <v>#VALUE!</v>
      </c>
      <c r="Y204" s="419" t="e">
        <f aca="false">Y199+Y200+Y201+Y203+Y202</f>
        <v>#VALUE!</v>
      </c>
      <c r="Z204" s="419" t="e">
        <f aca="false">Z199+Z200+Z201+Z203+Z202</f>
        <v>#VALUE!</v>
      </c>
      <c r="AA204" s="419" t="e">
        <f aca="false">AA199+AA200+AA201+AA203+AA202</f>
        <v>#VALUE!</v>
      </c>
      <c r="AB204" s="419" t="e">
        <f aca="false">AB199+AB200+AB201+AB203+AB202</f>
        <v>#VALUE!</v>
      </c>
      <c r="AC204" s="419" t="e">
        <f aca="false">AC199+AC200+AC201+AC203+AC202</f>
        <v>#VALUE!</v>
      </c>
    </row>
    <row r="205" customFormat="false" ht="11.25" hidden="false" customHeight="false" outlineLevel="0" collapsed="false">
      <c r="C205" s="417"/>
      <c r="D205" s="417"/>
      <c r="E205" s="417"/>
      <c r="F205" s="417"/>
      <c r="G205" s="417"/>
      <c r="H205" s="418"/>
      <c r="I205" s="417"/>
      <c r="J205" s="175"/>
      <c r="K205" s="175"/>
      <c r="L205" s="175"/>
      <c r="M205" s="175"/>
      <c r="N205" s="175"/>
      <c r="O205" s="417"/>
      <c r="P205" s="417"/>
      <c r="Q205" s="417"/>
      <c r="R205" s="417"/>
      <c r="S205" s="417"/>
      <c r="T205" s="417"/>
      <c r="U205" s="417"/>
      <c r="V205" s="417"/>
      <c r="W205" s="417"/>
      <c r="X205" s="417"/>
      <c r="Y205" s="417"/>
      <c r="Z205" s="417"/>
      <c r="AA205" s="417"/>
      <c r="AB205" s="417"/>
      <c r="AC205" s="417"/>
    </row>
    <row r="206" customFormat="false" ht="11.25" hidden="false" customHeight="false" outlineLevel="0" collapsed="false">
      <c r="A206" s="168" t="str">
        <f aca="false">A422</f>
        <v>Total Liabilities</v>
      </c>
      <c r="C206" s="417"/>
      <c r="D206" s="417"/>
      <c r="E206" s="417" t="n">
        <f aca="false">E204+E197</f>
        <v>0</v>
      </c>
      <c r="F206" s="417" t="n">
        <f aca="false">F204+F197</f>
        <v>0</v>
      </c>
      <c r="G206" s="417" t="n">
        <f aca="false">G204+G197</f>
        <v>0</v>
      </c>
      <c r="H206" s="418" t="n">
        <f aca="false">H204+H197</f>
        <v>0</v>
      </c>
      <c r="I206" s="417" t="e">
        <f aca="false">I204+I197</f>
        <v>#N/A</v>
      </c>
      <c r="J206" s="417" t="e">
        <f aca="false">J204+J197</f>
        <v>#VALUE!</v>
      </c>
      <c r="K206" s="417" t="e">
        <f aca="false">K204+K197</f>
        <v>#VALUE!</v>
      </c>
      <c r="L206" s="417" t="e">
        <f aca="false">L204+L197</f>
        <v>#VALUE!</v>
      </c>
      <c r="M206" s="417" t="e">
        <f aca="false">M204+M197</f>
        <v>#VALUE!</v>
      </c>
      <c r="N206" s="417" t="e">
        <f aca="false">N204+N197</f>
        <v>#VALUE!</v>
      </c>
      <c r="O206" s="417" t="e">
        <f aca="false">O204+O197</f>
        <v>#VALUE!</v>
      </c>
      <c r="P206" s="417" t="e">
        <f aca="false">P204+P197</f>
        <v>#VALUE!</v>
      </c>
      <c r="Q206" s="417" t="e">
        <f aca="false">Q204+Q197</f>
        <v>#VALUE!</v>
      </c>
      <c r="R206" s="417" t="e">
        <f aca="false">R204+R197</f>
        <v>#VALUE!</v>
      </c>
      <c r="S206" s="417" t="e">
        <f aca="false">S204+S197</f>
        <v>#VALUE!</v>
      </c>
      <c r="T206" s="417" t="e">
        <f aca="false">T204+T197</f>
        <v>#VALUE!</v>
      </c>
      <c r="U206" s="417" t="e">
        <f aca="false">U204+U197</f>
        <v>#VALUE!</v>
      </c>
      <c r="V206" s="417" t="e">
        <f aca="false">V204+V197</f>
        <v>#VALUE!</v>
      </c>
      <c r="W206" s="417" t="e">
        <f aca="false">W204+W197</f>
        <v>#VALUE!</v>
      </c>
      <c r="X206" s="417" t="e">
        <f aca="false">X204+X197</f>
        <v>#VALUE!</v>
      </c>
      <c r="Y206" s="417" t="e">
        <f aca="false">Y204+Y197</f>
        <v>#VALUE!</v>
      </c>
      <c r="Z206" s="417" t="e">
        <f aca="false">Z204+Z197</f>
        <v>#VALUE!</v>
      </c>
      <c r="AA206" s="417" t="e">
        <f aca="false">AA204+AA197</f>
        <v>#VALUE!</v>
      </c>
      <c r="AB206" s="417" t="e">
        <f aca="false">AB204+AB197</f>
        <v>#VALUE!</v>
      </c>
      <c r="AC206" s="417" t="e">
        <f aca="false">AC204+AC197</f>
        <v>#N/A</v>
      </c>
    </row>
    <row r="207" customFormat="false" ht="11.25" hidden="false" customHeight="false" outlineLevel="0" collapsed="false">
      <c r="C207" s="172"/>
      <c r="D207" s="172"/>
      <c r="E207" s="172"/>
      <c r="F207" s="172"/>
      <c r="G207" s="417"/>
      <c r="H207" s="418"/>
      <c r="I207" s="417"/>
      <c r="J207" s="417"/>
      <c r="K207" s="417"/>
      <c r="L207" s="417"/>
      <c r="M207" s="417"/>
      <c r="N207" s="417"/>
      <c r="O207" s="417"/>
      <c r="P207" s="417"/>
      <c r="Q207" s="417"/>
      <c r="R207" s="417"/>
      <c r="S207" s="417"/>
      <c r="T207" s="417"/>
      <c r="U207" s="417"/>
      <c r="V207" s="417"/>
      <c r="W207" s="417"/>
      <c r="X207" s="417"/>
      <c r="Y207" s="417"/>
      <c r="Z207" s="417"/>
      <c r="AA207" s="417"/>
      <c r="AB207" s="417"/>
      <c r="AC207" s="417"/>
    </row>
    <row r="208" customFormat="false" ht="11.25" hidden="false" customHeight="false" outlineLevel="0" collapsed="false">
      <c r="A208" s="35" t="str">
        <f aca="false">A424</f>
        <v>Preferred Stock</v>
      </c>
      <c r="C208" s="172"/>
      <c r="D208" s="172"/>
      <c r="E208" s="417" t="n">
        <f aca="false">E424</f>
        <v>0</v>
      </c>
      <c r="F208" s="417" t="n">
        <f aca="false">F424</f>
        <v>0</v>
      </c>
      <c r="G208" s="417" t="n">
        <f aca="false">G424</f>
        <v>0</v>
      </c>
      <c r="H208" s="418" t="n">
        <f aca="false">N424</f>
        <v>0</v>
      </c>
      <c r="I208" s="417" t="n">
        <f aca="false">H208-I290-I291-I314-I315</f>
        <v>0</v>
      </c>
      <c r="J208" s="417" t="n">
        <f aca="false">I208-J290-J291-J314-J315</f>
        <v>0</v>
      </c>
      <c r="K208" s="417" t="n">
        <f aca="false">J208-K290-K291-K314-K315</f>
        <v>0</v>
      </c>
      <c r="L208" s="417" t="n">
        <f aca="false">K208-L290-L291-L314-L315</f>
        <v>0</v>
      </c>
      <c r="M208" s="417" t="n">
        <f aca="false">L208-M290-M291-M314-M315</f>
        <v>0</v>
      </c>
      <c r="N208" s="417" t="n">
        <f aca="false">M208-N290-N291-N314-N315</f>
        <v>0</v>
      </c>
      <c r="O208" s="417" t="n">
        <f aca="false">N208-O290-O291-O314-O315</f>
        <v>0</v>
      </c>
      <c r="P208" s="417" t="n">
        <f aca="false">O208-P290-P291-P314-P315</f>
        <v>0</v>
      </c>
      <c r="Q208" s="417" t="n">
        <f aca="false">P208-Q290-Q291-Q314-Q315</f>
        <v>0</v>
      </c>
      <c r="R208" s="417" t="n">
        <f aca="false">Q208-R290-R291-R314-R315</f>
        <v>0</v>
      </c>
      <c r="S208" s="417" t="n">
        <f aca="false">R208-S290-S291-S314-S315</f>
        <v>0</v>
      </c>
      <c r="T208" s="417" t="n">
        <f aca="false">S208-T290-T291-T314-T315</f>
        <v>0</v>
      </c>
      <c r="U208" s="417" t="n">
        <f aca="false">T208-U290-U291-U314-U315</f>
        <v>0</v>
      </c>
      <c r="V208" s="417" t="n">
        <f aca="false">U208-V290-V291-V314-V315</f>
        <v>0</v>
      </c>
      <c r="W208" s="417" t="n">
        <f aca="false">V208-W290-W291-W314-W315</f>
        <v>0</v>
      </c>
      <c r="X208" s="417" t="n">
        <f aca="false">W208-X290-X291-X314-X315</f>
        <v>0</v>
      </c>
      <c r="Y208" s="417" t="n">
        <f aca="false">X208-Y290-Y291-Y314-Y315</f>
        <v>0</v>
      </c>
      <c r="Z208" s="417" t="n">
        <f aca="false">Y208-Z290-Z291-Z314-Z315</f>
        <v>0</v>
      </c>
      <c r="AA208" s="417" t="n">
        <f aca="false">Z208-AA290-AA291-AA314-AA315</f>
        <v>0</v>
      </c>
      <c r="AB208" s="417" t="n">
        <f aca="false">AA208-AB290-AB291-AB314-AB315</f>
        <v>0</v>
      </c>
      <c r="AC208" s="417" t="n">
        <f aca="false">AB208-AC290-AC291-AC314-AC315</f>
        <v>0</v>
      </c>
    </row>
    <row r="209" customFormat="false" ht="11.25" hidden="false" customHeight="false" outlineLevel="0" collapsed="false">
      <c r="A209" s="35" t="str">
        <f aca="false">A425</f>
        <v>Common Stock</v>
      </c>
      <c r="C209" s="172"/>
      <c r="D209" s="172"/>
      <c r="E209" s="417" t="n">
        <f aca="false">E425</f>
        <v>0</v>
      </c>
      <c r="F209" s="417" t="n">
        <f aca="false">F425</f>
        <v>0</v>
      </c>
      <c r="G209" s="417" t="n">
        <f aca="false">G425</f>
        <v>0</v>
      </c>
      <c r="H209" s="418" t="n">
        <f aca="false">N425</f>
        <v>0</v>
      </c>
      <c r="I209" s="417" t="n">
        <f aca="false">H209</f>
        <v>0</v>
      </c>
      <c r="J209" s="417" t="n">
        <f aca="false">I209</f>
        <v>0</v>
      </c>
      <c r="K209" s="417" t="n">
        <f aca="false">J209</f>
        <v>0</v>
      </c>
      <c r="L209" s="417" t="n">
        <f aca="false">K209</f>
        <v>0</v>
      </c>
      <c r="M209" s="417" t="n">
        <f aca="false">L209</f>
        <v>0</v>
      </c>
      <c r="N209" s="417" t="n">
        <f aca="false">M209</f>
        <v>0</v>
      </c>
      <c r="O209" s="417" t="n">
        <f aca="false">N209</f>
        <v>0</v>
      </c>
      <c r="P209" s="417" t="n">
        <f aca="false">O209</f>
        <v>0</v>
      </c>
      <c r="Q209" s="417" t="n">
        <f aca="false">P209</f>
        <v>0</v>
      </c>
      <c r="R209" s="417" t="n">
        <f aca="false">Q209</f>
        <v>0</v>
      </c>
      <c r="S209" s="417" t="n">
        <f aca="false">R209</f>
        <v>0</v>
      </c>
      <c r="T209" s="417" t="n">
        <f aca="false">S209</f>
        <v>0</v>
      </c>
      <c r="U209" s="417" t="n">
        <f aca="false">T209</f>
        <v>0</v>
      </c>
      <c r="V209" s="417" t="n">
        <f aca="false">U209</f>
        <v>0</v>
      </c>
      <c r="W209" s="417" t="n">
        <f aca="false">V209</f>
        <v>0</v>
      </c>
      <c r="X209" s="417" t="n">
        <f aca="false">W209</f>
        <v>0</v>
      </c>
      <c r="Y209" s="417" t="n">
        <f aca="false">X209</f>
        <v>0</v>
      </c>
      <c r="Z209" s="417" t="n">
        <f aca="false">Y209</f>
        <v>0</v>
      </c>
      <c r="AA209" s="417" t="n">
        <f aca="false">Z209</f>
        <v>0</v>
      </c>
      <c r="AB209" s="417" t="n">
        <f aca="false">AA209</f>
        <v>0</v>
      </c>
      <c r="AC209" s="417" t="n">
        <f aca="false">AB209</f>
        <v>0</v>
      </c>
    </row>
    <row r="210" customFormat="false" ht="11.25" hidden="false" customHeight="false" outlineLevel="0" collapsed="false">
      <c r="A210" s="35" t="str">
        <f aca="false">A426</f>
        <v>Paid in Capital</v>
      </c>
      <c r="C210" s="172"/>
      <c r="D210" s="172"/>
      <c r="E210" s="417" t="n">
        <f aca="false">E426</f>
        <v>0</v>
      </c>
      <c r="F210" s="417" t="n">
        <f aca="false">F426</f>
        <v>0</v>
      </c>
      <c r="G210" s="417" t="n">
        <f aca="false">G426</f>
        <v>0</v>
      </c>
      <c r="H210" s="418" t="n">
        <f aca="false">N426</f>
        <v>0</v>
      </c>
      <c r="I210" s="417" t="n">
        <f aca="false">H210-I536</f>
        <v>0</v>
      </c>
      <c r="J210" s="417" t="n">
        <f aca="false">I210-J536</f>
        <v>0</v>
      </c>
      <c r="K210" s="417" t="n">
        <f aca="false">J210-K536</f>
        <v>0</v>
      </c>
      <c r="L210" s="417" t="n">
        <f aca="false">K210-L536</f>
        <v>0</v>
      </c>
      <c r="M210" s="417" t="n">
        <f aca="false">L210-M536</f>
        <v>0</v>
      </c>
      <c r="N210" s="417" t="n">
        <f aca="false">M210-N536</f>
        <v>0</v>
      </c>
      <c r="O210" s="417" t="n">
        <f aca="false">N210-O536</f>
        <v>0</v>
      </c>
      <c r="P210" s="417" t="n">
        <f aca="false">O210-P536</f>
        <v>0</v>
      </c>
      <c r="Q210" s="417" t="n">
        <f aca="false">P210-Q536</f>
        <v>0</v>
      </c>
      <c r="R210" s="417" t="n">
        <f aca="false">Q210-R536</f>
        <v>0</v>
      </c>
      <c r="S210" s="417" t="n">
        <f aca="false">R210-S536</f>
        <v>0</v>
      </c>
      <c r="T210" s="417" t="n">
        <f aca="false">S210-T536</f>
        <v>0</v>
      </c>
      <c r="U210" s="417" t="n">
        <f aca="false">T210-U536</f>
        <v>0</v>
      </c>
      <c r="V210" s="417" t="n">
        <f aca="false">U210-V536</f>
        <v>0</v>
      </c>
      <c r="W210" s="417" t="n">
        <f aca="false">V210-W536</f>
        <v>0</v>
      </c>
      <c r="X210" s="417" t="n">
        <f aca="false">W210-X536</f>
        <v>0</v>
      </c>
      <c r="Y210" s="417" t="n">
        <f aca="false">X210-Y536</f>
        <v>0</v>
      </c>
      <c r="Z210" s="417" t="n">
        <f aca="false">Y210-Z536</f>
        <v>0</v>
      </c>
      <c r="AA210" s="417" t="n">
        <f aca="false">Z210-AA536</f>
        <v>0</v>
      </c>
      <c r="AB210" s="417" t="n">
        <f aca="false">AA210-AB536</f>
        <v>0</v>
      </c>
      <c r="AC210" s="417" t="n">
        <f aca="false">AB210-AC536</f>
        <v>0</v>
      </c>
    </row>
    <row r="211" customFormat="false" ht="11.25" hidden="false" customHeight="false" outlineLevel="0" collapsed="false">
      <c r="A211" s="35" t="str">
        <f aca="false">A427</f>
        <v>ESOP Equity</v>
      </c>
      <c r="E211" s="417" t="n">
        <f aca="false">E427</f>
        <v>0</v>
      </c>
      <c r="F211" s="417" t="n">
        <f aca="false">F427</f>
        <v>0</v>
      </c>
      <c r="G211" s="417" t="n">
        <f aca="false">G427</f>
        <v>0</v>
      </c>
      <c r="H211" s="418" t="n">
        <f aca="false">N427</f>
        <v>0</v>
      </c>
      <c r="I211" s="35" t="n">
        <f aca="false">H211</f>
        <v>0</v>
      </c>
      <c r="J211" s="35" t="n">
        <f aca="false">I211</f>
        <v>0</v>
      </c>
      <c r="K211" s="35" t="n">
        <f aca="false">J211</f>
        <v>0</v>
      </c>
      <c r="L211" s="35" t="n">
        <f aca="false">K211</f>
        <v>0</v>
      </c>
      <c r="M211" s="35" t="n">
        <f aca="false">L211</f>
        <v>0</v>
      </c>
      <c r="N211" s="35" t="n">
        <f aca="false">M211</f>
        <v>0</v>
      </c>
      <c r="O211" s="35" t="n">
        <f aca="false">N211</f>
        <v>0</v>
      </c>
      <c r="P211" s="35" t="n">
        <f aca="false">O211</f>
        <v>0</v>
      </c>
      <c r="Q211" s="35" t="n">
        <f aca="false">P211</f>
        <v>0</v>
      </c>
      <c r="R211" s="35" t="n">
        <f aca="false">Q211</f>
        <v>0</v>
      </c>
      <c r="S211" s="35" t="n">
        <f aca="false">R211</f>
        <v>0</v>
      </c>
      <c r="T211" s="35" t="n">
        <f aca="false">S211</f>
        <v>0</v>
      </c>
      <c r="U211" s="35" t="n">
        <f aca="false">T211</f>
        <v>0</v>
      </c>
      <c r="V211" s="35" t="n">
        <f aca="false">U211</f>
        <v>0</v>
      </c>
      <c r="W211" s="35" t="n">
        <f aca="false">V211</f>
        <v>0</v>
      </c>
      <c r="X211" s="35" t="n">
        <f aca="false">W211</f>
        <v>0</v>
      </c>
      <c r="Y211" s="35" t="n">
        <f aca="false">X211</f>
        <v>0</v>
      </c>
      <c r="Z211" s="35" t="n">
        <f aca="false">Y211</f>
        <v>0</v>
      </c>
      <c r="AA211" s="35" t="n">
        <f aca="false">Z211</f>
        <v>0</v>
      </c>
      <c r="AB211" s="35" t="n">
        <f aca="false">AA211</f>
        <v>0</v>
      </c>
      <c r="AC211" s="35" t="n">
        <f aca="false">AB211</f>
        <v>0</v>
      </c>
    </row>
    <row r="212" customFormat="false" ht="11.25" hidden="false" customHeight="false" outlineLevel="0" collapsed="false">
      <c r="A212" s="35" t="str">
        <f aca="false">A428</f>
        <v>Treasury Stock</v>
      </c>
      <c r="C212" s="172"/>
      <c r="D212" s="172"/>
      <c r="E212" s="417" t="n">
        <f aca="false">E428</f>
        <v>0</v>
      </c>
      <c r="F212" s="417" t="n">
        <f aca="false">F428</f>
        <v>0</v>
      </c>
      <c r="G212" s="417" t="n">
        <f aca="false">G428</f>
        <v>0</v>
      </c>
      <c r="H212" s="418" t="n">
        <f aca="false">N428</f>
        <v>0</v>
      </c>
      <c r="I212" s="417" t="n">
        <f aca="false">H212-I535</f>
        <v>0</v>
      </c>
      <c r="J212" s="417" t="n">
        <f aca="false">I212-J535</f>
        <v>0</v>
      </c>
      <c r="K212" s="417" t="n">
        <f aca="false">J212-K535</f>
        <v>0</v>
      </c>
      <c r="L212" s="417" t="n">
        <f aca="false">K212-L535</f>
        <v>0</v>
      </c>
      <c r="M212" s="417" t="n">
        <f aca="false">L212-M535</f>
        <v>0</v>
      </c>
      <c r="N212" s="417" t="n">
        <f aca="false">M212-N535</f>
        <v>0</v>
      </c>
      <c r="O212" s="417" t="n">
        <f aca="false">N212-O535</f>
        <v>0</v>
      </c>
      <c r="P212" s="417" t="n">
        <f aca="false">O212-P535</f>
        <v>0</v>
      </c>
      <c r="Q212" s="417" t="n">
        <f aca="false">P212-Q535</f>
        <v>0</v>
      </c>
      <c r="R212" s="417" t="n">
        <f aca="false">Q212-R535</f>
        <v>0</v>
      </c>
      <c r="S212" s="417" t="n">
        <f aca="false">R212-S535</f>
        <v>0</v>
      </c>
      <c r="T212" s="417" t="n">
        <f aca="false">S212-T535</f>
        <v>0</v>
      </c>
      <c r="U212" s="417" t="n">
        <f aca="false">T212-U535</f>
        <v>0</v>
      </c>
      <c r="V212" s="417" t="n">
        <f aca="false">U212-V535</f>
        <v>0</v>
      </c>
      <c r="W212" s="417" t="n">
        <f aca="false">V212-W535</f>
        <v>0</v>
      </c>
      <c r="X212" s="417" t="n">
        <f aca="false">W212-X535</f>
        <v>0</v>
      </c>
      <c r="Y212" s="417" t="n">
        <f aca="false">X212-Y535</f>
        <v>0</v>
      </c>
      <c r="Z212" s="417" t="n">
        <f aca="false">Y212-Z535</f>
        <v>0</v>
      </c>
      <c r="AA212" s="417" t="n">
        <f aca="false">Z212-AA535</f>
        <v>0</v>
      </c>
      <c r="AB212" s="417" t="n">
        <f aca="false">AA212-AB535</f>
        <v>0</v>
      </c>
      <c r="AC212" s="417" t="n">
        <f aca="false">AB212-AC535</f>
        <v>0</v>
      </c>
    </row>
    <row r="213" customFormat="false" ht="11.25" hidden="false" customHeight="false" outlineLevel="0" collapsed="false">
      <c r="A213" s="35" t="str">
        <f aca="false">A429</f>
        <v>Retained Earnings</v>
      </c>
      <c r="C213" s="172"/>
      <c r="D213" s="172"/>
      <c r="E213" s="417" t="n">
        <f aca="false">E429</f>
        <v>0</v>
      </c>
      <c r="F213" s="417" t="n">
        <f aca="false">F429</f>
        <v>0</v>
      </c>
      <c r="G213" s="417" t="n">
        <f aca="false">G429</f>
        <v>0</v>
      </c>
      <c r="H213" s="418" t="n">
        <f aca="false">N429</f>
        <v>0</v>
      </c>
      <c r="I213" s="417" t="e">
        <f aca="false">H213+H215+I107</f>
        <v>#VALUE!</v>
      </c>
      <c r="J213" s="417" t="e">
        <f aca="false">I213+I215+J107</f>
        <v>#VALUE!</v>
      </c>
      <c r="K213" s="417" t="e">
        <f aca="false">J213+J215+K107</f>
        <v>#VALUE!</v>
      </c>
      <c r="L213" s="417" t="e">
        <f aca="false">K213+K215+L107</f>
        <v>#VALUE!</v>
      </c>
      <c r="M213" s="417" t="e">
        <f aca="false">L213+L215+M107</f>
        <v>#VALUE!</v>
      </c>
      <c r="N213" s="417" t="e">
        <f aca="false">M213+M215+N107</f>
        <v>#VALUE!</v>
      </c>
      <c r="O213" s="417" t="e">
        <f aca="false">N213+N215+O107</f>
        <v>#VALUE!</v>
      </c>
      <c r="P213" s="417" t="e">
        <f aca="false">O213+O215+P107</f>
        <v>#VALUE!</v>
      </c>
      <c r="Q213" s="417" t="e">
        <f aca="false">P213+P215+Q107</f>
        <v>#VALUE!</v>
      </c>
      <c r="R213" s="417" t="e">
        <f aca="false">Q213+Q215+R107</f>
        <v>#VALUE!</v>
      </c>
      <c r="S213" s="417" t="e">
        <f aca="false">R213+R215+S107</f>
        <v>#VALUE!</v>
      </c>
      <c r="T213" s="417" t="e">
        <f aca="false">S213+S215+T107</f>
        <v>#VALUE!</v>
      </c>
      <c r="U213" s="417" t="e">
        <f aca="false">T213+T215+U107</f>
        <v>#VALUE!</v>
      </c>
      <c r="V213" s="417" t="e">
        <f aca="false">U213+U215+V107</f>
        <v>#VALUE!</v>
      </c>
      <c r="W213" s="417" t="e">
        <f aca="false">V213+V215+W107</f>
        <v>#VALUE!</v>
      </c>
      <c r="X213" s="417" t="e">
        <f aca="false">W213+W215+X107</f>
        <v>#VALUE!</v>
      </c>
      <c r="Y213" s="417" t="e">
        <f aca="false">X213+X215+Y107</f>
        <v>#VALUE!</v>
      </c>
      <c r="Z213" s="417" t="e">
        <f aca="false">Y213+Y215+Z107</f>
        <v>#VALUE!</v>
      </c>
      <c r="AA213" s="417" t="e">
        <f aca="false">Z213+Z215+AA107</f>
        <v>#VALUE!</v>
      </c>
      <c r="AB213" s="417" t="e">
        <f aca="false">AA213+AA215+AB107</f>
        <v>#VALUE!</v>
      </c>
      <c r="AC213" s="417" t="e">
        <f aca="false">AB213+AB215+AC107</f>
        <v>#VALUE!</v>
      </c>
    </row>
    <row r="214" customFormat="false" ht="11.25" hidden="false" customHeight="false" outlineLevel="0" collapsed="false">
      <c r="A214" s="35" t="str">
        <f aca="false">A431</f>
        <v>Contra Account</v>
      </c>
      <c r="E214" s="417" t="n">
        <f aca="false">E431</f>
        <v>0</v>
      </c>
      <c r="F214" s="417" t="n">
        <f aca="false">F431</f>
        <v>0</v>
      </c>
      <c r="G214" s="417" t="n">
        <f aca="false">G431</f>
        <v>0</v>
      </c>
      <c r="H214" s="418" t="n">
        <f aca="false">N431</f>
        <v>0</v>
      </c>
      <c r="I214" s="35" t="n">
        <f aca="false">H214+I135</f>
        <v>0</v>
      </c>
      <c r="J214" s="35" t="n">
        <f aca="false">I214+J135</f>
        <v>0</v>
      </c>
      <c r="K214" s="35" t="n">
        <f aca="false">J214+K135</f>
        <v>0</v>
      </c>
      <c r="L214" s="35" t="n">
        <f aca="false">K214+L135</f>
        <v>0</v>
      </c>
      <c r="M214" s="35" t="n">
        <f aca="false">L214+M135</f>
        <v>0</v>
      </c>
      <c r="N214" s="35" t="n">
        <f aca="false">M214+N135</f>
        <v>0</v>
      </c>
      <c r="O214" s="35" t="n">
        <f aca="false">N214+O135</f>
        <v>0</v>
      </c>
      <c r="P214" s="35" t="n">
        <f aca="false">O214+P135</f>
        <v>0</v>
      </c>
      <c r="Q214" s="35" t="n">
        <f aca="false">P214+Q135</f>
        <v>0</v>
      </c>
      <c r="R214" s="35" t="n">
        <f aca="false">Q214+R135</f>
        <v>0</v>
      </c>
      <c r="S214" s="35" t="n">
        <f aca="false">R214+S135</f>
        <v>0</v>
      </c>
      <c r="T214" s="35" t="n">
        <f aca="false">S214+T135</f>
        <v>0</v>
      </c>
      <c r="U214" s="35" t="n">
        <f aca="false">T214+U135</f>
        <v>0</v>
      </c>
      <c r="V214" s="35" t="n">
        <f aca="false">U214+V135</f>
        <v>0</v>
      </c>
      <c r="W214" s="35" t="n">
        <f aca="false">V214+W135</f>
        <v>0</v>
      </c>
      <c r="X214" s="35" t="n">
        <f aca="false">W214+X135</f>
        <v>0</v>
      </c>
      <c r="Y214" s="35" t="n">
        <f aca="false">X214+Y135</f>
        <v>0</v>
      </c>
      <c r="Z214" s="35" t="n">
        <f aca="false">Y214+Z135</f>
        <v>0</v>
      </c>
      <c r="AA214" s="35" t="n">
        <f aca="false">Z214+AA135</f>
        <v>0</v>
      </c>
      <c r="AB214" s="35" t="n">
        <f aca="false">AA214+AB135</f>
        <v>0</v>
      </c>
      <c r="AC214" s="35" t="n">
        <f aca="false">AB214+AC135</f>
        <v>0</v>
      </c>
    </row>
    <row r="215" customFormat="false" ht="11.25" hidden="false" customHeight="false" outlineLevel="0" collapsed="false">
      <c r="A215" s="35" t="str">
        <f aca="false">A430</f>
        <v>Preferred and Common Dividends</v>
      </c>
      <c r="E215" s="417" t="n">
        <f aca="false">E430</f>
        <v>0</v>
      </c>
      <c r="F215" s="417" t="n">
        <f aca="false">F430</f>
        <v>0</v>
      </c>
      <c r="G215" s="417" t="n">
        <f aca="false">G430</f>
        <v>0</v>
      </c>
      <c r="H215" s="418" t="n">
        <f aca="false">N430</f>
        <v>0</v>
      </c>
      <c r="I215" s="417" t="e">
        <f aca="false">-I109-I112</f>
        <v>#VALUE!</v>
      </c>
      <c r="J215" s="417" t="e">
        <f aca="false">-J109-J112</f>
        <v>#VALUE!</v>
      </c>
      <c r="K215" s="417" t="e">
        <f aca="false">-K109-K112</f>
        <v>#VALUE!</v>
      </c>
      <c r="L215" s="417" t="e">
        <f aca="false">-L109-L112</f>
        <v>#VALUE!</v>
      </c>
      <c r="M215" s="417" t="e">
        <f aca="false">-M109-M112</f>
        <v>#VALUE!</v>
      </c>
      <c r="N215" s="417" t="e">
        <f aca="false">-N109-N112</f>
        <v>#VALUE!</v>
      </c>
      <c r="O215" s="417" t="e">
        <f aca="false">-O109-O112</f>
        <v>#VALUE!</v>
      </c>
      <c r="P215" s="417" t="e">
        <f aca="false">-P109-P112</f>
        <v>#VALUE!</v>
      </c>
      <c r="Q215" s="417" t="e">
        <f aca="false">-Q109-Q112</f>
        <v>#VALUE!</v>
      </c>
      <c r="R215" s="417" t="e">
        <f aca="false">-R109-R112</f>
        <v>#VALUE!</v>
      </c>
      <c r="S215" s="417" t="e">
        <f aca="false">-S109-S112</f>
        <v>#VALUE!</v>
      </c>
      <c r="T215" s="417" t="e">
        <f aca="false">-T109-T112</f>
        <v>#VALUE!</v>
      </c>
      <c r="U215" s="417" t="e">
        <f aca="false">-U109-U112</f>
        <v>#VALUE!</v>
      </c>
      <c r="V215" s="417" t="e">
        <f aca="false">-V109-V112</f>
        <v>#VALUE!</v>
      </c>
      <c r="W215" s="417" t="e">
        <f aca="false">-W109-W112</f>
        <v>#VALUE!</v>
      </c>
      <c r="X215" s="417" t="e">
        <f aca="false">-X109-X112</f>
        <v>#VALUE!</v>
      </c>
      <c r="Y215" s="417" t="e">
        <f aca="false">-Y109-Y112</f>
        <v>#VALUE!</v>
      </c>
      <c r="Z215" s="417" t="e">
        <f aca="false">-Z109-Z112</f>
        <v>#VALUE!</v>
      </c>
      <c r="AA215" s="417" t="e">
        <f aca="false">-AA109-AA112</f>
        <v>#VALUE!</v>
      </c>
      <c r="AB215" s="417" t="e">
        <f aca="false">-AB109-AB112</f>
        <v>#VALUE!</v>
      </c>
      <c r="AC215" s="417" t="e">
        <f aca="false">-AC109-AC112</f>
        <v>#VALUE!</v>
      </c>
    </row>
    <row r="216" customFormat="false" ht="11.25" hidden="false" customHeight="false" outlineLevel="0" collapsed="false">
      <c r="A216" s="168" t="str">
        <f aca="false">A432</f>
        <v>Total Stockholders' Equity</v>
      </c>
      <c r="C216" s="417"/>
      <c r="D216" s="417"/>
      <c r="E216" s="419" t="n">
        <f aca="false">SUM(E208:E215)</f>
        <v>0</v>
      </c>
      <c r="F216" s="419" t="n">
        <f aca="false">SUM(F208:F215)</f>
        <v>0</v>
      </c>
      <c r="G216" s="419" t="n">
        <f aca="false">SUM(G208:G215)</f>
        <v>0</v>
      </c>
      <c r="H216" s="420" t="n">
        <f aca="false">SUM(H208:H215)</f>
        <v>0</v>
      </c>
      <c r="I216" s="419" t="e">
        <f aca="false">SUM(I208:I215)</f>
        <v>#VALUE!</v>
      </c>
      <c r="J216" s="419" t="e">
        <f aca="false">SUM(J208:J215)</f>
        <v>#VALUE!</v>
      </c>
      <c r="K216" s="419" t="e">
        <f aca="false">SUM(K208:K215)</f>
        <v>#VALUE!</v>
      </c>
      <c r="L216" s="419" t="e">
        <f aca="false">SUM(L208:L215)</f>
        <v>#VALUE!</v>
      </c>
      <c r="M216" s="419" t="e">
        <f aca="false">SUM(M208:M215)</f>
        <v>#VALUE!</v>
      </c>
      <c r="N216" s="419" t="e">
        <f aca="false">SUM(N208:N215)</f>
        <v>#VALUE!</v>
      </c>
      <c r="O216" s="419" t="e">
        <f aca="false">SUM(O208:O215)</f>
        <v>#VALUE!</v>
      </c>
      <c r="P216" s="419" t="e">
        <f aca="false">SUM(P208:P215)</f>
        <v>#VALUE!</v>
      </c>
      <c r="Q216" s="419" t="e">
        <f aca="false">SUM(Q208:Q215)</f>
        <v>#VALUE!</v>
      </c>
      <c r="R216" s="419" t="e">
        <f aca="false">SUM(R208:R215)</f>
        <v>#VALUE!</v>
      </c>
      <c r="S216" s="419" t="e">
        <f aca="false">SUM(S208:S215)</f>
        <v>#VALUE!</v>
      </c>
      <c r="T216" s="419" t="e">
        <f aca="false">SUM(T208:T215)</f>
        <v>#VALUE!</v>
      </c>
      <c r="U216" s="419" t="e">
        <f aca="false">SUM(U208:U215)</f>
        <v>#VALUE!</v>
      </c>
      <c r="V216" s="419" t="e">
        <f aca="false">SUM(V208:V215)</f>
        <v>#VALUE!</v>
      </c>
      <c r="W216" s="419" t="e">
        <f aca="false">SUM(W208:W215)</f>
        <v>#VALUE!</v>
      </c>
      <c r="X216" s="419" t="e">
        <f aca="false">SUM(X208:X215)</f>
        <v>#VALUE!</v>
      </c>
      <c r="Y216" s="419" t="e">
        <f aca="false">SUM(Y208:Y215)</f>
        <v>#VALUE!</v>
      </c>
      <c r="Z216" s="419" t="e">
        <f aca="false">SUM(Z208:Z215)</f>
        <v>#VALUE!</v>
      </c>
      <c r="AA216" s="419" t="e">
        <f aca="false">SUM(AA208:AA215)</f>
        <v>#VALUE!</v>
      </c>
      <c r="AB216" s="419" t="e">
        <f aca="false">SUM(AB208:AB215)</f>
        <v>#VALUE!</v>
      </c>
      <c r="AC216" s="419" t="e">
        <f aca="false">SUM(AC208:AC215)</f>
        <v>#VALUE!</v>
      </c>
    </row>
    <row r="217" customFormat="false" ht="12" hidden="false" customHeight="false" outlineLevel="0" collapsed="false">
      <c r="A217" s="168" t="str">
        <f aca="false">A433</f>
        <v>Total Liabilities &amp; Equity</v>
      </c>
      <c r="C217" s="417"/>
      <c r="D217" s="417"/>
      <c r="E217" s="425" t="n">
        <f aca="false">E206+E216</f>
        <v>0</v>
      </c>
      <c r="F217" s="425" t="n">
        <f aca="false">F206+F216</f>
        <v>0</v>
      </c>
      <c r="G217" s="425" t="n">
        <f aca="false">G206+G216</f>
        <v>0</v>
      </c>
      <c r="H217" s="426" t="n">
        <f aca="false">H206+H216</f>
        <v>0</v>
      </c>
      <c r="I217" s="425" t="e">
        <f aca="false">I206+I216</f>
        <v>#VALUE!</v>
      </c>
      <c r="J217" s="425" t="e">
        <f aca="false">J206+J216</f>
        <v>#VALUE!</v>
      </c>
      <c r="K217" s="425" t="e">
        <f aca="false">K206+K216</f>
        <v>#VALUE!</v>
      </c>
      <c r="L217" s="425" t="e">
        <f aca="false">L206+L216</f>
        <v>#VALUE!</v>
      </c>
      <c r="M217" s="425" t="e">
        <f aca="false">M206+M216</f>
        <v>#VALUE!</v>
      </c>
      <c r="N217" s="425" t="e">
        <f aca="false">N206+N216</f>
        <v>#VALUE!</v>
      </c>
      <c r="O217" s="425" t="e">
        <f aca="false">O206+O216</f>
        <v>#VALUE!</v>
      </c>
      <c r="P217" s="425" t="e">
        <f aca="false">P206+P216</f>
        <v>#VALUE!</v>
      </c>
      <c r="Q217" s="425" t="e">
        <f aca="false">Q206+Q216</f>
        <v>#VALUE!</v>
      </c>
      <c r="R217" s="425" t="e">
        <f aca="false">R206+R216</f>
        <v>#VALUE!</v>
      </c>
      <c r="S217" s="425" t="e">
        <f aca="false">S206+S216</f>
        <v>#VALUE!</v>
      </c>
      <c r="T217" s="425" t="e">
        <f aca="false">T206+T216</f>
        <v>#VALUE!</v>
      </c>
      <c r="U217" s="425" t="e">
        <f aca="false">U206+U216</f>
        <v>#VALUE!</v>
      </c>
      <c r="V217" s="425" t="e">
        <f aca="false">V206+V216</f>
        <v>#VALUE!</v>
      </c>
      <c r="W217" s="425" t="e">
        <f aca="false">W206+W216</f>
        <v>#VALUE!</v>
      </c>
      <c r="X217" s="425" t="e">
        <f aca="false">X206+X216</f>
        <v>#VALUE!</v>
      </c>
      <c r="Y217" s="425" t="e">
        <f aca="false">Y206+Y216</f>
        <v>#VALUE!</v>
      </c>
      <c r="Z217" s="425" t="e">
        <f aca="false">Z206+Z216</f>
        <v>#VALUE!</v>
      </c>
      <c r="AA217" s="425" t="e">
        <f aca="false">AA206+AA216</f>
        <v>#VALUE!</v>
      </c>
      <c r="AB217" s="425" t="e">
        <f aca="false">AB206+AB216</f>
        <v>#VALUE!</v>
      </c>
      <c r="AC217" s="425" t="e">
        <f aca="false">AC206+AC216</f>
        <v>#VALUE!</v>
      </c>
    </row>
    <row r="218" customFormat="false" ht="12" hidden="false" customHeight="false" outlineLevel="0" collapsed="false">
      <c r="C218" s="417"/>
      <c r="D218" s="417"/>
      <c r="E218" s="417"/>
      <c r="F218" s="417"/>
      <c r="G218" s="417"/>
      <c r="H218" s="417"/>
      <c r="I218" s="67"/>
      <c r="J218" s="151"/>
      <c r="K218" s="67"/>
      <c r="L218" s="67"/>
      <c r="M218" s="67"/>
      <c r="N218" s="417"/>
      <c r="O218" s="417"/>
      <c r="P218" s="417"/>
      <c r="Q218" s="417"/>
      <c r="R218" s="417"/>
      <c r="S218" s="417"/>
      <c r="T218" s="417"/>
      <c r="U218" s="417"/>
      <c r="V218" s="417"/>
      <c r="W218" s="417"/>
      <c r="X218" s="417"/>
      <c r="Y218" s="417"/>
      <c r="Z218" s="417"/>
      <c r="AA218" s="417"/>
      <c r="AB218" s="417"/>
      <c r="AC218" s="417"/>
    </row>
    <row r="219" customFormat="false" ht="11.25" hidden="false" customHeight="false" outlineLevel="0" collapsed="false">
      <c r="A219" s="307" t="s">
        <v>703</v>
      </c>
      <c r="C219" s="417"/>
      <c r="D219" s="417"/>
      <c r="E219" s="433" t="n">
        <f aca="false">E189-E217</f>
        <v>0</v>
      </c>
      <c r="F219" s="433" t="n">
        <f aca="false">F189-F217</f>
        <v>0</v>
      </c>
      <c r="G219" s="433" t="n">
        <f aca="false">G189-G217</f>
        <v>0</v>
      </c>
      <c r="H219" s="433" t="n">
        <f aca="false">H189-H217</f>
        <v>0</v>
      </c>
      <c r="I219" s="433" t="e">
        <f aca="false">I189-I217</f>
        <v>#VALUE!</v>
      </c>
      <c r="J219" s="433" t="e">
        <f aca="false">J189-J217</f>
        <v>#VALUE!</v>
      </c>
      <c r="K219" s="433" t="e">
        <f aca="false">K189-K217</f>
        <v>#VALUE!</v>
      </c>
      <c r="L219" s="433" t="e">
        <f aca="false">L189-L217</f>
        <v>#VALUE!</v>
      </c>
      <c r="M219" s="433" t="e">
        <f aca="false">M189-M217</f>
        <v>#VALUE!</v>
      </c>
      <c r="N219" s="433" t="e">
        <f aca="false">N189-N217</f>
        <v>#VALUE!</v>
      </c>
      <c r="O219" s="433" t="e">
        <f aca="false">O189-O217</f>
        <v>#VALUE!</v>
      </c>
      <c r="P219" s="433" t="e">
        <f aca="false">P189-P217</f>
        <v>#VALUE!</v>
      </c>
      <c r="Q219" s="433" t="e">
        <f aca="false">Q189-Q217</f>
        <v>#VALUE!</v>
      </c>
      <c r="R219" s="433" t="e">
        <f aca="false">R189-R217</f>
        <v>#VALUE!</v>
      </c>
      <c r="S219" s="433" t="e">
        <f aca="false">S189-S217</f>
        <v>#VALUE!</v>
      </c>
      <c r="T219" s="433" t="e">
        <f aca="false">T189-T217</f>
        <v>#VALUE!</v>
      </c>
      <c r="U219" s="433" t="e">
        <f aca="false">U189-U217</f>
        <v>#VALUE!</v>
      </c>
      <c r="V219" s="433" t="e">
        <f aca="false">V189-V217</f>
        <v>#VALUE!</v>
      </c>
      <c r="W219" s="433" t="e">
        <f aca="false">W189-W217</f>
        <v>#VALUE!</v>
      </c>
      <c r="X219" s="433" t="e">
        <f aca="false">X189-X217</f>
        <v>#VALUE!</v>
      </c>
      <c r="Y219" s="433" t="e">
        <f aca="false">Y189-Y217</f>
        <v>#VALUE!</v>
      </c>
      <c r="Z219" s="433" t="e">
        <f aca="false">Z189-Z217</f>
        <v>#VALUE!</v>
      </c>
      <c r="AA219" s="433" t="e">
        <f aca="false">AA189-AA217</f>
        <v>#VALUE!</v>
      </c>
      <c r="AB219" s="433" t="e">
        <f aca="false">AB189-AB217</f>
        <v>#VALUE!</v>
      </c>
      <c r="AC219" s="433" t="e">
        <f aca="false">AC189-AC217</f>
        <v>#VALUE!</v>
      </c>
    </row>
    <row r="220" customFormat="false" ht="11.25" hidden="false" customHeight="false" outlineLevel="0" collapsed="false">
      <c r="A220" s="307"/>
      <c r="C220" s="417"/>
      <c r="D220" s="417"/>
      <c r="E220" s="417"/>
      <c r="F220" s="417"/>
      <c r="G220" s="417"/>
      <c r="H220" s="417"/>
      <c r="I220" s="417"/>
      <c r="J220" s="417"/>
      <c r="K220" s="417"/>
      <c r="L220" s="417"/>
      <c r="M220" s="417"/>
      <c r="N220" s="417"/>
      <c r="O220" s="417"/>
      <c r="P220" s="417"/>
      <c r="Q220" s="417"/>
      <c r="R220" s="417"/>
      <c r="S220" s="417"/>
      <c r="T220" s="417"/>
      <c r="U220" s="417"/>
      <c r="V220" s="417"/>
      <c r="W220" s="417"/>
      <c r="X220" s="417"/>
      <c r="Y220" s="417"/>
      <c r="Z220" s="417"/>
      <c r="AA220" s="417"/>
      <c r="AB220" s="417"/>
      <c r="AC220" s="417"/>
    </row>
    <row r="221" customFormat="false" ht="12" hidden="false" customHeight="false" outlineLevel="0" collapsed="false">
      <c r="A221" s="307"/>
      <c r="C221" s="417"/>
      <c r="D221" s="417"/>
      <c r="E221" s="417"/>
      <c r="F221" s="417"/>
      <c r="G221" s="417"/>
      <c r="H221" s="417"/>
      <c r="I221" s="417"/>
      <c r="J221" s="417"/>
      <c r="K221" s="417"/>
      <c r="L221" s="417"/>
      <c r="M221" s="417"/>
      <c r="N221" s="417"/>
      <c r="O221" s="417"/>
      <c r="P221" s="417"/>
      <c r="Q221" s="417"/>
      <c r="R221" s="417"/>
      <c r="S221" s="417"/>
      <c r="T221" s="417"/>
      <c r="U221" s="417"/>
      <c r="V221" s="417"/>
      <c r="W221" s="417"/>
      <c r="X221" s="417"/>
      <c r="Y221" s="417"/>
      <c r="Z221" s="417"/>
      <c r="AA221" s="417"/>
      <c r="AB221" s="417"/>
      <c r="AC221" s="417"/>
    </row>
    <row r="222" customFormat="false" ht="12.75" hidden="false" customHeight="false" outlineLevel="0" collapsed="false">
      <c r="G222" s="417"/>
      <c r="H222" s="81" t="str">
        <f aca="false">$H$579&amp;"/"&amp;TEXT($H$580,"0")</f>
        <v>6 M/1999</v>
      </c>
      <c r="I222" s="81" t="str">
        <f aca="false">$I$579&amp;"/"&amp;TEXT($I$580,"0")</f>
        <v>6 M/1999</v>
      </c>
      <c r="J222" s="434" t="n">
        <f aca="false">J580</f>
        <v>2000</v>
      </c>
      <c r="K222" s="434" t="n">
        <f aca="false">K580</f>
        <v>2001</v>
      </c>
      <c r="L222" s="434" t="n">
        <f aca="false">L580</f>
        <v>2002</v>
      </c>
      <c r="M222" s="434" t="n">
        <f aca="false">M580</f>
        <v>2003</v>
      </c>
      <c r="N222" s="434" t="n">
        <f aca="false">N580</f>
        <v>2004</v>
      </c>
      <c r="O222" s="434" t="n">
        <f aca="false">O580</f>
        <v>2005</v>
      </c>
      <c r="P222" s="434" t="n">
        <f aca="false">P580</f>
        <v>2006</v>
      </c>
      <c r="Q222" s="434" t="n">
        <f aca="false">Q580</f>
        <v>2007</v>
      </c>
      <c r="R222" s="434" t="n">
        <f aca="false">R580</f>
        <v>2008</v>
      </c>
      <c r="S222" s="434" t="n">
        <f aca="false">S580</f>
        <v>2009</v>
      </c>
      <c r="T222" s="434" t="n">
        <f aca="false">T580</f>
        <v>2010</v>
      </c>
      <c r="U222" s="434" t="n">
        <f aca="false">U580</f>
        <v>2011</v>
      </c>
      <c r="V222" s="434" t="n">
        <f aca="false">V580</f>
        <v>2012</v>
      </c>
      <c r="W222" s="434" t="n">
        <f aca="false">W580</f>
        <v>2013</v>
      </c>
      <c r="X222" s="434" t="n">
        <f aca="false">X580</f>
        <v>2014</v>
      </c>
      <c r="Y222" s="434" t="n">
        <f aca="false">Y580</f>
        <v>2015</v>
      </c>
      <c r="Z222" s="434" t="n">
        <f aca="false">Z580</f>
        <v>2016</v>
      </c>
      <c r="AA222" s="434" t="n">
        <f aca="false">AA580</f>
        <v>2017</v>
      </c>
      <c r="AB222" s="434" t="n">
        <f aca="false">AB580</f>
        <v>2018</v>
      </c>
      <c r="AC222" s="434" t="n">
        <f aca="false">AC580</f>
        <v>2019</v>
      </c>
    </row>
    <row r="223" customFormat="false" ht="12" hidden="false" customHeight="false" outlineLevel="0" collapsed="false">
      <c r="A223" s="153" t="s">
        <v>704</v>
      </c>
      <c r="D223" s="260"/>
      <c r="H223" s="67"/>
      <c r="I223" s="67"/>
      <c r="J223" s="67"/>
      <c r="K223" s="67"/>
      <c r="L223" s="67"/>
      <c r="M223" s="67"/>
      <c r="N223" s="67"/>
      <c r="O223" s="67"/>
      <c r="P223" s="67"/>
      <c r="Q223" s="67"/>
      <c r="R223" s="67"/>
      <c r="S223" s="67"/>
      <c r="T223" s="67"/>
      <c r="U223" s="67"/>
      <c r="V223" s="67"/>
      <c r="W223" s="67"/>
      <c r="X223" s="67"/>
      <c r="Y223" s="67"/>
      <c r="Z223" s="67"/>
      <c r="AA223" s="67"/>
      <c r="AB223" s="67"/>
      <c r="AC223" s="67"/>
    </row>
    <row r="224" customFormat="false" ht="11.25" hidden="false" customHeight="false" outlineLevel="0" collapsed="false">
      <c r="A224" s="307" t="s">
        <v>705</v>
      </c>
      <c r="C224" s="43" t="s">
        <v>706</v>
      </c>
      <c r="F224" s="67"/>
      <c r="G224" s="417"/>
      <c r="H224" s="418" t="n">
        <v>0</v>
      </c>
      <c r="I224" s="417" t="n">
        <f aca="false">H227</f>
        <v>0</v>
      </c>
      <c r="J224" s="417" t="e">
        <f aca="false">I227</f>
        <v>#VALUE!</v>
      </c>
      <c r="K224" s="417" t="e">
        <f aca="false">J227</f>
        <v>#N/A</v>
      </c>
      <c r="L224" s="417" t="e">
        <f aca="false">K227</f>
        <v>#N/A</v>
      </c>
      <c r="M224" s="417" t="e">
        <f aca="false">L227</f>
        <v>#N/A</v>
      </c>
      <c r="N224" s="417" t="e">
        <f aca="false">M227</f>
        <v>#N/A</v>
      </c>
      <c r="O224" s="417" t="e">
        <f aca="false">N227</f>
        <v>#N/A</v>
      </c>
      <c r="P224" s="417" t="e">
        <f aca="false">O227</f>
        <v>#N/A</v>
      </c>
      <c r="Q224" s="417" t="e">
        <f aca="false">P227</f>
        <v>#N/A</v>
      </c>
      <c r="R224" s="417" t="e">
        <f aca="false">Q227</f>
        <v>#N/A</v>
      </c>
      <c r="S224" s="417" t="e">
        <f aca="false">R227</f>
        <v>#N/A</v>
      </c>
      <c r="T224" s="417" t="e">
        <f aca="false">S227</f>
        <v>#N/A</v>
      </c>
      <c r="U224" s="417" t="e">
        <f aca="false">T227</f>
        <v>#N/A</v>
      </c>
      <c r="V224" s="417" t="e">
        <f aca="false">U227</f>
        <v>#N/A</v>
      </c>
      <c r="W224" s="417" t="e">
        <f aca="false">V227</f>
        <v>#N/A</v>
      </c>
      <c r="X224" s="417" t="e">
        <f aca="false">W227</f>
        <v>#N/A</v>
      </c>
      <c r="Y224" s="417" t="e">
        <f aca="false">X227</f>
        <v>#N/A</v>
      </c>
      <c r="Z224" s="417" t="e">
        <f aca="false">Y227</f>
        <v>#N/A</v>
      </c>
      <c r="AA224" s="417" t="e">
        <f aca="false">Z227</f>
        <v>#N/A</v>
      </c>
      <c r="AB224" s="417" t="e">
        <f aca="false">AA227</f>
        <v>#N/A</v>
      </c>
      <c r="AC224" s="417" t="e">
        <f aca="false">AB227</f>
        <v>#N/A</v>
      </c>
      <c r="AD224" s="67"/>
      <c r="AE224" s="67"/>
      <c r="AF224" s="67"/>
      <c r="AG224" s="67"/>
    </row>
    <row r="225" customFormat="false" ht="11.25" hidden="false" customHeight="false" outlineLevel="0" collapsed="false">
      <c r="C225" s="43" t="s">
        <v>707</v>
      </c>
      <c r="F225" s="67"/>
      <c r="G225" s="417"/>
      <c r="H225" s="418" t="n">
        <v>0</v>
      </c>
      <c r="I225" s="417" t="e">
        <f aca="false">IF(I142+I154+I156+(I162+I163-I450)&lt;=0,I142+I154+I156+(I162+I163-I450),0)</f>
        <v>#VALUE!</v>
      </c>
      <c r="J225" s="417" t="e">
        <f aca="false">IF(J142+J154+J156+(J162+J163-J450)&lt;=0,J142+J154+J156+(J162+J163-J450),0)</f>
        <v>#N/A</v>
      </c>
      <c r="K225" s="417" t="e">
        <f aca="false">IF(K142+K154+K156+(K162+K163-K450)&lt;=0,K142+K154+K156+(K162+K163-K450),0)</f>
        <v>#N/A</v>
      </c>
      <c r="L225" s="417" t="e">
        <f aca="false">IF(L142+L154+L156+(L162+L163-L450)&lt;=0,L142+L154+L156+(L162+L163-L450),0)</f>
        <v>#N/A</v>
      </c>
      <c r="M225" s="417" t="e">
        <f aca="false">IF(M142+M154+M156+(M162+M163-M450)&lt;=0,M142+M154+M156+(M162+M163-M450),0)</f>
        <v>#N/A</v>
      </c>
      <c r="N225" s="417" t="e">
        <f aca="false">IF(N142+N154+N156+(N162+N163-N450)&lt;=0,N142+N154+N156+(N162+N163-N450),0)</f>
        <v>#N/A</v>
      </c>
      <c r="O225" s="417" t="e">
        <f aca="false">IF(O142+O154+O156+(O162+O163-O450)&lt;=0,O142+O154+O156+(O162+O163-O450),0)</f>
        <v>#N/A</v>
      </c>
      <c r="P225" s="417" t="e">
        <f aca="false">IF(P142+P154+P156+(P162+P163-P450)&lt;=0,P142+P154+P156+(P162+P163-P450),0)</f>
        <v>#N/A</v>
      </c>
      <c r="Q225" s="417" t="e">
        <f aca="false">IF(Q142+Q154+Q156+(Q162+Q163-Q450)&lt;=0,Q142+Q154+Q156+(Q162+Q163-Q450),0)</f>
        <v>#N/A</v>
      </c>
      <c r="R225" s="417" t="e">
        <f aca="false">IF(R142+R154+R156+(R162+R163-R450)&lt;=0,R142+R154+R156+(R162+R163-R450),0)</f>
        <v>#N/A</v>
      </c>
      <c r="S225" s="417" t="e">
        <f aca="false">IF(S142+S154+S156+(S162+S163-S450)&lt;=0,S142+S154+S156+(S162+S163-S450),0)</f>
        <v>#N/A</v>
      </c>
      <c r="T225" s="417" t="e">
        <f aca="false">IF(T142+T154+T156+(T162+T163-T450)&lt;=0,T142+T154+T156+(T162+T163-T450),0)</f>
        <v>#N/A</v>
      </c>
      <c r="U225" s="417" t="e">
        <f aca="false">IF(U142+U154+U156+(U162+U163-U450)&lt;=0,U142+U154+U156+(U162+U163-U450),0)</f>
        <v>#N/A</v>
      </c>
      <c r="V225" s="417" t="e">
        <f aca="false">IF(V142+V154+V156+(V162+V163-V450)&lt;=0,V142+V154+V156+(V162+V163-V450),0)</f>
        <v>#N/A</v>
      </c>
      <c r="W225" s="417" t="e">
        <f aca="false">IF(W142+W154+W156+(W162+W163-W450)&lt;=0,W142+W154+W156+(W162+W163-W450),0)</f>
        <v>#N/A</v>
      </c>
      <c r="X225" s="417" t="e">
        <f aca="false">IF(X142+X154+X156+(X162+X163-X450)&lt;=0,X142+X154+X156+(X162+X163-X450),0)</f>
        <v>#N/A</v>
      </c>
      <c r="Y225" s="417" t="e">
        <f aca="false">IF(Y142+Y154+Y156+(Y162+Y163-Y450)&lt;=0,Y142+Y154+Y156+(Y162+Y163-Y450),0)</f>
        <v>#N/A</v>
      </c>
      <c r="Z225" s="417" t="e">
        <f aca="false">IF(Z142+Z154+Z156+(Z162+Z163-Z450)&lt;=0,Z142+Z154+Z156+(Z162+Z163-Z450),0)</f>
        <v>#N/A</v>
      </c>
      <c r="AA225" s="417" t="e">
        <f aca="false">IF(AA142+AA154+AA156+(AA162+AA163-AA450)&lt;=0,AA142+AA154+AA156+(AA162+AA163-AA450),0)</f>
        <v>#N/A</v>
      </c>
      <c r="AB225" s="417" t="e">
        <f aca="false">IF(AB142+AB154+AB156+(AB162+AB163-AB450)&lt;=0,AB142+AB154+AB156+(AB162+AB163-AB450),0)</f>
        <v>#N/A</v>
      </c>
      <c r="AC225" s="417" t="e">
        <f aca="false">IF(AC142+AC154+AC156+(AC162+AC163-AC450)&lt;=0,AC142+AC154+AC156+(AC162+AC163-AC450),0)</f>
        <v>#N/A</v>
      </c>
      <c r="AD225" s="67"/>
      <c r="AE225" s="67"/>
      <c r="AF225" s="67"/>
      <c r="AG225" s="67"/>
    </row>
    <row r="226" customFormat="false" ht="11.25" hidden="false" customHeight="false" outlineLevel="0" collapsed="false">
      <c r="C226" s="43" t="s">
        <v>708</v>
      </c>
      <c r="F226" s="67"/>
      <c r="G226" s="417"/>
      <c r="H226" s="418" t="n">
        <v>0</v>
      </c>
      <c r="I226" s="417" t="e">
        <f aca="false">IF(I142+I154+I156&gt;0,MIN(I142+I154+I156,I224),0)</f>
        <v>#N/A</v>
      </c>
      <c r="J226" s="417" t="e">
        <f aca="false">IF(J142+J154+J156&gt;0,MIN(J142+J154+J156,J224),0)</f>
        <v>#N/A</v>
      </c>
      <c r="K226" s="417" t="e">
        <f aca="false">IF(K142+K154+K156&gt;0,MIN(K142+K154+K156,K224),0)</f>
        <v>#N/A</v>
      </c>
      <c r="L226" s="417" t="e">
        <f aca="false">IF(L142+L154+L156&gt;0,MIN(L142+L154+L156,L224),0)</f>
        <v>#N/A</v>
      </c>
      <c r="M226" s="417" t="e">
        <f aca="false">IF(M142+M154+M156&gt;0,MIN(M142+M154+M156,M224),0)</f>
        <v>#N/A</v>
      </c>
      <c r="N226" s="417" t="e">
        <f aca="false">IF(N142+N154+N156&gt;0,MIN(N142+N154+N156,N224),0)</f>
        <v>#N/A</v>
      </c>
      <c r="O226" s="417" t="e">
        <f aca="false">IF(O142+O154+O156&gt;0,MIN(O142+O154+O156,O224),0)</f>
        <v>#N/A</v>
      </c>
      <c r="P226" s="417" t="e">
        <f aca="false">IF(P142+P154+P156&gt;0,MIN(P142+P154+P156,P224),0)</f>
        <v>#N/A</v>
      </c>
      <c r="Q226" s="417" t="e">
        <f aca="false">IF(Q142+Q154+Q156&gt;0,MIN(Q142+Q154+Q156,Q224),0)</f>
        <v>#N/A</v>
      </c>
      <c r="R226" s="417" t="e">
        <f aca="false">IF(R142+R154+R156&gt;0,MIN(R142+R154+R156,R224),0)</f>
        <v>#N/A</v>
      </c>
      <c r="S226" s="417" t="e">
        <f aca="false">IF(S142+S154+S156&gt;0,MIN(S142+S154+S156,S224),0)</f>
        <v>#N/A</v>
      </c>
      <c r="T226" s="417" t="e">
        <f aca="false">IF(T142+T154+T156&gt;0,MIN(T142+T154+T156,T224),0)</f>
        <v>#N/A</v>
      </c>
      <c r="U226" s="417" t="e">
        <f aca="false">IF(U142+U154+U156&gt;0,MIN(U142+U154+U156,U224),0)</f>
        <v>#N/A</v>
      </c>
      <c r="V226" s="417" t="e">
        <f aca="false">IF(V142+V154+V156&gt;0,MIN(V142+V154+V156,V224),0)</f>
        <v>#N/A</v>
      </c>
      <c r="W226" s="417" t="e">
        <f aca="false">IF(W142+W154+W156&gt;0,MIN(W142+W154+W156,W224),0)</f>
        <v>#N/A</v>
      </c>
      <c r="X226" s="417" t="e">
        <f aca="false">IF(X142+X154+X156&gt;0,MIN(X142+X154+X156,X224),0)</f>
        <v>#N/A</v>
      </c>
      <c r="Y226" s="417" t="e">
        <f aca="false">IF(Y142+Y154+Y156&gt;0,MIN(Y142+Y154+Y156,Y224),0)</f>
        <v>#N/A</v>
      </c>
      <c r="Z226" s="417" t="e">
        <f aca="false">IF(Z142+Z154+Z156&gt;0,MIN(Z142+Z154+Z156,Z224),0)</f>
        <v>#N/A</v>
      </c>
      <c r="AA226" s="417" t="e">
        <f aca="false">IF(AA142+AA154+AA156&gt;0,MIN(AA142+AA154+AA156,AA224),0)</f>
        <v>#N/A</v>
      </c>
      <c r="AB226" s="417" t="e">
        <f aca="false">IF(AB142+AB154+AB156&gt;0,MIN(AB142+AB154+AB156,AB224),0)</f>
        <v>#N/A</v>
      </c>
      <c r="AC226" s="417" t="e">
        <f aca="false">IF(AC142+AC154+AC156&gt;0,MIN(AC142+AC154+AC156,AC224),0)</f>
        <v>#N/A</v>
      </c>
      <c r="AD226" s="67"/>
      <c r="AE226" s="67"/>
      <c r="AF226" s="67"/>
      <c r="AG226" s="67"/>
    </row>
    <row r="227" customFormat="false" ht="11.25" hidden="false" customHeight="false" outlineLevel="0" collapsed="false">
      <c r="C227" s="43" t="s">
        <v>709</v>
      </c>
      <c r="F227" s="67"/>
      <c r="G227" s="417"/>
      <c r="H227" s="420" t="n">
        <f aca="false">H224-H225-H226</f>
        <v>0</v>
      </c>
      <c r="I227" s="435" t="e">
        <f aca="false">I224-I225-I226</f>
        <v>#VALUE!</v>
      </c>
      <c r="J227" s="435" t="e">
        <f aca="false">J224-J225-J226</f>
        <v>#N/A</v>
      </c>
      <c r="K227" s="435" t="e">
        <f aca="false">K224-K225-K226</f>
        <v>#N/A</v>
      </c>
      <c r="L227" s="435" t="e">
        <f aca="false">L224-L225-L226</f>
        <v>#N/A</v>
      </c>
      <c r="M227" s="435" t="e">
        <f aca="false">M224-M225-M226</f>
        <v>#N/A</v>
      </c>
      <c r="N227" s="435" t="e">
        <f aca="false">N224-N225-N226</f>
        <v>#N/A</v>
      </c>
      <c r="O227" s="435" t="e">
        <f aca="false">O224-O225-O226</f>
        <v>#N/A</v>
      </c>
      <c r="P227" s="435" t="e">
        <f aca="false">P224-P225-P226</f>
        <v>#N/A</v>
      </c>
      <c r="Q227" s="435" t="e">
        <f aca="false">Q224-Q225-Q226</f>
        <v>#N/A</v>
      </c>
      <c r="R227" s="435" t="e">
        <f aca="false">R224-R225-R226</f>
        <v>#N/A</v>
      </c>
      <c r="S227" s="435" t="e">
        <f aca="false">S224-S225-S226</f>
        <v>#N/A</v>
      </c>
      <c r="T227" s="435" t="e">
        <f aca="false">T224-T225-T226</f>
        <v>#N/A</v>
      </c>
      <c r="U227" s="435" t="e">
        <f aca="false">U224-U225-U226</f>
        <v>#N/A</v>
      </c>
      <c r="V227" s="435" t="e">
        <f aca="false">V224-V225-V226</f>
        <v>#N/A</v>
      </c>
      <c r="W227" s="435" t="e">
        <f aca="false">W224-W225-W226</f>
        <v>#N/A</v>
      </c>
      <c r="X227" s="435" t="e">
        <f aca="false">X224-X225-X226</f>
        <v>#N/A</v>
      </c>
      <c r="Y227" s="435" t="e">
        <f aca="false">Y224-Y225-Y226</f>
        <v>#N/A</v>
      </c>
      <c r="Z227" s="435" t="e">
        <f aca="false">Z224-Z225-Z226</f>
        <v>#N/A</v>
      </c>
      <c r="AA227" s="435" t="e">
        <f aca="false">AA224-AA225-AA226</f>
        <v>#N/A</v>
      </c>
      <c r="AB227" s="435" t="e">
        <f aca="false">AB224-AB225-AB226</f>
        <v>#N/A</v>
      </c>
      <c r="AC227" s="435" t="e">
        <f aca="false">AC224-AC225-AC226</f>
        <v>#N/A</v>
      </c>
      <c r="AD227" s="67"/>
      <c r="AE227" s="67"/>
      <c r="AF227" s="67"/>
      <c r="AG227" s="67"/>
    </row>
    <row r="228" customFormat="false" ht="11.25" hidden="false" customHeight="false" outlineLevel="0" collapsed="false">
      <c r="C228" s="43" t="s">
        <v>710</v>
      </c>
      <c r="F228" s="67"/>
      <c r="H228" s="421"/>
      <c r="I228" s="370" t="n">
        <f aca="false">I559</f>
        <v>0.09</v>
      </c>
      <c r="J228" s="370" t="n">
        <f aca="false">J559</f>
        <v>0.09</v>
      </c>
      <c r="K228" s="370" t="n">
        <f aca="false">K559</f>
        <v>0.09</v>
      </c>
      <c r="L228" s="370" t="n">
        <f aca="false">L559</f>
        <v>0.09</v>
      </c>
      <c r="M228" s="370" t="n">
        <f aca="false">M559</f>
        <v>0.09</v>
      </c>
      <c r="N228" s="370" t="n">
        <f aca="false">N559</f>
        <v>0.09</v>
      </c>
      <c r="O228" s="370" t="n">
        <f aca="false">O559</f>
        <v>0.09</v>
      </c>
      <c r="P228" s="370" t="n">
        <f aca="false">P559</f>
        <v>0.09</v>
      </c>
      <c r="Q228" s="370" t="n">
        <f aca="false">Q559</f>
        <v>0.09</v>
      </c>
      <c r="R228" s="370" t="n">
        <f aca="false">R559</f>
        <v>0.09</v>
      </c>
      <c r="S228" s="370" t="n">
        <f aca="false">S559</f>
        <v>0.09</v>
      </c>
      <c r="T228" s="370" t="n">
        <f aca="false">T559</f>
        <v>0.09</v>
      </c>
      <c r="U228" s="370" t="n">
        <f aca="false">U559</f>
        <v>0.09</v>
      </c>
      <c r="V228" s="370" t="n">
        <f aca="false">V559</f>
        <v>0.09</v>
      </c>
      <c r="W228" s="370" t="n">
        <f aca="false">W559</f>
        <v>0.09</v>
      </c>
      <c r="X228" s="370" t="n">
        <f aca="false">X559</f>
        <v>0.09</v>
      </c>
      <c r="Y228" s="370" t="n">
        <f aca="false">Y559</f>
        <v>0.09</v>
      </c>
      <c r="Z228" s="370" t="n">
        <f aca="false">Z559</f>
        <v>0.09</v>
      </c>
      <c r="AA228" s="370" t="n">
        <f aca="false">AA559</f>
        <v>0.09</v>
      </c>
      <c r="AB228" s="370" t="n">
        <f aca="false">AB559</f>
        <v>0.09</v>
      </c>
      <c r="AC228" s="370" t="n">
        <f aca="false">AC559</f>
        <v>0.09</v>
      </c>
      <c r="AD228" s="67"/>
      <c r="AE228" s="67"/>
      <c r="AF228" s="67"/>
      <c r="AG228" s="67"/>
    </row>
    <row r="229" customFormat="false" ht="11.25" hidden="false" customHeight="false" outlineLevel="0" collapsed="false">
      <c r="F229" s="67"/>
      <c r="H229" s="421"/>
      <c r="AD229" s="67"/>
      <c r="AE229" s="67"/>
      <c r="AF229" s="67"/>
      <c r="AG229" s="67"/>
    </row>
    <row r="230" customFormat="false" ht="11.25" hidden="false" customHeight="false" outlineLevel="0" collapsed="false">
      <c r="A230" s="168" t="str">
        <f aca="false">B337&amp;":"</f>
        <v>Revolving Loan:</v>
      </c>
      <c r="C230" s="43" t="s">
        <v>706</v>
      </c>
      <c r="F230" s="67"/>
      <c r="H230" s="421" t="n">
        <f aca="false">$I$415+$I$411</f>
        <v>0</v>
      </c>
      <c r="I230" s="35" t="n">
        <f aca="false">H236</f>
        <v>0</v>
      </c>
      <c r="J230" s="35" t="e">
        <f aca="false">I236</f>
        <v>#VALUE!</v>
      </c>
      <c r="K230" s="35" t="e">
        <f aca="false">J236</f>
        <v>#VALUE!</v>
      </c>
      <c r="L230" s="35" t="e">
        <f aca="false">K236</f>
        <v>#VALUE!</v>
      </c>
      <c r="M230" s="35" t="e">
        <f aca="false">L236</f>
        <v>#VALUE!</v>
      </c>
      <c r="N230" s="35" t="e">
        <f aca="false">M236</f>
        <v>#VALUE!</v>
      </c>
      <c r="O230" s="35" t="e">
        <f aca="false">N236</f>
        <v>#VALUE!</v>
      </c>
      <c r="P230" s="35" t="e">
        <f aca="false">O236</f>
        <v>#VALUE!</v>
      </c>
      <c r="Q230" s="35" t="e">
        <f aca="false">P236</f>
        <v>#VALUE!</v>
      </c>
      <c r="R230" s="35" t="e">
        <f aca="false">Q236</f>
        <v>#VALUE!</v>
      </c>
      <c r="S230" s="35" t="e">
        <f aca="false">R236</f>
        <v>#VALUE!</v>
      </c>
      <c r="T230" s="35" t="e">
        <f aca="false">S236</f>
        <v>#VALUE!</v>
      </c>
      <c r="U230" s="35" t="e">
        <f aca="false">T236</f>
        <v>#VALUE!</v>
      </c>
      <c r="V230" s="35" t="e">
        <f aca="false">U236</f>
        <v>#VALUE!</v>
      </c>
      <c r="W230" s="35" t="e">
        <f aca="false">V236</f>
        <v>#VALUE!</v>
      </c>
      <c r="X230" s="35" t="e">
        <f aca="false">W236</f>
        <v>#VALUE!</v>
      </c>
      <c r="Y230" s="35" t="e">
        <f aca="false">X236</f>
        <v>#VALUE!</v>
      </c>
      <c r="Z230" s="35" t="e">
        <f aca="false">Y236</f>
        <v>#VALUE!</v>
      </c>
      <c r="AA230" s="35" t="e">
        <f aca="false">Z236</f>
        <v>#VALUE!</v>
      </c>
      <c r="AB230" s="35" t="e">
        <f aca="false">AA236</f>
        <v>#VALUE!</v>
      </c>
      <c r="AC230" s="35" t="e">
        <f aca="false">AB236</f>
        <v>#VALUE!</v>
      </c>
      <c r="AD230" s="67"/>
      <c r="AE230" s="67"/>
      <c r="AF230" s="67"/>
      <c r="AG230" s="67"/>
    </row>
    <row r="231" customFormat="false" ht="11.25" hidden="false" customHeight="false" outlineLevel="0" collapsed="false">
      <c r="C231" s="43" t="s">
        <v>711</v>
      </c>
      <c r="F231" s="67"/>
      <c r="H231" s="421" t="n">
        <f aca="false">-H337</f>
        <v>-0</v>
      </c>
      <c r="I231" s="35" t="n">
        <f aca="false">I482</f>
        <v>0</v>
      </c>
      <c r="J231" s="35" t="n">
        <f aca="false">J482</f>
        <v>0</v>
      </c>
      <c r="K231" s="35" t="n">
        <f aca="false">K482</f>
        <v>0</v>
      </c>
      <c r="L231" s="35" t="n">
        <f aca="false">L482</f>
        <v>0</v>
      </c>
      <c r="M231" s="35" t="n">
        <f aca="false">M482</f>
        <v>0</v>
      </c>
      <c r="N231" s="35" t="n">
        <f aca="false">N482</f>
        <v>0</v>
      </c>
      <c r="O231" s="35" t="n">
        <f aca="false">O482</f>
        <v>0</v>
      </c>
      <c r="P231" s="35" t="n">
        <f aca="false">P482</f>
        <v>0</v>
      </c>
      <c r="Q231" s="35" t="n">
        <f aca="false">Q482</f>
        <v>0</v>
      </c>
      <c r="R231" s="35" t="n">
        <f aca="false">R482</f>
        <v>0</v>
      </c>
      <c r="S231" s="35" t="n">
        <f aca="false">S482</f>
        <v>0</v>
      </c>
      <c r="T231" s="35" t="n">
        <f aca="false">T482</f>
        <v>0</v>
      </c>
      <c r="U231" s="35" t="n">
        <f aca="false">U482</f>
        <v>0</v>
      </c>
      <c r="V231" s="35" t="n">
        <f aca="false">V482</f>
        <v>0</v>
      </c>
      <c r="W231" s="35" t="n">
        <f aca="false">W482</f>
        <v>0</v>
      </c>
      <c r="X231" s="35" t="n">
        <f aca="false">X482</f>
        <v>0</v>
      </c>
      <c r="Y231" s="35" t="n">
        <f aca="false">Y482</f>
        <v>0</v>
      </c>
      <c r="Z231" s="35" t="n">
        <f aca="false">Z482</f>
        <v>0</v>
      </c>
      <c r="AA231" s="35" t="n">
        <f aca="false">AA482</f>
        <v>0</v>
      </c>
      <c r="AB231" s="35" t="n">
        <f aca="false">AB482</f>
        <v>0</v>
      </c>
      <c r="AC231" s="35" t="n">
        <f aca="false">AC482</f>
        <v>0</v>
      </c>
      <c r="AD231" s="67"/>
      <c r="AE231" s="67"/>
      <c r="AF231" s="67"/>
      <c r="AG231" s="67"/>
    </row>
    <row r="232" customFormat="false" ht="11.25" hidden="false" customHeight="false" outlineLevel="0" collapsed="false">
      <c r="C232" s="43" t="s">
        <v>712</v>
      </c>
      <c r="F232" s="67"/>
      <c r="G232" s="417"/>
      <c r="H232" s="421" t="n">
        <v>0</v>
      </c>
      <c r="I232" s="417" t="e">
        <f aca="false">IF(AND(I142+I154+(I162+I163-I450)&lt;=0,I239&gt;=I230-I231-I233),MAX(I142+I154+(I162+I163-I450),-(I239-I230+I231+I233)),0)</f>
        <v>#VALUE!</v>
      </c>
      <c r="J232" s="417" t="e">
        <f aca="false">IF(AND(J142+J154+(J162+J163-J450)&lt;=0,J239&gt;=J230-J231-J233),MAX(J142+J154+(J162+J163-J450),-(J239-J230+J231+J233)),0)</f>
        <v>#N/A</v>
      </c>
      <c r="K232" s="417" t="e">
        <f aca="false">IF(AND(K142+K154+(K162+K163-K450)&lt;=0,K239&gt;=K230-K231-K233),MAX(K142+K154+(K162+K163-K450),-(K239-K230+K231+K233)),0)</f>
        <v>#N/A</v>
      </c>
      <c r="L232" s="417" t="e">
        <f aca="false">IF(AND(L142+L154+(L162+L163-L450)&lt;=0,L239&gt;=L230-L231-L233),MAX(L142+L154+(L162+L163-L450),-(L239-L230+L231+L233)),0)</f>
        <v>#N/A</v>
      </c>
      <c r="M232" s="417" t="e">
        <f aca="false">IF(AND(M142+M154+(M162+M163-M450)&lt;=0,M239&gt;=M230-M231-M233),MAX(M142+M154+(M162+M163-M450),-(M239-M230+M231+M233)),0)</f>
        <v>#N/A</v>
      </c>
      <c r="N232" s="417" t="e">
        <f aca="false">IF(AND(N142+N154+(N162+N163-N450)&lt;=0,N239&gt;=N230-N231-N233),MAX(N142+N154+(N162+N163-N450),-(N239-N230+N231+N233)),0)</f>
        <v>#N/A</v>
      </c>
      <c r="O232" s="417" t="e">
        <f aca="false">IF(AND(O142+O154+(O162+O163-O450)&lt;=0,O239&gt;=O230-O231-O233),MAX(O142+O154+(O162+O163-O450),-(O239-O230+O231+O233)),0)</f>
        <v>#N/A</v>
      </c>
      <c r="P232" s="417" t="e">
        <f aca="false">IF(AND(P142+P154+(P162+P163-P450)&lt;=0,P239&gt;=P230-P231-P233),MAX(P142+P154+(P162+P163-P450),-(P239-P230+P231+P233)),0)</f>
        <v>#N/A</v>
      </c>
      <c r="Q232" s="417" t="e">
        <f aca="false">IF(AND(Q142+Q154+(Q162+Q163-Q450)&lt;=0,Q239&gt;=Q230-Q231-Q233),MAX(Q142+Q154+(Q162+Q163-Q450),-(Q239-Q230+Q231+Q233)),0)</f>
        <v>#N/A</v>
      </c>
      <c r="R232" s="417" t="e">
        <f aca="false">IF(AND(R142+R154+(R162+R163-R450)&lt;=0,R239&gt;=R230-R231-R233),MAX(R142+R154+(R162+R163-R450),-(R239-R230+R231+R233)),0)</f>
        <v>#N/A</v>
      </c>
      <c r="S232" s="417" t="e">
        <f aca="false">IF(AND(S142+S154+(S162+S163-S450)&lt;=0,S239&gt;=S230-S231-S233),MAX(S142+S154+(S162+S163-S450),-(S239-S230+S231+S233)),0)</f>
        <v>#N/A</v>
      </c>
      <c r="T232" s="417" t="e">
        <f aca="false">IF(AND(T142+T154+(T162+T163-T450)&lt;=0,T239&gt;=T230-T231-T233),MAX(T142+T154+(T162+T163-T450),-(T239-T230+T231+T233)),0)</f>
        <v>#N/A</v>
      </c>
      <c r="U232" s="417" t="e">
        <f aca="false">IF(AND(U142+U154+(U162+U163-U450)&lt;=0,U239&gt;=U230-U231-U233),MAX(U142+U154+(U162+U163-U450),-(U239-U230+U231+U233)),0)</f>
        <v>#N/A</v>
      </c>
      <c r="V232" s="417" t="e">
        <f aca="false">IF(AND(V142+V154+(V162+V163-V450)&lt;=0,V239&gt;=V230-V231-V233),MAX(V142+V154+(V162+V163-V450),-(V239-V230+V231+V233)),0)</f>
        <v>#N/A</v>
      </c>
      <c r="W232" s="417" t="e">
        <f aca="false">IF(AND(W142+W154+(W162+W163-W450)&lt;=0,W239&gt;=W230-W231-W233),MAX(W142+W154+(W162+W163-W450),-(W239-W230+W231+W233)),0)</f>
        <v>#N/A</v>
      </c>
      <c r="X232" s="417" t="e">
        <f aca="false">IF(AND(X142+X154+(X162+X163-X450)&lt;=0,X239&gt;=X230-X231-X233),MAX(X142+X154+(X162+X163-X450),-(X239-X230+X231+X233)),0)</f>
        <v>#N/A</v>
      </c>
      <c r="Y232" s="417" t="e">
        <f aca="false">IF(AND(Y142+Y154+(Y162+Y163-Y450)&lt;=0,Y239&gt;=Y230-Y231-Y233),MAX(Y142+Y154+(Y162+Y163-Y450),-(Y239-Y230+Y231+Y233)),0)</f>
        <v>#N/A</v>
      </c>
      <c r="Z232" s="417" t="e">
        <f aca="false">IF(AND(Z142+Z154+(Z162+Z163-Z450)&lt;=0,Z239&gt;=Z230-Z231-Z233),MAX(Z142+Z154+(Z162+Z163-Z450),-(Z239-Z230+Z231+Z233)),0)</f>
        <v>#N/A</v>
      </c>
      <c r="AA232" s="417" t="e">
        <f aca="false">IF(AND(AA142+AA154+(AA162+AA163-AA450)&lt;=0,AA239&gt;=AA230-AA231-AA233),MAX(AA142+AA154+(AA162+AA163-AA450),-(AA239-AA230+AA231+AA233)),0)</f>
        <v>#N/A</v>
      </c>
      <c r="AB232" s="417" t="e">
        <f aca="false">IF(AND(AB142+AB154+(AB162+AB163-AB450)&lt;=0,AB239&gt;=AB230-AB231-AB233),MAX(AB142+AB154+(AB162+AB163-AB450),-(AB239-AB230+AB231+AB233)),0)</f>
        <v>#N/A</v>
      </c>
      <c r="AC232" s="417" t="e">
        <f aca="false">IF(AND(AC142+AC154+(AC162+AC163-AC450)&lt;=0,AC239&gt;=AC230-AC231-AC233),MAX(AC142+AC154+(AC162+AC163-AC450),-(AC239-AC230+AC231+AC233)),0)</f>
        <v>#N/A</v>
      </c>
      <c r="AD232" s="67"/>
      <c r="AE232" s="67"/>
      <c r="AF232" s="67"/>
      <c r="AG232" s="67"/>
    </row>
    <row r="233" customFormat="false" ht="11.25" hidden="false" customHeight="false" outlineLevel="0" collapsed="false">
      <c r="C233" s="43" t="s">
        <v>713</v>
      </c>
      <c r="F233" s="67"/>
      <c r="H233" s="421" t="n">
        <v>0</v>
      </c>
      <c r="I233" s="35" t="e">
        <f aca="false">IF(I239=0,0,MIN(I481,I230-I231-I232))</f>
        <v>#N/A</v>
      </c>
      <c r="J233" s="35" t="e">
        <f aca="false">IF(J239=0,0,MIN(J481,J230-J231-J232))</f>
        <v>#N/A</v>
      </c>
      <c r="K233" s="35" t="e">
        <f aca="false">IF(K239=0,0,MIN(K481,K230-K231-K232))</f>
        <v>#N/A</v>
      </c>
      <c r="L233" s="35" t="e">
        <f aca="false">IF(L239=0,0,MIN(L481,L230-L231-L232))</f>
        <v>#N/A</v>
      </c>
      <c r="M233" s="35" t="e">
        <f aca="false">IF(M239=0,0,MIN(M481,M230-M231-M232))</f>
        <v>#N/A</v>
      </c>
      <c r="N233" s="35" t="e">
        <f aca="false">IF(N239=0,0,MIN(N481,N230-N231-N232))</f>
        <v>#N/A</v>
      </c>
      <c r="O233" s="35" t="e">
        <f aca="false">IF(O239=0,0,MIN(O481,O230-O231-O232))</f>
        <v>#N/A</v>
      </c>
      <c r="P233" s="35" t="e">
        <f aca="false">IF(P239=0,0,MIN(P481,P230-P231-P232))</f>
        <v>#N/A</v>
      </c>
      <c r="Q233" s="35" t="e">
        <f aca="false">IF(Q239=0,0,MIN(Q481,Q230-Q231-Q232))</f>
        <v>#N/A</v>
      </c>
      <c r="R233" s="35" t="e">
        <f aca="false">IF(R239=0,0,MIN(R481,R230-R231-R232))</f>
        <v>#N/A</v>
      </c>
      <c r="S233" s="35" t="e">
        <f aca="false">IF(S239=0,0,MIN(S481,S230-S231-S232))</f>
        <v>#N/A</v>
      </c>
      <c r="T233" s="35" t="e">
        <f aca="false">IF(T239=0,0,MIN(T481,T230-T231-T232))</f>
        <v>#N/A</v>
      </c>
      <c r="U233" s="35" t="e">
        <f aca="false">IF(U239=0,0,MIN(U481,U230-U231-U232))</f>
        <v>#N/A</v>
      </c>
      <c r="V233" s="35" t="e">
        <f aca="false">IF(V239=0,0,MIN(V481,V230-V231-V232))</f>
        <v>#N/A</v>
      </c>
      <c r="W233" s="35" t="e">
        <f aca="false">IF(W239=0,0,MIN(W481,W230-W231-W232))</f>
        <v>#N/A</v>
      </c>
      <c r="X233" s="35" t="e">
        <f aca="false">IF(X239=0,0,MIN(X481,X230-X231-X232))</f>
        <v>#N/A</v>
      </c>
      <c r="Y233" s="35" t="e">
        <f aca="false">IF(Y239=0,0,MIN(Y481,Y230-Y231-Y232))</f>
        <v>#N/A</v>
      </c>
      <c r="Z233" s="35" t="e">
        <f aca="false">IF(Z239=0,0,MIN(Z481,Z230-Z231-Z232))</f>
        <v>#N/A</v>
      </c>
      <c r="AA233" s="35" t="e">
        <f aca="false">IF(AA239=0,0,MIN(AA481,AA230-AA231-AA232))</f>
        <v>#N/A</v>
      </c>
      <c r="AB233" s="35" t="e">
        <f aca="false">IF(AB239=0,0,MIN(AB481,AB230-AB231-AB232))</f>
        <v>#N/A</v>
      </c>
      <c r="AC233" s="35" t="e">
        <f aca="false">IF(AC239=0,0,MIN(AC481,AC230-AC231-AC232))</f>
        <v>#N/A</v>
      </c>
      <c r="AD233" s="67"/>
      <c r="AE233" s="67"/>
      <c r="AF233" s="67"/>
      <c r="AG233" s="67"/>
    </row>
    <row r="234" customFormat="false" ht="11.25" hidden="false" customHeight="false" outlineLevel="0" collapsed="false">
      <c r="C234" s="43" t="s">
        <v>714</v>
      </c>
      <c r="F234" s="67"/>
      <c r="G234" s="417"/>
      <c r="H234" s="421" t="n">
        <v>0</v>
      </c>
      <c r="I234" s="417" t="e">
        <f aca="false">IF(I230-I231-I233&gt;I239,MIN(I230-I231-I233-I239,I230-I231),0)</f>
        <v>#N/A</v>
      </c>
      <c r="J234" s="417" t="e">
        <f aca="false">IF(J230-J231-J233&gt;J239,MIN(J230-J231-J233-J239,J230-J231),0)</f>
        <v>#VALUE!</v>
      </c>
      <c r="K234" s="417" t="e">
        <f aca="false">IF(K230-K231-K233&gt;K239,MIN(K230-K231-K233-K239,K230-K231),0)</f>
        <v>#VALUE!</v>
      </c>
      <c r="L234" s="417" t="e">
        <f aca="false">IF(L230-L231-L233&gt;L239,MIN(L230-L231-L233-L239,L230-L231),0)</f>
        <v>#VALUE!</v>
      </c>
      <c r="M234" s="417" t="e">
        <f aca="false">IF(M230-M231-M233&gt;M239,MIN(M230-M231-M233-M239,M230-M231),0)</f>
        <v>#VALUE!</v>
      </c>
      <c r="N234" s="417" t="e">
        <f aca="false">IF(N230-N231-N233&gt;N239,MIN(N230-N231-N233-N239,N230-N231),0)</f>
        <v>#VALUE!</v>
      </c>
      <c r="O234" s="417" t="e">
        <f aca="false">IF(O230-O231-O233&gt;O239,MIN(O230-O231-O233-O239,O230-O231),0)</f>
        <v>#VALUE!</v>
      </c>
      <c r="P234" s="417" t="e">
        <f aca="false">IF(P230-P231-P233&gt;P239,MIN(P230-P231-P233-P239,P230-P231),0)</f>
        <v>#VALUE!</v>
      </c>
      <c r="Q234" s="417" t="e">
        <f aca="false">IF(Q230-Q231-Q233&gt;Q239,MIN(Q230-Q231-Q233-Q239,Q230-Q231),0)</f>
        <v>#VALUE!</v>
      </c>
      <c r="R234" s="417" t="e">
        <f aca="false">IF(R230-R231-R233&gt;R239,MIN(R230-R231-R233-R239,R230-R231),0)</f>
        <v>#VALUE!</v>
      </c>
      <c r="S234" s="417" t="e">
        <f aca="false">IF(S230-S231-S233&gt;S239,MIN(S230-S231-S233-S239,S230-S231),0)</f>
        <v>#VALUE!</v>
      </c>
      <c r="T234" s="417" t="e">
        <f aca="false">IF(T230-T231-T233&gt;T239,MIN(T230-T231-T233-T239,T230-T231),0)</f>
        <v>#VALUE!</v>
      </c>
      <c r="U234" s="417" t="e">
        <f aca="false">IF(U230-U231-U233&gt;U239,MIN(U230-U231-U233-U239,U230-U231),0)</f>
        <v>#VALUE!</v>
      </c>
      <c r="V234" s="417" t="e">
        <f aca="false">IF(V230-V231-V233&gt;V239,MIN(V230-V231-V233-V239,V230-V231),0)</f>
        <v>#VALUE!</v>
      </c>
      <c r="W234" s="417" t="e">
        <f aca="false">IF(W230-W231-W233&gt;W239,MIN(W230-W231-W233-W239,W230-W231),0)</f>
        <v>#VALUE!</v>
      </c>
      <c r="X234" s="417" t="e">
        <f aca="false">IF(X230-X231-X233&gt;X239,MIN(X230-X231-X233-X239,X230-X231),0)</f>
        <v>#VALUE!</v>
      </c>
      <c r="Y234" s="417" t="e">
        <f aca="false">IF(Y230-Y231-Y233&gt;Y239,MIN(Y230-Y231-Y233-Y239,Y230-Y231),0)</f>
        <v>#VALUE!</v>
      </c>
      <c r="Z234" s="417" t="e">
        <f aca="false">IF(Z230-Z231-Z233&gt;Z239,MIN(Z230-Z231-Z233-Z239,Z230-Z231),0)</f>
        <v>#VALUE!</v>
      </c>
      <c r="AA234" s="417" t="e">
        <f aca="false">IF(AA230-AA231-AA233&gt;AA239,MIN(AA230-AA231-AA233-AA239,AA230-AA231),0)</f>
        <v>#VALUE!</v>
      </c>
      <c r="AB234" s="417" t="e">
        <f aca="false">IF(AB230-AB231-AB233&gt;AB239,MIN(AB230-AB231-AB233-AB239,AB230-AB231),0)</f>
        <v>#VALUE!</v>
      </c>
      <c r="AC234" s="417" t="e">
        <f aca="false">IF(AC230-AC231-AC233&gt;AC239,MIN(AC230-AC231-AC233-AC239,AC230-AC231),0)</f>
        <v>#VALUE!</v>
      </c>
      <c r="AD234" s="67"/>
      <c r="AE234" s="67"/>
      <c r="AF234" s="67"/>
      <c r="AG234" s="67"/>
    </row>
    <row r="235" customFormat="false" ht="11.25" hidden="false" customHeight="false" outlineLevel="0" collapsed="false">
      <c r="C235" s="43" t="s">
        <v>715</v>
      </c>
      <c r="F235" s="67"/>
      <c r="H235" s="421" t="n">
        <f aca="false">-H166</f>
        <v>-0</v>
      </c>
      <c r="I235" s="35" t="e">
        <f aca="false">-I166</f>
        <v>#VALUE!</v>
      </c>
      <c r="J235" s="35" t="e">
        <f aca="false">-J166</f>
        <v>#N/A</v>
      </c>
      <c r="K235" s="35" t="e">
        <f aca="false">-K166</f>
        <v>#N/A</v>
      </c>
      <c r="L235" s="35" t="e">
        <f aca="false">-L166</f>
        <v>#N/A</v>
      </c>
      <c r="M235" s="35" t="e">
        <f aca="false">-M166</f>
        <v>#N/A</v>
      </c>
      <c r="N235" s="35" t="e">
        <f aca="false">-N166</f>
        <v>#N/A</v>
      </c>
      <c r="O235" s="35" t="e">
        <f aca="false">-O166</f>
        <v>#N/A</v>
      </c>
      <c r="P235" s="35" t="e">
        <f aca="false">-P166</f>
        <v>#N/A</v>
      </c>
      <c r="Q235" s="35" t="e">
        <f aca="false">-Q166</f>
        <v>#N/A</v>
      </c>
      <c r="R235" s="35" t="e">
        <f aca="false">-R166</f>
        <v>#N/A</v>
      </c>
      <c r="S235" s="35" t="e">
        <f aca="false">-S166</f>
        <v>#N/A</v>
      </c>
      <c r="T235" s="35" t="e">
        <f aca="false">-T166</f>
        <v>#N/A</v>
      </c>
      <c r="U235" s="35" t="e">
        <f aca="false">-U166</f>
        <v>#N/A</v>
      </c>
      <c r="V235" s="35" t="e">
        <f aca="false">-V166</f>
        <v>#N/A</v>
      </c>
      <c r="W235" s="35" t="e">
        <f aca="false">-W166</f>
        <v>#N/A</v>
      </c>
      <c r="X235" s="35" t="e">
        <f aca="false">-X166</f>
        <v>#N/A</v>
      </c>
      <c r="Y235" s="35" t="e">
        <f aca="false">-Y166</f>
        <v>#N/A</v>
      </c>
      <c r="Z235" s="35" t="e">
        <f aca="false">-Z166</f>
        <v>#N/A</v>
      </c>
      <c r="AA235" s="35" t="e">
        <f aca="false">-AA166</f>
        <v>#N/A</v>
      </c>
      <c r="AB235" s="35" t="e">
        <f aca="false">-AB166</f>
        <v>#N/A</v>
      </c>
      <c r="AC235" s="35" t="e">
        <f aca="false">-AC166</f>
        <v>#N/A</v>
      </c>
      <c r="AD235" s="67"/>
      <c r="AE235" s="67"/>
      <c r="AF235" s="67"/>
      <c r="AG235" s="67"/>
    </row>
    <row r="236" customFormat="false" ht="11.25" hidden="false" customHeight="false" outlineLevel="0" collapsed="false">
      <c r="C236" s="43" t="s">
        <v>709</v>
      </c>
      <c r="F236" s="67"/>
      <c r="G236" s="35" t="e">
        <f aca="false">MAX(I236:T236)</f>
        <v>#VALUE!</v>
      </c>
      <c r="H236" s="422" t="n">
        <f aca="false">H230-H231-H232-H233-H234-H235</f>
        <v>0</v>
      </c>
      <c r="I236" s="436" t="e">
        <f aca="false">I230-I231-I232-I233-I234-I235</f>
        <v>#VALUE!</v>
      </c>
      <c r="J236" s="436" t="e">
        <f aca="false">J230-J231-J232-J233-J234-J235</f>
        <v>#VALUE!</v>
      </c>
      <c r="K236" s="436" t="e">
        <f aca="false">K230-K231-K232-K233-K234-K235</f>
        <v>#VALUE!</v>
      </c>
      <c r="L236" s="436" t="e">
        <f aca="false">L230-L231-L232-L233-L234-L235</f>
        <v>#VALUE!</v>
      </c>
      <c r="M236" s="436" t="e">
        <f aca="false">M230-M231-M232-M233-M234-M235</f>
        <v>#VALUE!</v>
      </c>
      <c r="N236" s="436" t="e">
        <f aca="false">N230-N231-N232-N233-N234-N235</f>
        <v>#VALUE!</v>
      </c>
      <c r="O236" s="436" t="e">
        <f aca="false">O230-O231-O232-O233-O234-O235</f>
        <v>#VALUE!</v>
      </c>
      <c r="P236" s="436" t="e">
        <f aca="false">P230-P231-P232-P233-P234-P235</f>
        <v>#VALUE!</v>
      </c>
      <c r="Q236" s="436" t="e">
        <f aca="false">Q230-Q231-Q232-Q233-Q234-Q235</f>
        <v>#VALUE!</v>
      </c>
      <c r="R236" s="436" t="e">
        <f aca="false">R230-R231-R232-R233-R234-R235</f>
        <v>#VALUE!</v>
      </c>
      <c r="S236" s="436" t="e">
        <f aca="false">S230-S231-S232-S233-S234-S235</f>
        <v>#VALUE!</v>
      </c>
      <c r="T236" s="436" t="e">
        <f aca="false">T230-T231-T232-T233-T234-T235</f>
        <v>#VALUE!</v>
      </c>
      <c r="U236" s="436" t="e">
        <f aca="false">U230-U231-U232-U233-U234-U235</f>
        <v>#VALUE!</v>
      </c>
      <c r="V236" s="436" t="e">
        <f aca="false">V230-V231-V232-V233-V234-V235</f>
        <v>#VALUE!</v>
      </c>
      <c r="W236" s="436" t="e">
        <f aca="false">W230-W231-W232-W233-W234-W235</f>
        <v>#VALUE!</v>
      </c>
      <c r="X236" s="436" t="e">
        <f aca="false">X230-X231-X232-X233-X234-X235</f>
        <v>#VALUE!</v>
      </c>
      <c r="Y236" s="436" t="e">
        <f aca="false">Y230-Y231-Y232-Y233-Y234-Y235</f>
        <v>#VALUE!</v>
      </c>
      <c r="Z236" s="436" t="e">
        <f aca="false">Z230-Z231-Z232-Z233-Z234-Z235</f>
        <v>#VALUE!</v>
      </c>
      <c r="AA236" s="436" t="e">
        <f aca="false">AA230-AA231-AA232-AA233-AA234-AA235</f>
        <v>#VALUE!</v>
      </c>
      <c r="AB236" s="436" t="e">
        <f aca="false">AB230-AB231-AB232-AB233-AB234-AB235</f>
        <v>#VALUE!</v>
      </c>
      <c r="AC236" s="436" t="e">
        <f aca="false">AC230-AC231-AC232-AC233-AC234-AC235</f>
        <v>#VALUE!</v>
      </c>
      <c r="AD236" s="67"/>
      <c r="AE236" s="67"/>
      <c r="AF236" s="67"/>
      <c r="AG236" s="67"/>
    </row>
    <row r="237" customFormat="false" ht="11.25" hidden="false" customHeight="false" outlineLevel="0" collapsed="false">
      <c r="C237" s="43" t="s">
        <v>710</v>
      </c>
      <c r="F237" s="67"/>
      <c r="H237" s="421"/>
      <c r="I237" s="370" t="n">
        <f aca="false">I560</f>
        <v>0.09</v>
      </c>
      <c r="J237" s="370" t="n">
        <f aca="false">J560</f>
        <v>0.09</v>
      </c>
      <c r="K237" s="370" t="n">
        <f aca="false">K560</f>
        <v>0.09</v>
      </c>
      <c r="L237" s="370" t="n">
        <f aca="false">L560</f>
        <v>0.09</v>
      </c>
      <c r="M237" s="370" t="n">
        <f aca="false">M560</f>
        <v>0.09</v>
      </c>
      <c r="N237" s="370" t="n">
        <f aca="false">N560</f>
        <v>0.09</v>
      </c>
      <c r="O237" s="370" t="n">
        <f aca="false">O560</f>
        <v>0.09</v>
      </c>
      <c r="P237" s="370" t="n">
        <f aca="false">P560</f>
        <v>0.09</v>
      </c>
      <c r="Q237" s="370" t="n">
        <f aca="false">Q560</f>
        <v>0.09</v>
      </c>
      <c r="R237" s="370" t="n">
        <f aca="false">R560</f>
        <v>0.09</v>
      </c>
      <c r="S237" s="370" t="n">
        <f aca="false">S560</f>
        <v>0.09</v>
      </c>
      <c r="T237" s="370" t="n">
        <f aca="false">T560</f>
        <v>0.09</v>
      </c>
      <c r="U237" s="370" t="n">
        <f aca="false">U560</f>
        <v>0.09</v>
      </c>
      <c r="V237" s="370" t="n">
        <f aca="false">V560</f>
        <v>0.09</v>
      </c>
      <c r="W237" s="370" t="n">
        <f aca="false">W560</f>
        <v>0.09</v>
      </c>
      <c r="X237" s="370" t="n">
        <f aca="false">X560</f>
        <v>0.09</v>
      </c>
      <c r="Y237" s="370" t="n">
        <f aca="false">Y560</f>
        <v>0.09</v>
      </c>
      <c r="Z237" s="370" t="n">
        <f aca="false">Z560</f>
        <v>0.09</v>
      </c>
      <c r="AA237" s="370" t="n">
        <f aca="false">AA560</f>
        <v>0.09</v>
      </c>
      <c r="AB237" s="370" t="n">
        <f aca="false">AB560</f>
        <v>0.09</v>
      </c>
      <c r="AC237" s="370" t="n">
        <f aca="false">AC560</f>
        <v>0.09</v>
      </c>
      <c r="AD237" s="67"/>
      <c r="AE237" s="67"/>
      <c r="AF237" s="67"/>
      <c r="AG237" s="67"/>
    </row>
    <row r="238" customFormat="false" ht="11.25" hidden="false" customHeight="false" outlineLevel="0" collapsed="false">
      <c r="F238" s="67"/>
      <c r="H238" s="421"/>
      <c r="AD238" s="67"/>
      <c r="AE238" s="67"/>
      <c r="AF238" s="67"/>
      <c r="AG238" s="67"/>
    </row>
    <row r="239" customFormat="false" ht="11.25" hidden="false" customHeight="false" outlineLevel="0" collapsed="false">
      <c r="C239" s="43" t="s">
        <v>716</v>
      </c>
      <c r="F239" s="67"/>
      <c r="H239" s="421" t="n">
        <f aca="false">H474</f>
        <v>0</v>
      </c>
      <c r="I239" s="35" t="e">
        <f aca="false">I474</f>
        <v>#N/A</v>
      </c>
      <c r="J239" s="35" t="e">
        <f aca="false">J474</f>
        <v>#N/A</v>
      </c>
      <c r="K239" s="35" t="e">
        <f aca="false">K474</f>
        <v>#N/A</v>
      </c>
      <c r="L239" s="35" t="e">
        <f aca="false">L474</f>
        <v>#N/A</v>
      </c>
      <c r="M239" s="35" t="e">
        <f aca="false">M474</f>
        <v>#N/A</v>
      </c>
      <c r="N239" s="35" t="e">
        <f aca="false">N474</f>
        <v>#N/A</v>
      </c>
      <c r="O239" s="35" t="e">
        <f aca="false">O474</f>
        <v>#N/A</v>
      </c>
      <c r="P239" s="35" t="e">
        <f aca="false">P474</f>
        <v>#N/A</v>
      </c>
      <c r="Q239" s="35" t="e">
        <f aca="false">Q474</f>
        <v>#N/A</v>
      </c>
      <c r="R239" s="35" t="e">
        <f aca="false">R474</f>
        <v>#N/A</v>
      </c>
      <c r="S239" s="35" t="e">
        <f aca="false">S474</f>
        <v>#N/A</v>
      </c>
      <c r="T239" s="35" t="e">
        <f aca="false">T474</f>
        <v>#N/A</v>
      </c>
      <c r="U239" s="35" t="e">
        <f aca="false">U474</f>
        <v>#N/A</v>
      </c>
      <c r="V239" s="35" t="e">
        <f aca="false">V474</f>
        <v>#N/A</v>
      </c>
      <c r="W239" s="35" t="e">
        <f aca="false">W474</f>
        <v>#N/A</v>
      </c>
      <c r="X239" s="35" t="e">
        <f aca="false">X474</f>
        <v>#N/A</v>
      </c>
      <c r="Y239" s="35" t="e">
        <f aca="false">Y474</f>
        <v>#N/A</v>
      </c>
      <c r="Z239" s="35" t="e">
        <f aca="false">Z474</f>
        <v>#N/A</v>
      </c>
      <c r="AA239" s="35" t="e">
        <f aca="false">AA474</f>
        <v>#N/A</v>
      </c>
      <c r="AB239" s="35" t="e">
        <f aca="false">AB474</f>
        <v>#N/A</v>
      </c>
      <c r="AC239" s="35" t="e">
        <f aca="false">AC474</f>
        <v>#N/A</v>
      </c>
      <c r="AD239" s="67"/>
      <c r="AE239" s="67"/>
      <c r="AF239" s="67"/>
      <c r="AG239" s="67"/>
    </row>
    <row r="240" customFormat="false" ht="11.25" hidden="false" customHeight="false" outlineLevel="0" collapsed="false">
      <c r="F240" s="67"/>
      <c r="G240" s="417"/>
      <c r="H240" s="418"/>
      <c r="I240" s="417"/>
      <c r="J240" s="417"/>
      <c r="K240" s="417"/>
      <c r="L240" s="417"/>
      <c r="M240" s="417"/>
      <c r="N240" s="417"/>
      <c r="O240" s="417"/>
      <c r="P240" s="417"/>
      <c r="Q240" s="417"/>
      <c r="R240" s="417"/>
      <c r="S240" s="417"/>
      <c r="T240" s="417"/>
      <c r="U240" s="417"/>
      <c r="V240" s="417"/>
      <c r="W240" s="417"/>
      <c r="X240" s="417"/>
      <c r="Y240" s="417"/>
      <c r="Z240" s="417"/>
      <c r="AA240" s="417"/>
      <c r="AB240" s="417"/>
      <c r="AC240" s="417"/>
      <c r="AD240" s="67"/>
      <c r="AE240" s="67"/>
      <c r="AF240" s="67"/>
      <c r="AG240" s="67"/>
    </row>
    <row r="241" customFormat="false" ht="11.25" hidden="false" customHeight="false" outlineLevel="0" collapsed="false">
      <c r="A241" s="168" t="str">
        <f aca="false">B338&amp;":"</f>
        <v>Term Loan:</v>
      </c>
      <c r="C241" s="43" t="s">
        <v>706</v>
      </c>
      <c r="F241" s="67"/>
      <c r="G241" s="417"/>
      <c r="H241" s="418" t="n">
        <v>0</v>
      </c>
      <c r="I241" s="417" t="n">
        <f aca="false">H245</f>
        <v>0</v>
      </c>
      <c r="J241" s="417" t="e">
        <f aca="false">I245</f>
        <v>#VALUE!</v>
      </c>
      <c r="K241" s="417" t="e">
        <f aca="false">J245</f>
        <v>#VALUE!</v>
      </c>
      <c r="L241" s="417" t="e">
        <f aca="false">K245</f>
        <v>#VALUE!</v>
      </c>
      <c r="M241" s="417" t="e">
        <f aca="false">L245</f>
        <v>#VALUE!</v>
      </c>
      <c r="N241" s="417" t="e">
        <f aca="false">M245</f>
        <v>#VALUE!</v>
      </c>
      <c r="O241" s="417" t="e">
        <f aca="false">N245</f>
        <v>#VALUE!</v>
      </c>
      <c r="P241" s="417" t="e">
        <f aca="false">O245</f>
        <v>#VALUE!</v>
      </c>
      <c r="Q241" s="417" t="e">
        <f aca="false">P245</f>
        <v>#VALUE!</v>
      </c>
      <c r="R241" s="417" t="e">
        <f aca="false">Q245</f>
        <v>#VALUE!</v>
      </c>
      <c r="S241" s="417" t="e">
        <f aca="false">R245</f>
        <v>#VALUE!</v>
      </c>
      <c r="T241" s="417" t="e">
        <f aca="false">S245</f>
        <v>#VALUE!</v>
      </c>
      <c r="U241" s="417" t="e">
        <f aca="false">T245</f>
        <v>#VALUE!</v>
      </c>
      <c r="V241" s="417" t="e">
        <f aca="false">U245</f>
        <v>#VALUE!</v>
      </c>
      <c r="W241" s="417" t="e">
        <f aca="false">V245</f>
        <v>#VALUE!</v>
      </c>
      <c r="X241" s="417" t="e">
        <f aca="false">W245</f>
        <v>#VALUE!</v>
      </c>
      <c r="Y241" s="417" t="e">
        <f aca="false">X245</f>
        <v>#VALUE!</v>
      </c>
      <c r="Z241" s="417" t="e">
        <f aca="false">Y245</f>
        <v>#VALUE!</v>
      </c>
      <c r="AA241" s="417" t="e">
        <f aca="false">Z245</f>
        <v>#VALUE!</v>
      </c>
      <c r="AB241" s="417" t="e">
        <f aca="false">AA245</f>
        <v>#VALUE!</v>
      </c>
      <c r="AC241" s="417" t="e">
        <f aca="false">AB245</f>
        <v>#VALUE!</v>
      </c>
      <c r="AD241" s="67"/>
      <c r="AE241" s="67"/>
      <c r="AF241" s="67"/>
      <c r="AG241" s="67"/>
    </row>
    <row r="242" customFormat="false" ht="11.25" hidden="false" customHeight="false" outlineLevel="0" collapsed="false">
      <c r="C242" s="43" t="s">
        <v>707</v>
      </c>
      <c r="D242" s="171"/>
      <c r="F242" s="67"/>
      <c r="G242" s="417"/>
      <c r="H242" s="418" t="n">
        <f aca="false">-H338</f>
        <v>-0</v>
      </c>
      <c r="I242" s="417" t="n">
        <f aca="false">I487</f>
        <v>0</v>
      </c>
      <c r="J242" s="417" t="n">
        <f aca="false">J487</f>
        <v>0</v>
      </c>
      <c r="K242" s="417" t="n">
        <f aca="false">K487</f>
        <v>0</v>
      </c>
      <c r="L242" s="417" t="n">
        <f aca="false">L487</f>
        <v>0</v>
      </c>
      <c r="M242" s="417" t="n">
        <f aca="false">M487</f>
        <v>0</v>
      </c>
      <c r="N242" s="417" t="n">
        <f aca="false">N487</f>
        <v>0</v>
      </c>
      <c r="O242" s="417" t="n">
        <f aca="false">O487</f>
        <v>0</v>
      </c>
      <c r="P242" s="417" t="n">
        <f aca="false">P487</f>
        <v>0</v>
      </c>
      <c r="Q242" s="417" t="n">
        <f aca="false">Q487</f>
        <v>0</v>
      </c>
      <c r="R242" s="417" t="n">
        <f aca="false">R487</f>
        <v>0</v>
      </c>
      <c r="S242" s="417" t="n">
        <f aca="false">S487</f>
        <v>0</v>
      </c>
      <c r="T242" s="417" t="n">
        <f aca="false">T487</f>
        <v>0</v>
      </c>
      <c r="U242" s="417" t="n">
        <f aca="false">U487</f>
        <v>0</v>
      </c>
      <c r="V242" s="417" t="n">
        <f aca="false">V487</f>
        <v>0</v>
      </c>
      <c r="W242" s="417" t="n">
        <f aca="false">W487</f>
        <v>0</v>
      </c>
      <c r="X242" s="417" t="n">
        <f aca="false">X487</f>
        <v>0</v>
      </c>
      <c r="Y242" s="417" t="n">
        <f aca="false">Y487</f>
        <v>0</v>
      </c>
      <c r="Z242" s="417" t="n">
        <f aca="false">Z487</f>
        <v>0</v>
      </c>
      <c r="AA242" s="417" t="n">
        <f aca="false">AA487</f>
        <v>0</v>
      </c>
      <c r="AB242" s="417" t="n">
        <f aca="false">AB487</f>
        <v>0</v>
      </c>
      <c r="AC242" s="417" t="n">
        <f aca="false">AC487</f>
        <v>0</v>
      </c>
      <c r="AD242" s="67"/>
      <c r="AE242" s="67"/>
      <c r="AF242" s="67"/>
      <c r="AG242" s="67"/>
    </row>
    <row r="243" customFormat="false" ht="11.25" hidden="false" customHeight="false" outlineLevel="0" collapsed="false">
      <c r="C243" s="43" t="s">
        <v>713</v>
      </c>
      <c r="D243" s="171"/>
      <c r="F243" s="67"/>
      <c r="G243" s="417"/>
      <c r="H243" s="418" t="n">
        <f aca="false">H486</f>
        <v>0</v>
      </c>
      <c r="I243" s="417" t="n">
        <f aca="false">IF(I241&lt;I486,I241,I486)</f>
        <v>0</v>
      </c>
      <c r="J243" s="417" t="e">
        <f aca="false">IF(J241&lt;J486,J241,J486)</f>
        <v>#VALUE!</v>
      </c>
      <c r="K243" s="417" t="e">
        <f aca="false">IF(K241&lt;K486,K241,K486)</f>
        <v>#VALUE!</v>
      </c>
      <c r="L243" s="417" t="e">
        <f aca="false">IF(L241&lt;L486,L241,L486)</f>
        <v>#VALUE!</v>
      </c>
      <c r="M243" s="417" t="e">
        <f aca="false">IF(M241&lt;M486,M241,M486)</f>
        <v>#VALUE!</v>
      </c>
      <c r="N243" s="417" t="e">
        <f aca="false">IF(N241&lt;N486,N241,N486)</f>
        <v>#VALUE!</v>
      </c>
      <c r="O243" s="417" t="e">
        <f aca="false">IF(O241&lt;O486,O241,O486)</f>
        <v>#VALUE!</v>
      </c>
      <c r="P243" s="417" t="e">
        <f aca="false">IF(P241&lt;P486,P241,P486)</f>
        <v>#VALUE!</v>
      </c>
      <c r="Q243" s="417" t="e">
        <f aca="false">IF(Q241&lt;Q486,Q241,Q486)</f>
        <v>#VALUE!</v>
      </c>
      <c r="R243" s="417" t="e">
        <f aca="false">IF(R241&lt;R486,R241,R486)</f>
        <v>#VALUE!</v>
      </c>
      <c r="S243" s="417" t="e">
        <f aca="false">IF(S241&lt;S486,S241,S486)</f>
        <v>#VALUE!</v>
      </c>
      <c r="T243" s="417" t="e">
        <f aca="false">IF(T241&lt;T486,T241,T486)</f>
        <v>#VALUE!</v>
      </c>
      <c r="U243" s="417" t="e">
        <f aca="false">IF(U241&lt;U486,U241,U486)</f>
        <v>#VALUE!</v>
      </c>
      <c r="V243" s="417" t="e">
        <f aca="false">IF(V241&lt;V486,V241,V486)</f>
        <v>#VALUE!</v>
      </c>
      <c r="W243" s="417" t="e">
        <f aca="false">IF(W241&lt;W486,W241,W486)</f>
        <v>#VALUE!</v>
      </c>
      <c r="X243" s="417" t="e">
        <f aca="false">IF(X241&lt;X486,X241,X486)</f>
        <v>#VALUE!</v>
      </c>
      <c r="Y243" s="417" t="e">
        <f aca="false">IF(Y241&lt;Y486,Y241,Y486)</f>
        <v>#VALUE!</v>
      </c>
      <c r="Z243" s="417" t="e">
        <f aca="false">IF(Z241&lt;Z486,Z241,Z486)</f>
        <v>#VALUE!</v>
      </c>
      <c r="AA243" s="417" t="e">
        <f aca="false">IF(AA241&lt;AA486,AA241,AA486)</f>
        <v>#VALUE!</v>
      </c>
      <c r="AB243" s="417" t="e">
        <f aca="false">IF(AB241&lt;AB486,AB241,AB486)</f>
        <v>#VALUE!</v>
      </c>
      <c r="AC243" s="417" t="e">
        <f aca="false">IF(AC241&lt;AC486,AC241,AC486)</f>
        <v>#VALUE!</v>
      </c>
      <c r="AD243" s="67"/>
      <c r="AE243" s="67"/>
      <c r="AF243" s="67"/>
      <c r="AG243" s="67"/>
    </row>
    <row r="244" customFormat="false" ht="11.25" hidden="false" customHeight="false" outlineLevel="0" collapsed="false">
      <c r="C244" s="43" t="s">
        <v>715</v>
      </c>
      <c r="F244" s="67"/>
      <c r="H244" s="421" t="n">
        <f aca="false">-H165</f>
        <v>-0</v>
      </c>
      <c r="I244" s="35" t="e">
        <f aca="false">-I165</f>
        <v>#VALUE!</v>
      </c>
      <c r="J244" s="35" t="e">
        <f aca="false">-J165</f>
        <v>#N/A</v>
      </c>
      <c r="K244" s="35" t="e">
        <f aca="false">-K165</f>
        <v>#N/A</v>
      </c>
      <c r="L244" s="35" t="e">
        <f aca="false">-L165</f>
        <v>#N/A</v>
      </c>
      <c r="M244" s="35" t="e">
        <f aca="false">-M165</f>
        <v>#N/A</v>
      </c>
      <c r="N244" s="35" t="e">
        <f aca="false">-N165</f>
        <v>#N/A</v>
      </c>
      <c r="O244" s="35" t="e">
        <f aca="false">-O165</f>
        <v>#N/A</v>
      </c>
      <c r="P244" s="35" t="e">
        <f aca="false">-P165</f>
        <v>#N/A</v>
      </c>
      <c r="Q244" s="35" t="e">
        <f aca="false">-Q165</f>
        <v>#N/A</v>
      </c>
      <c r="R244" s="35" t="e">
        <f aca="false">-R165</f>
        <v>#N/A</v>
      </c>
      <c r="S244" s="35" t="e">
        <f aca="false">-S165</f>
        <v>#N/A</v>
      </c>
      <c r="T244" s="35" t="e">
        <f aca="false">-T165</f>
        <v>#N/A</v>
      </c>
      <c r="U244" s="35" t="e">
        <f aca="false">-U165</f>
        <v>#N/A</v>
      </c>
      <c r="V244" s="35" t="e">
        <f aca="false">-V165</f>
        <v>#N/A</v>
      </c>
      <c r="W244" s="35" t="e">
        <f aca="false">-W165</f>
        <v>#N/A</v>
      </c>
      <c r="X244" s="35" t="e">
        <f aca="false">-X165</f>
        <v>#N/A</v>
      </c>
      <c r="Y244" s="35" t="e">
        <f aca="false">-Y165</f>
        <v>#N/A</v>
      </c>
      <c r="Z244" s="35" t="e">
        <f aca="false">-Z165</f>
        <v>#N/A</v>
      </c>
      <c r="AA244" s="35" t="e">
        <f aca="false">-AA165</f>
        <v>#N/A</v>
      </c>
      <c r="AB244" s="35" t="e">
        <f aca="false">-AB165</f>
        <v>#N/A</v>
      </c>
      <c r="AC244" s="35" t="e">
        <f aca="false">-AC165</f>
        <v>#N/A</v>
      </c>
      <c r="AD244" s="67"/>
      <c r="AE244" s="67"/>
      <c r="AF244" s="67"/>
      <c r="AG244" s="67"/>
    </row>
    <row r="245" customFormat="false" ht="11.25" hidden="false" customHeight="false" outlineLevel="0" collapsed="false">
      <c r="C245" s="43" t="s">
        <v>709</v>
      </c>
      <c r="F245" s="67"/>
      <c r="G245" s="417"/>
      <c r="H245" s="420" t="n">
        <f aca="false">H241-H242-H243-H244</f>
        <v>0</v>
      </c>
      <c r="I245" s="419" t="e">
        <f aca="false">I241-I242-I243-I244</f>
        <v>#VALUE!</v>
      </c>
      <c r="J245" s="419" t="e">
        <f aca="false">J241-J242-J243-J244</f>
        <v>#VALUE!</v>
      </c>
      <c r="K245" s="419" t="e">
        <f aca="false">K241-K242-K243-K244</f>
        <v>#VALUE!</v>
      </c>
      <c r="L245" s="419" t="e">
        <f aca="false">L241-L242-L243-L244</f>
        <v>#VALUE!</v>
      </c>
      <c r="M245" s="419" t="e">
        <f aca="false">M241-M242-M243-M244</f>
        <v>#VALUE!</v>
      </c>
      <c r="N245" s="419" t="e">
        <f aca="false">N241-N242-N243-N244</f>
        <v>#VALUE!</v>
      </c>
      <c r="O245" s="419" t="e">
        <f aca="false">O241-O242-O243-O244</f>
        <v>#VALUE!</v>
      </c>
      <c r="P245" s="419" t="e">
        <f aca="false">P241-P242-P243-P244</f>
        <v>#VALUE!</v>
      </c>
      <c r="Q245" s="419" t="e">
        <f aca="false">Q241-Q242-Q243-Q244</f>
        <v>#VALUE!</v>
      </c>
      <c r="R245" s="419" t="e">
        <f aca="false">R241-R242-R243-R244</f>
        <v>#VALUE!</v>
      </c>
      <c r="S245" s="419" t="e">
        <f aca="false">S241-S242-S243-S244</f>
        <v>#VALUE!</v>
      </c>
      <c r="T245" s="419" t="e">
        <f aca="false">T241-T242-T243-T244</f>
        <v>#VALUE!</v>
      </c>
      <c r="U245" s="419" t="e">
        <f aca="false">U241-U242-U243-U244</f>
        <v>#VALUE!</v>
      </c>
      <c r="V245" s="419" t="e">
        <f aca="false">V241-V242-V243-V244</f>
        <v>#VALUE!</v>
      </c>
      <c r="W245" s="419" t="e">
        <f aca="false">W241-W242-W243-W244</f>
        <v>#VALUE!</v>
      </c>
      <c r="X245" s="419" t="e">
        <f aca="false">X241-X242-X243-X244</f>
        <v>#VALUE!</v>
      </c>
      <c r="Y245" s="419" t="e">
        <f aca="false">Y241-Y242-Y243-Y244</f>
        <v>#VALUE!</v>
      </c>
      <c r="Z245" s="419" t="e">
        <f aca="false">Z241-Z242-Z243-Z244</f>
        <v>#VALUE!</v>
      </c>
      <c r="AA245" s="419" t="e">
        <f aca="false">AA241-AA242-AA243-AA244</f>
        <v>#VALUE!</v>
      </c>
      <c r="AB245" s="419" t="e">
        <f aca="false">AB241-AB242-AB243-AB244</f>
        <v>#VALUE!</v>
      </c>
      <c r="AC245" s="419" t="e">
        <f aca="false">AC241-AC242-AC243-AC244</f>
        <v>#VALUE!</v>
      </c>
      <c r="AD245" s="67"/>
      <c r="AE245" s="67"/>
      <c r="AF245" s="67"/>
      <c r="AG245" s="67"/>
    </row>
    <row r="246" customFormat="false" ht="11.25" hidden="false" customHeight="false" outlineLevel="0" collapsed="false">
      <c r="C246" s="43" t="s">
        <v>710</v>
      </c>
      <c r="F246" s="67"/>
      <c r="H246" s="421"/>
      <c r="I246" s="370" t="n">
        <f aca="false">I561</f>
        <v>0</v>
      </c>
      <c r="J246" s="370" t="n">
        <f aca="false">J561</f>
        <v>0</v>
      </c>
      <c r="K246" s="370" t="n">
        <f aca="false">K561</f>
        <v>0</v>
      </c>
      <c r="L246" s="370" t="n">
        <f aca="false">L561</f>
        <v>0</v>
      </c>
      <c r="M246" s="370" t="n">
        <f aca="false">M561</f>
        <v>0</v>
      </c>
      <c r="N246" s="370" t="n">
        <f aca="false">N561</f>
        <v>0</v>
      </c>
      <c r="O246" s="370" t="n">
        <f aca="false">O561</f>
        <v>0</v>
      </c>
      <c r="P246" s="370" t="n">
        <f aca="false">P561</f>
        <v>0</v>
      </c>
      <c r="Q246" s="370" t="n">
        <f aca="false">Q561</f>
        <v>0</v>
      </c>
      <c r="R246" s="370" t="n">
        <f aca="false">R561</f>
        <v>0</v>
      </c>
      <c r="S246" s="370" t="n">
        <f aca="false">S561</f>
        <v>0</v>
      </c>
      <c r="T246" s="370" t="n">
        <f aca="false">T561</f>
        <v>0</v>
      </c>
      <c r="U246" s="370" t="n">
        <f aca="false">U561</f>
        <v>0</v>
      </c>
      <c r="V246" s="370" t="n">
        <f aca="false">V561</f>
        <v>0</v>
      </c>
      <c r="W246" s="370" t="n">
        <f aca="false">W561</f>
        <v>0</v>
      </c>
      <c r="X246" s="370" t="n">
        <f aca="false">X561</f>
        <v>0</v>
      </c>
      <c r="Y246" s="370" t="n">
        <f aca="false">Y561</f>
        <v>0</v>
      </c>
      <c r="Z246" s="370" t="n">
        <f aca="false">Z561</f>
        <v>0</v>
      </c>
      <c r="AA246" s="370" t="n">
        <f aca="false">AA561</f>
        <v>0</v>
      </c>
      <c r="AB246" s="370" t="n">
        <f aca="false">AB561</f>
        <v>0</v>
      </c>
      <c r="AC246" s="370" t="n">
        <f aca="false">AC561</f>
        <v>0</v>
      </c>
    </row>
    <row r="247" customFormat="false" ht="11.25" hidden="false" customHeight="false" outlineLevel="0" collapsed="false">
      <c r="F247" s="67"/>
      <c r="H247" s="421"/>
    </row>
    <row r="248" customFormat="false" ht="11.25" hidden="false" customHeight="false" outlineLevel="0" collapsed="false">
      <c r="A248" s="168" t="str">
        <f aca="false">A491</f>
        <v>W/C Line</v>
      </c>
      <c r="B248" s="43"/>
      <c r="C248" s="43" t="s">
        <v>717</v>
      </c>
      <c r="F248" s="67"/>
      <c r="H248" s="421" t="n">
        <f aca="false">H491</f>
        <v>0</v>
      </c>
      <c r="I248" s="35" t="n">
        <f aca="false">I491</f>
        <v>0</v>
      </c>
      <c r="J248" s="35" t="n">
        <f aca="false">J491</f>
        <v>0</v>
      </c>
      <c r="K248" s="35" t="n">
        <f aca="false">K491</f>
        <v>0</v>
      </c>
      <c r="L248" s="35" t="n">
        <f aca="false">L491</f>
        <v>0</v>
      </c>
      <c r="M248" s="35" t="n">
        <f aca="false">M491</f>
        <v>0</v>
      </c>
      <c r="N248" s="35" t="n">
        <f aca="false">N491</f>
        <v>0</v>
      </c>
      <c r="O248" s="35" t="n">
        <f aca="false">O491</f>
        <v>0</v>
      </c>
      <c r="P248" s="35" t="n">
        <f aca="false">P491</f>
        <v>0</v>
      </c>
      <c r="Q248" s="35" t="n">
        <f aca="false">Q491</f>
        <v>0</v>
      </c>
      <c r="R248" s="35" t="n">
        <f aca="false">R491</f>
        <v>0</v>
      </c>
      <c r="S248" s="35" t="n">
        <f aca="false">S491</f>
        <v>0</v>
      </c>
      <c r="T248" s="35" t="n">
        <f aca="false">T491</f>
        <v>0</v>
      </c>
      <c r="U248" s="35" t="n">
        <f aca="false">U491</f>
        <v>0</v>
      </c>
      <c r="V248" s="35" t="n">
        <f aca="false">V491</f>
        <v>0</v>
      </c>
      <c r="W248" s="35" t="n">
        <f aca="false">W491</f>
        <v>0</v>
      </c>
      <c r="X248" s="35" t="n">
        <f aca="false">X491</f>
        <v>0</v>
      </c>
      <c r="Y248" s="35" t="n">
        <f aca="false">Y491</f>
        <v>0</v>
      </c>
      <c r="Z248" s="35" t="n">
        <f aca="false">Z491</f>
        <v>0</v>
      </c>
      <c r="AA248" s="35" t="n">
        <f aca="false">AA491</f>
        <v>0</v>
      </c>
      <c r="AB248" s="35" t="n">
        <f aca="false">AB491</f>
        <v>0</v>
      </c>
      <c r="AC248" s="35" t="n">
        <f aca="false">AC491</f>
        <v>0</v>
      </c>
    </row>
    <row r="249" customFormat="false" ht="11.25" hidden="false" customHeight="false" outlineLevel="0" collapsed="false">
      <c r="C249" s="43" t="s">
        <v>718</v>
      </c>
      <c r="F249" s="67"/>
      <c r="H249" s="421"/>
      <c r="I249" s="370" t="n">
        <f aca="false">I560</f>
        <v>0.09</v>
      </c>
      <c r="J249" s="370" t="n">
        <f aca="false">J560</f>
        <v>0.09</v>
      </c>
      <c r="K249" s="370" t="n">
        <f aca="false">K560</f>
        <v>0.09</v>
      </c>
      <c r="L249" s="370" t="n">
        <f aca="false">L560</f>
        <v>0.09</v>
      </c>
      <c r="M249" s="370" t="n">
        <f aca="false">M560</f>
        <v>0.09</v>
      </c>
      <c r="N249" s="370" t="n">
        <f aca="false">N560</f>
        <v>0.09</v>
      </c>
      <c r="O249" s="370" t="n">
        <f aca="false">O560</f>
        <v>0.09</v>
      </c>
      <c r="P249" s="370" t="n">
        <f aca="false">P560</f>
        <v>0.09</v>
      </c>
      <c r="Q249" s="370" t="n">
        <f aca="false">Q560</f>
        <v>0.09</v>
      </c>
      <c r="R249" s="370" t="n">
        <f aca="false">R560</f>
        <v>0.09</v>
      </c>
      <c r="S249" s="370" t="n">
        <f aca="false">S560</f>
        <v>0.09</v>
      </c>
      <c r="T249" s="370" t="n">
        <f aca="false">T560</f>
        <v>0.09</v>
      </c>
      <c r="U249" s="370" t="n">
        <f aca="false">U560</f>
        <v>0.09</v>
      </c>
      <c r="V249" s="370" t="n">
        <f aca="false">V560</f>
        <v>0.09</v>
      </c>
      <c r="W249" s="370" t="n">
        <f aca="false">W560</f>
        <v>0.09</v>
      </c>
      <c r="X249" s="370" t="n">
        <f aca="false">X560</f>
        <v>0.09</v>
      </c>
      <c r="Y249" s="370" t="n">
        <f aca="false">Y560</f>
        <v>0.09</v>
      </c>
      <c r="Z249" s="370" t="n">
        <f aca="false">Z560</f>
        <v>0.09</v>
      </c>
      <c r="AA249" s="370" t="n">
        <f aca="false">AA560</f>
        <v>0.09</v>
      </c>
      <c r="AB249" s="370" t="n">
        <f aca="false">AB560</f>
        <v>0.09</v>
      </c>
      <c r="AC249" s="370" t="n">
        <f aca="false">AC560</f>
        <v>0.09</v>
      </c>
    </row>
    <row r="250" customFormat="false" ht="11.25" hidden="false" customHeight="false" outlineLevel="0" collapsed="false">
      <c r="F250" s="67"/>
      <c r="H250" s="421"/>
    </row>
    <row r="251" customFormat="false" ht="11.25" hidden="false" customHeight="false" outlineLevel="0" collapsed="false">
      <c r="A251" s="437" t="str">
        <f aca="false">B339</f>
        <v>Production Payment</v>
      </c>
      <c r="B251" s="5"/>
      <c r="C251" s="44" t="s">
        <v>706</v>
      </c>
      <c r="D251" s="5"/>
      <c r="E251" s="67"/>
      <c r="F251" s="67"/>
      <c r="H251" s="421" t="n">
        <f aca="false">I418</f>
        <v>0</v>
      </c>
      <c r="I251" s="417" t="n">
        <f aca="false">H254</f>
        <v>0</v>
      </c>
      <c r="J251" s="417" t="n">
        <f aca="false">I254</f>
        <v>0</v>
      </c>
      <c r="K251" s="417" t="n">
        <f aca="false">J254</f>
        <v>0</v>
      </c>
      <c r="L251" s="417" t="n">
        <f aca="false">K254</f>
        <v>0</v>
      </c>
      <c r="M251" s="417" t="n">
        <f aca="false">L254</f>
        <v>0</v>
      </c>
      <c r="N251" s="417" t="n">
        <f aca="false">M254</f>
        <v>0</v>
      </c>
      <c r="O251" s="417" t="n">
        <f aca="false">N254</f>
        <v>0</v>
      </c>
      <c r="P251" s="417" t="n">
        <f aca="false">O254</f>
        <v>0</v>
      </c>
      <c r="Q251" s="417" t="n">
        <f aca="false">P254</f>
        <v>0</v>
      </c>
      <c r="R251" s="417" t="n">
        <f aca="false">Q254</f>
        <v>0</v>
      </c>
      <c r="S251" s="417" t="n">
        <f aca="false">R254</f>
        <v>0</v>
      </c>
      <c r="T251" s="417" t="n">
        <f aca="false">S254</f>
        <v>0</v>
      </c>
      <c r="U251" s="417" t="n">
        <f aca="false">T254</f>
        <v>0</v>
      </c>
      <c r="V251" s="417" t="n">
        <f aca="false">U254</f>
        <v>0</v>
      </c>
      <c r="W251" s="417" t="n">
        <f aca="false">V254</f>
        <v>0</v>
      </c>
      <c r="X251" s="417" t="n">
        <f aca="false">W254</f>
        <v>0</v>
      </c>
      <c r="Y251" s="417" t="n">
        <f aca="false">X254</f>
        <v>0</v>
      </c>
      <c r="Z251" s="417" t="n">
        <f aca="false">Y254</f>
        <v>0</v>
      </c>
      <c r="AA251" s="417" t="n">
        <f aca="false">Z254</f>
        <v>0</v>
      </c>
      <c r="AB251" s="417" t="n">
        <f aca="false">AA254</f>
        <v>0</v>
      </c>
      <c r="AC251" s="417" t="n">
        <f aca="false">AB254</f>
        <v>0</v>
      </c>
    </row>
    <row r="252" customFormat="false" ht="11.25" hidden="false" customHeight="false" outlineLevel="0" collapsed="false">
      <c r="A252" s="5"/>
      <c r="B252" s="5"/>
      <c r="C252" s="44" t="s">
        <v>707</v>
      </c>
      <c r="D252" s="5"/>
      <c r="F252" s="67"/>
      <c r="H252" s="421" t="n">
        <f aca="false">-H339</f>
        <v>-0</v>
      </c>
      <c r="I252" s="417" t="n">
        <f aca="false">I494</f>
        <v>0</v>
      </c>
      <c r="J252" s="417" t="n">
        <f aca="false">J494</f>
        <v>0</v>
      </c>
      <c r="K252" s="417" t="n">
        <f aca="false">K494</f>
        <v>0</v>
      </c>
      <c r="L252" s="417" t="n">
        <f aca="false">L494</f>
        <v>0</v>
      </c>
      <c r="M252" s="417" t="n">
        <f aca="false">M494</f>
        <v>0</v>
      </c>
      <c r="N252" s="417" t="n">
        <f aca="false">N494</f>
        <v>0</v>
      </c>
      <c r="O252" s="417" t="n">
        <f aca="false">O494</f>
        <v>0</v>
      </c>
      <c r="P252" s="417" t="n">
        <f aca="false">P494</f>
        <v>0</v>
      </c>
      <c r="Q252" s="417" t="n">
        <f aca="false">Q494</f>
        <v>0</v>
      </c>
      <c r="R252" s="417" t="n">
        <f aca="false">R494</f>
        <v>0</v>
      </c>
      <c r="S252" s="417" t="n">
        <f aca="false">S494</f>
        <v>0</v>
      </c>
      <c r="T252" s="417" t="n">
        <f aca="false">T494</f>
        <v>0</v>
      </c>
      <c r="U252" s="417" t="n">
        <f aca="false">U494</f>
        <v>0</v>
      </c>
      <c r="V252" s="417" t="n">
        <f aca="false">V494</f>
        <v>0</v>
      </c>
      <c r="W252" s="417" t="n">
        <f aca="false">W494</f>
        <v>0</v>
      </c>
      <c r="X252" s="417" t="n">
        <f aca="false">X494</f>
        <v>0</v>
      </c>
      <c r="Y252" s="417" t="n">
        <f aca="false">Y494</f>
        <v>0</v>
      </c>
      <c r="Z252" s="417" t="n">
        <f aca="false">Z494</f>
        <v>0</v>
      </c>
      <c r="AA252" s="417" t="n">
        <f aca="false">AA494</f>
        <v>0</v>
      </c>
      <c r="AB252" s="417" t="n">
        <f aca="false">AB494</f>
        <v>0</v>
      </c>
      <c r="AC252" s="417" t="n">
        <f aca="false">AC494</f>
        <v>0</v>
      </c>
    </row>
    <row r="253" customFormat="false" ht="11.25" hidden="false" customHeight="false" outlineLevel="0" collapsed="false">
      <c r="A253" s="5"/>
      <c r="B253" s="5"/>
      <c r="C253" s="44" t="s">
        <v>708</v>
      </c>
      <c r="D253" s="5"/>
      <c r="F253" s="67"/>
      <c r="H253" s="438" t="n">
        <f aca="false">L418</f>
        <v>0</v>
      </c>
      <c r="I253" s="417" t="n">
        <f aca="false">I493</f>
        <v>0</v>
      </c>
      <c r="J253" s="417" t="n">
        <f aca="false">J493</f>
        <v>0</v>
      </c>
      <c r="K253" s="417" t="n">
        <f aca="false">K493</f>
        <v>0</v>
      </c>
      <c r="L253" s="417" t="n">
        <f aca="false">L493</f>
        <v>0</v>
      </c>
      <c r="M253" s="417" t="n">
        <f aca="false">M493</f>
        <v>0</v>
      </c>
      <c r="N253" s="417" t="n">
        <f aca="false">N493</f>
        <v>0</v>
      </c>
      <c r="O253" s="417" t="n">
        <f aca="false">O493</f>
        <v>0</v>
      </c>
      <c r="P253" s="417" t="n">
        <f aca="false">P493</f>
        <v>0</v>
      </c>
      <c r="Q253" s="417" t="n">
        <f aca="false">Q493</f>
        <v>0</v>
      </c>
      <c r="R253" s="417" t="n">
        <f aca="false">R493</f>
        <v>0</v>
      </c>
      <c r="S253" s="417" t="n">
        <f aca="false">S493</f>
        <v>0</v>
      </c>
      <c r="T253" s="417" t="n">
        <f aca="false">T493</f>
        <v>0</v>
      </c>
      <c r="U253" s="417" t="n">
        <f aca="false">U493</f>
        <v>0</v>
      </c>
      <c r="V253" s="417" t="n">
        <f aca="false">V493</f>
        <v>0</v>
      </c>
      <c r="W253" s="417" t="n">
        <f aca="false">W493</f>
        <v>0</v>
      </c>
      <c r="X253" s="417" t="n">
        <f aca="false">X493</f>
        <v>0</v>
      </c>
      <c r="Y253" s="417" t="n">
        <f aca="false">Y493</f>
        <v>0</v>
      </c>
      <c r="Z253" s="417" t="n">
        <f aca="false">Z493</f>
        <v>0</v>
      </c>
      <c r="AA253" s="417" t="n">
        <f aca="false">AA493</f>
        <v>0</v>
      </c>
      <c r="AB253" s="417" t="n">
        <f aca="false">AB493</f>
        <v>0</v>
      </c>
      <c r="AC253" s="417" t="n">
        <f aca="false">AC493</f>
        <v>0</v>
      </c>
    </row>
    <row r="254" customFormat="false" ht="11.25" hidden="false" customHeight="false" outlineLevel="0" collapsed="false">
      <c r="A254" s="5"/>
      <c r="B254" s="5"/>
      <c r="C254" s="44" t="s">
        <v>709</v>
      </c>
      <c r="D254" s="5"/>
      <c r="F254" s="67"/>
      <c r="H254" s="422" t="n">
        <f aca="false">H251-H252-H253</f>
        <v>0</v>
      </c>
      <c r="I254" s="419" t="n">
        <f aca="false">I251-I252-I253</f>
        <v>0</v>
      </c>
      <c r="J254" s="419" t="n">
        <f aca="false">J251-J252-J253</f>
        <v>0</v>
      </c>
      <c r="K254" s="419" t="n">
        <f aca="false">K251-K252-K253</f>
        <v>0</v>
      </c>
      <c r="L254" s="419" t="n">
        <f aca="false">L251-L252-L253</f>
        <v>0</v>
      </c>
      <c r="M254" s="419" t="n">
        <f aca="false">M251-M252-M253</f>
        <v>0</v>
      </c>
      <c r="N254" s="419" t="n">
        <f aca="false">N251-N252-N253</f>
        <v>0</v>
      </c>
      <c r="O254" s="419" t="n">
        <f aca="false">O251-O252-O253</f>
        <v>0</v>
      </c>
      <c r="P254" s="419" t="n">
        <f aca="false">P251-P252-P253</f>
        <v>0</v>
      </c>
      <c r="Q254" s="419" t="n">
        <f aca="false">Q251-Q252-Q253</f>
        <v>0</v>
      </c>
      <c r="R254" s="419" t="n">
        <f aca="false">R251-R252-R253</f>
        <v>0</v>
      </c>
      <c r="S254" s="419" t="n">
        <f aca="false">S251-S252-S253</f>
        <v>0</v>
      </c>
      <c r="T254" s="419" t="n">
        <f aca="false">T251-T252-T253</f>
        <v>0</v>
      </c>
      <c r="U254" s="419" t="n">
        <f aca="false">U251-U252-U253</f>
        <v>0</v>
      </c>
      <c r="V254" s="419" t="n">
        <f aca="false">V251-V252-V253</f>
        <v>0</v>
      </c>
      <c r="W254" s="419" t="n">
        <f aca="false">W251-W252-W253</f>
        <v>0</v>
      </c>
      <c r="X254" s="419" t="n">
        <f aca="false">X251-X252-X253</f>
        <v>0</v>
      </c>
      <c r="Y254" s="419" t="n">
        <f aca="false">Y251-Y252-Y253</f>
        <v>0</v>
      </c>
      <c r="Z254" s="419" t="n">
        <f aca="false">Z251-Z252-Z253</f>
        <v>0</v>
      </c>
      <c r="AA254" s="419" t="n">
        <f aca="false">AA251-AA252-AA253</f>
        <v>0</v>
      </c>
      <c r="AB254" s="419" t="n">
        <f aca="false">AB251-AB252-AB253</f>
        <v>0</v>
      </c>
      <c r="AC254" s="419" t="n">
        <f aca="false">AC251-AC252-AC253</f>
        <v>0</v>
      </c>
    </row>
    <row r="255" customFormat="false" ht="11.25" hidden="false" customHeight="false" outlineLevel="0" collapsed="false">
      <c r="A255" s="5"/>
      <c r="B255" s="5"/>
      <c r="C255" s="5"/>
      <c r="D255" s="5"/>
      <c r="F255" s="67"/>
      <c r="G255" s="162"/>
      <c r="H255" s="421"/>
    </row>
    <row r="256" customFormat="false" ht="11.25" hidden="false" customHeight="false" outlineLevel="0" collapsed="false">
      <c r="A256" s="168" t="str">
        <f aca="false">B340&amp;":"</f>
        <v>ESOP Notes:</v>
      </c>
      <c r="C256" s="43" t="s">
        <v>706</v>
      </c>
      <c r="F256" s="67"/>
      <c r="H256" s="421" t="n">
        <v>0</v>
      </c>
      <c r="I256" s="35" t="n">
        <f aca="false">H259</f>
        <v>0</v>
      </c>
      <c r="J256" s="35" t="n">
        <f aca="false">I259</f>
        <v>0</v>
      </c>
      <c r="K256" s="35" t="n">
        <f aca="false">J259</f>
        <v>0</v>
      </c>
      <c r="L256" s="35" t="n">
        <f aca="false">K259</f>
        <v>0</v>
      </c>
      <c r="M256" s="35" t="n">
        <f aca="false">L259</f>
        <v>0</v>
      </c>
      <c r="N256" s="35" t="n">
        <f aca="false">M259</f>
        <v>0</v>
      </c>
      <c r="O256" s="35" t="n">
        <f aca="false">N259</f>
        <v>0</v>
      </c>
      <c r="P256" s="35" t="n">
        <f aca="false">O259</f>
        <v>0</v>
      </c>
      <c r="Q256" s="35" t="n">
        <f aca="false">P259</f>
        <v>0</v>
      </c>
      <c r="R256" s="35" t="n">
        <f aca="false">Q259</f>
        <v>0</v>
      </c>
      <c r="S256" s="35" t="n">
        <f aca="false">R259</f>
        <v>0</v>
      </c>
      <c r="T256" s="35" t="n">
        <f aca="false">S259</f>
        <v>0</v>
      </c>
      <c r="U256" s="35" t="n">
        <f aca="false">T259</f>
        <v>0</v>
      </c>
      <c r="V256" s="35" t="n">
        <f aca="false">U259</f>
        <v>0</v>
      </c>
      <c r="W256" s="35" t="n">
        <f aca="false">V259</f>
        <v>0</v>
      </c>
      <c r="X256" s="35" t="n">
        <f aca="false">W259</f>
        <v>0</v>
      </c>
      <c r="Y256" s="35" t="n">
        <f aca="false">X259</f>
        <v>0</v>
      </c>
      <c r="Z256" s="35" t="n">
        <f aca="false">Y259</f>
        <v>0</v>
      </c>
      <c r="AA256" s="35" t="n">
        <f aca="false">Z259</f>
        <v>0</v>
      </c>
      <c r="AB256" s="35" t="n">
        <f aca="false">AA259</f>
        <v>0</v>
      </c>
      <c r="AC256" s="35" t="n">
        <f aca="false">AB259</f>
        <v>0</v>
      </c>
    </row>
    <row r="257" customFormat="false" ht="11.25" hidden="false" customHeight="false" outlineLevel="0" collapsed="false">
      <c r="C257" s="43" t="s">
        <v>707</v>
      </c>
      <c r="F257" s="67"/>
      <c r="H257" s="421" t="n">
        <f aca="false">-H340</f>
        <v>-0</v>
      </c>
      <c r="I257" s="35" t="n">
        <f aca="false">I502</f>
        <v>0</v>
      </c>
      <c r="J257" s="35" t="n">
        <f aca="false">J502</f>
        <v>0</v>
      </c>
      <c r="K257" s="35" t="n">
        <f aca="false">K502</f>
        <v>0</v>
      </c>
      <c r="L257" s="35" t="n">
        <f aca="false">L502</f>
        <v>0</v>
      </c>
      <c r="M257" s="35" t="n">
        <f aca="false">M502</f>
        <v>0</v>
      </c>
      <c r="N257" s="35" t="n">
        <f aca="false">N502</f>
        <v>0</v>
      </c>
      <c r="O257" s="35" t="n">
        <f aca="false">O502</f>
        <v>0</v>
      </c>
      <c r="P257" s="35" t="n">
        <f aca="false">P502</f>
        <v>0</v>
      </c>
      <c r="Q257" s="35" t="n">
        <f aca="false">Q502</f>
        <v>0</v>
      </c>
      <c r="R257" s="35" t="n">
        <f aca="false">R502</f>
        <v>0</v>
      </c>
      <c r="S257" s="35" t="n">
        <f aca="false">S502</f>
        <v>0</v>
      </c>
      <c r="T257" s="35" t="n">
        <f aca="false">T502</f>
        <v>0</v>
      </c>
      <c r="U257" s="35" t="n">
        <f aca="false">U502</f>
        <v>0</v>
      </c>
      <c r="V257" s="35" t="n">
        <f aca="false">V502</f>
        <v>0</v>
      </c>
      <c r="W257" s="35" t="n">
        <f aca="false">W502</f>
        <v>0</v>
      </c>
      <c r="X257" s="35" t="n">
        <f aca="false">X502</f>
        <v>0</v>
      </c>
      <c r="Y257" s="35" t="n">
        <f aca="false">Y502</f>
        <v>0</v>
      </c>
      <c r="Z257" s="35" t="n">
        <f aca="false">Z502</f>
        <v>0</v>
      </c>
      <c r="AA257" s="35" t="n">
        <f aca="false">AA502</f>
        <v>0</v>
      </c>
      <c r="AB257" s="35" t="n">
        <f aca="false">AB502</f>
        <v>0</v>
      </c>
      <c r="AC257" s="35" t="n">
        <f aca="false">AC502</f>
        <v>0</v>
      </c>
    </row>
    <row r="258" customFormat="false" ht="11.25" hidden="false" customHeight="false" outlineLevel="0" collapsed="false">
      <c r="C258" s="43" t="s">
        <v>708</v>
      </c>
      <c r="F258" s="67"/>
      <c r="H258" s="421" t="n">
        <f aca="false">H135</f>
        <v>0</v>
      </c>
      <c r="I258" s="35" t="n">
        <f aca="false">I135</f>
        <v>0</v>
      </c>
      <c r="J258" s="35" t="n">
        <f aca="false">J135</f>
        <v>0</v>
      </c>
      <c r="K258" s="35" t="n">
        <f aca="false">K135</f>
        <v>0</v>
      </c>
      <c r="L258" s="35" t="n">
        <f aca="false">L135</f>
        <v>0</v>
      </c>
      <c r="M258" s="35" t="n">
        <f aca="false">M135</f>
        <v>0</v>
      </c>
      <c r="N258" s="35" t="n">
        <f aca="false">N135</f>
        <v>0</v>
      </c>
      <c r="O258" s="35" t="n">
        <f aca="false">O135</f>
        <v>0</v>
      </c>
      <c r="P258" s="35" t="n">
        <f aca="false">P135</f>
        <v>0</v>
      </c>
      <c r="Q258" s="35" t="n">
        <f aca="false">Q135</f>
        <v>0</v>
      </c>
      <c r="R258" s="35" t="n">
        <f aca="false">R135</f>
        <v>0</v>
      </c>
      <c r="S258" s="35" t="n">
        <f aca="false">S135</f>
        <v>0</v>
      </c>
      <c r="T258" s="35" t="n">
        <f aca="false">T135</f>
        <v>0</v>
      </c>
      <c r="U258" s="35" t="n">
        <f aca="false">U135</f>
        <v>0</v>
      </c>
      <c r="V258" s="35" t="n">
        <f aca="false">V135</f>
        <v>0</v>
      </c>
      <c r="W258" s="35" t="n">
        <f aca="false">W135</f>
        <v>0</v>
      </c>
      <c r="X258" s="35" t="n">
        <f aca="false">X135</f>
        <v>0</v>
      </c>
      <c r="Y258" s="35" t="n">
        <f aca="false">Y135</f>
        <v>0</v>
      </c>
      <c r="Z258" s="35" t="n">
        <f aca="false">Z135</f>
        <v>0</v>
      </c>
      <c r="AA258" s="35" t="n">
        <f aca="false">AA135</f>
        <v>0</v>
      </c>
      <c r="AB258" s="35" t="n">
        <f aca="false">AB135</f>
        <v>0</v>
      </c>
      <c r="AC258" s="35" t="n">
        <f aca="false">AC135</f>
        <v>0</v>
      </c>
    </row>
    <row r="259" customFormat="false" ht="11.25" hidden="false" customHeight="false" outlineLevel="0" collapsed="false">
      <c r="C259" s="43" t="s">
        <v>709</v>
      </c>
      <c r="F259" s="67"/>
      <c r="H259" s="422" t="n">
        <f aca="false">H256-H257-H258</f>
        <v>0</v>
      </c>
      <c r="I259" s="158" t="n">
        <f aca="false">I256-I257-I258</f>
        <v>0</v>
      </c>
      <c r="J259" s="158" t="n">
        <f aca="false">J256-J257-J258</f>
        <v>0</v>
      </c>
      <c r="K259" s="158" t="n">
        <f aca="false">K256-K257-K258</f>
        <v>0</v>
      </c>
      <c r="L259" s="158" t="n">
        <f aca="false">L256-L257-L258</f>
        <v>0</v>
      </c>
      <c r="M259" s="158" t="n">
        <f aca="false">M256-M257-M258</f>
        <v>0</v>
      </c>
      <c r="N259" s="158" t="n">
        <f aca="false">N256-N257-N258</f>
        <v>0</v>
      </c>
      <c r="O259" s="158" t="n">
        <f aca="false">O256-O257-O258</f>
        <v>0</v>
      </c>
      <c r="P259" s="158" t="n">
        <f aca="false">P256-P257-P258</f>
        <v>0</v>
      </c>
      <c r="Q259" s="158" t="n">
        <f aca="false">Q256-Q257-Q258</f>
        <v>0</v>
      </c>
      <c r="R259" s="158" t="n">
        <f aca="false">R256-R257-R258</f>
        <v>0</v>
      </c>
      <c r="S259" s="158" t="n">
        <f aca="false">S256-S257-S258</f>
        <v>0</v>
      </c>
      <c r="T259" s="158" t="n">
        <f aca="false">T256-T257-T258</f>
        <v>0</v>
      </c>
      <c r="U259" s="158" t="n">
        <f aca="false">U256-U257-U258</f>
        <v>0</v>
      </c>
      <c r="V259" s="158" t="n">
        <f aca="false">V256-V257-V258</f>
        <v>0</v>
      </c>
      <c r="W259" s="158" t="n">
        <f aca="false">W256-W257-W258</f>
        <v>0</v>
      </c>
      <c r="X259" s="158" t="n">
        <f aca="false">X256-X257-X258</f>
        <v>0</v>
      </c>
      <c r="Y259" s="158" t="n">
        <f aca="false">Y256-Y257-Y258</f>
        <v>0</v>
      </c>
      <c r="Z259" s="158" t="n">
        <f aca="false">Z256-Z257-Z258</f>
        <v>0</v>
      </c>
      <c r="AA259" s="158" t="n">
        <f aca="false">AA256-AA257-AA258</f>
        <v>0</v>
      </c>
      <c r="AB259" s="158" t="n">
        <f aca="false">AB256-AB257-AB258</f>
        <v>0</v>
      </c>
      <c r="AC259" s="158" t="n">
        <f aca="false">AC256-AC257-AC258</f>
        <v>0</v>
      </c>
    </row>
    <row r="260" customFormat="false" ht="11.25" hidden="false" customHeight="false" outlineLevel="0" collapsed="false">
      <c r="C260" s="43" t="s">
        <v>710</v>
      </c>
      <c r="F260" s="67"/>
      <c r="H260" s="421"/>
      <c r="I260" s="370" t="n">
        <f aca="false">I565</f>
        <v>0</v>
      </c>
      <c r="J260" s="370" t="n">
        <f aca="false">J565</f>
        <v>0</v>
      </c>
      <c r="K260" s="370" t="n">
        <f aca="false">K565</f>
        <v>0</v>
      </c>
      <c r="L260" s="370" t="n">
        <f aca="false">L565</f>
        <v>0</v>
      </c>
      <c r="M260" s="370" t="n">
        <f aca="false">M565</f>
        <v>0</v>
      </c>
      <c r="N260" s="370" t="n">
        <f aca="false">N565</f>
        <v>0</v>
      </c>
      <c r="O260" s="370" t="n">
        <f aca="false">O565</f>
        <v>0</v>
      </c>
      <c r="P260" s="370" t="n">
        <f aca="false">P565</f>
        <v>0</v>
      </c>
      <c r="Q260" s="370" t="n">
        <f aca="false">Q565</f>
        <v>0</v>
      </c>
      <c r="R260" s="370" t="n">
        <f aca="false">R565</f>
        <v>0</v>
      </c>
      <c r="S260" s="370" t="n">
        <f aca="false">S565</f>
        <v>0</v>
      </c>
      <c r="T260" s="370" t="n">
        <f aca="false">T565</f>
        <v>0</v>
      </c>
      <c r="U260" s="370" t="n">
        <f aca="false">U565</f>
        <v>0</v>
      </c>
      <c r="V260" s="370" t="n">
        <f aca="false">V565</f>
        <v>0</v>
      </c>
      <c r="W260" s="370" t="n">
        <f aca="false">W565</f>
        <v>0</v>
      </c>
      <c r="X260" s="370" t="n">
        <f aca="false">X565</f>
        <v>0</v>
      </c>
      <c r="Y260" s="370" t="n">
        <f aca="false">Y565</f>
        <v>0</v>
      </c>
      <c r="Z260" s="370" t="n">
        <f aca="false">Z565</f>
        <v>0</v>
      </c>
      <c r="AA260" s="370" t="n">
        <f aca="false">AA565</f>
        <v>0</v>
      </c>
      <c r="AB260" s="370" t="n">
        <f aca="false">AB565</f>
        <v>0</v>
      </c>
      <c r="AC260" s="370" t="n">
        <f aca="false">AC565</f>
        <v>0</v>
      </c>
    </row>
    <row r="261" customFormat="false" ht="11.25" hidden="false" customHeight="false" outlineLevel="0" collapsed="false">
      <c r="F261" s="67"/>
      <c r="H261" s="421"/>
    </row>
    <row r="262" customFormat="false" ht="11.25" hidden="false" customHeight="false" outlineLevel="0" collapsed="false">
      <c r="A262" s="168" t="str">
        <f aca="false">B341&amp;":"</f>
        <v>Placement 1:</v>
      </c>
      <c r="C262" s="43" t="s">
        <v>706</v>
      </c>
      <c r="F262" s="67"/>
      <c r="G262" s="417"/>
      <c r="H262" s="418" t="n">
        <v>0</v>
      </c>
      <c r="I262" s="417" t="n">
        <f aca="false">H265</f>
        <v>0</v>
      </c>
      <c r="J262" s="417" t="n">
        <f aca="false">I265</f>
        <v>0</v>
      </c>
      <c r="K262" s="417" t="n">
        <f aca="false">J265</f>
        <v>0</v>
      </c>
      <c r="L262" s="417" t="n">
        <f aca="false">K265</f>
        <v>0</v>
      </c>
      <c r="M262" s="417" t="n">
        <f aca="false">L265</f>
        <v>0</v>
      </c>
      <c r="N262" s="417" t="n">
        <f aca="false">M265</f>
        <v>0</v>
      </c>
      <c r="O262" s="417" t="n">
        <f aca="false">N265</f>
        <v>0</v>
      </c>
      <c r="P262" s="417" t="n">
        <f aca="false">O265</f>
        <v>0</v>
      </c>
      <c r="Q262" s="417" t="n">
        <f aca="false">P265</f>
        <v>0</v>
      </c>
      <c r="R262" s="417" t="n">
        <f aca="false">Q265</f>
        <v>0</v>
      </c>
      <c r="S262" s="417" t="n">
        <f aca="false">R265</f>
        <v>0</v>
      </c>
      <c r="T262" s="417" t="n">
        <f aca="false">S265</f>
        <v>0</v>
      </c>
      <c r="U262" s="417" t="n">
        <f aca="false">T265</f>
        <v>0</v>
      </c>
      <c r="V262" s="417" t="n">
        <f aca="false">U265</f>
        <v>0</v>
      </c>
      <c r="W262" s="417" t="n">
        <f aca="false">V265</f>
        <v>0</v>
      </c>
      <c r="X262" s="417" t="n">
        <f aca="false">W265</f>
        <v>0</v>
      </c>
      <c r="Y262" s="417" t="n">
        <f aca="false">X265</f>
        <v>0</v>
      </c>
      <c r="Z262" s="417" t="n">
        <f aca="false">Y265</f>
        <v>0</v>
      </c>
      <c r="AA262" s="417" t="n">
        <f aca="false">Z265</f>
        <v>0</v>
      </c>
      <c r="AB262" s="417" t="n">
        <f aca="false">AA265</f>
        <v>0</v>
      </c>
      <c r="AC262" s="417" t="n">
        <f aca="false">AB265</f>
        <v>0</v>
      </c>
    </row>
    <row r="263" customFormat="false" ht="11.25" hidden="false" customHeight="false" outlineLevel="0" collapsed="false">
      <c r="C263" s="43" t="s">
        <v>707</v>
      </c>
      <c r="F263" s="67"/>
      <c r="G263" s="417"/>
      <c r="H263" s="418" t="n">
        <f aca="false">-H341</f>
        <v>-0</v>
      </c>
      <c r="I263" s="417" t="n">
        <f aca="false">I505</f>
        <v>0</v>
      </c>
      <c r="J263" s="417" t="n">
        <f aca="false">J505</f>
        <v>0</v>
      </c>
      <c r="K263" s="417" t="n">
        <f aca="false">K505</f>
        <v>0</v>
      </c>
      <c r="L263" s="417" t="n">
        <f aca="false">L505</f>
        <v>0</v>
      </c>
      <c r="M263" s="417" t="n">
        <f aca="false">M505</f>
        <v>0</v>
      </c>
      <c r="N263" s="417" t="n">
        <f aca="false">N505</f>
        <v>0</v>
      </c>
      <c r="O263" s="417" t="n">
        <f aca="false">O505</f>
        <v>0</v>
      </c>
      <c r="P263" s="417" t="n">
        <f aca="false">P505</f>
        <v>0</v>
      </c>
      <c r="Q263" s="417" t="n">
        <f aca="false">Q505</f>
        <v>0</v>
      </c>
      <c r="R263" s="417" t="n">
        <f aca="false">R505</f>
        <v>0</v>
      </c>
      <c r="S263" s="417" t="n">
        <f aca="false">S505</f>
        <v>0</v>
      </c>
      <c r="T263" s="417" t="n">
        <f aca="false">T505</f>
        <v>0</v>
      </c>
      <c r="U263" s="417" t="n">
        <f aca="false">U505</f>
        <v>0</v>
      </c>
      <c r="V263" s="417" t="n">
        <f aca="false">V505</f>
        <v>0</v>
      </c>
      <c r="W263" s="417" t="n">
        <f aca="false">W505</f>
        <v>0</v>
      </c>
      <c r="X263" s="417" t="n">
        <f aca="false">X505</f>
        <v>0</v>
      </c>
      <c r="Y263" s="417" t="n">
        <f aca="false">Y505</f>
        <v>0</v>
      </c>
      <c r="Z263" s="417" t="n">
        <f aca="false">Z505</f>
        <v>0</v>
      </c>
      <c r="AA263" s="417" t="n">
        <f aca="false">AA505</f>
        <v>0</v>
      </c>
      <c r="AB263" s="417" t="n">
        <f aca="false">AB505</f>
        <v>0</v>
      </c>
      <c r="AC263" s="417" t="n">
        <f aca="false">AC505</f>
        <v>0</v>
      </c>
    </row>
    <row r="264" customFormat="false" ht="11.25" hidden="false" customHeight="false" outlineLevel="0" collapsed="false">
      <c r="C264" s="43" t="s">
        <v>708</v>
      </c>
      <c r="F264" s="67"/>
      <c r="G264" s="417"/>
      <c r="H264" s="418" t="n">
        <f aca="false">H504</f>
        <v>0</v>
      </c>
      <c r="I264" s="417" t="n">
        <f aca="false">I504</f>
        <v>0</v>
      </c>
      <c r="J264" s="417" t="n">
        <f aca="false">J504</f>
        <v>0</v>
      </c>
      <c r="K264" s="417" t="n">
        <f aca="false">K504</f>
        <v>0</v>
      </c>
      <c r="L264" s="417" t="n">
        <f aca="false">L504</f>
        <v>0</v>
      </c>
      <c r="M264" s="417" t="n">
        <f aca="false">M504</f>
        <v>0</v>
      </c>
      <c r="N264" s="417" t="n">
        <f aca="false">N504</f>
        <v>0</v>
      </c>
      <c r="O264" s="417" t="n">
        <f aca="false">O504</f>
        <v>0</v>
      </c>
      <c r="P264" s="417" t="n">
        <f aca="false">P504</f>
        <v>0</v>
      </c>
      <c r="Q264" s="417" t="n">
        <f aca="false">Q504</f>
        <v>0</v>
      </c>
      <c r="R264" s="417" t="n">
        <f aca="false">R504</f>
        <v>0</v>
      </c>
      <c r="S264" s="417" t="n">
        <f aca="false">S504</f>
        <v>0</v>
      </c>
      <c r="T264" s="417" t="n">
        <f aca="false">T504</f>
        <v>0</v>
      </c>
      <c r="U264" s="417" t="n">
        <f aca="false">U504</f>
        <v>0</v>
      </c>
      <c r="V264" s="417" t="n">
        <f aca="false">V504</f>
        <v>0</v>
      </c>
      <c r="W264" s="417" t="n">
        <f aca="false">W504</f>
        <v>0</v>
      </c>
      <c r="X264" s="417" t="n">
        <f aca="false">X504</f>
        <v>0</v>
      </c>
      <c r="Y264" s="417" t="n">
        <f aca="false">Y504</f>
        <v>0</v>
      </c>
      <c r="Z264" s="417" t="n">
        <f aca="false">Z504</f>
        <v>0</v>
      </c>
      <c r="AA264" s="417" t="n">
        <f aca="false">AA504</f>
        <v>0</v>
      </c>
      <c r="AB264" s="417" t="n">
        <f aca="false">AB504</f>
        <v>0</v>
      </c>
      <c r="AC264" s="417" t="n">
        <f aca="false">AC504</f>
        <v>0</v>
      </c>
    </row>
    <row r="265" customFormat="false" ht="11.25" hidden="false" customHeight="false" outlineLevel="0" collapsed="false">
      <c r="C265" s="43" t="s">
        <v>709</v>
      </c>
      <c r="F265" s="67"/>
      <c r="G265" s="417"/>
      <c r="H265" s="420" t="n">
        <f aca="false">H262-H263-H264</f>
        <v>0</v>
      </c>
      <c r="I265" s="419" t="n">
        <f aca="false">I262-I263-I264</f>
        <v>0</v>
      </c>
      <c r="J265" s="419" t="n">
        <f aca="false">J262-J263-J264</f>
        <v>0</v>
      </c>
      <c r="K265" s="419" t="n">
        <f aca="false">K262-K263-K264</f>
        <v>0</v>
      </c>
      <c r="L265" s="419" t="n">
        <f aca="false">L262-L263-L264</f>
        <v>0</v>
      </c>
      <c r="M265" s="419" t="n">
        <f aca="false">M262-M263-M264</f>
        <v>0</v>
      </c>
      <c r="N265" s="419" t="n">
        <f aca="false">N262-N263-N264</f>
        <v>0</v>
      </c>
      <c r="O265" s="419" t="n">
        <f aca="false">O262-O263-O264</f>
        <v>0</v>
      </c>
      <c r="P265" s="419" t="n">
        <f aca="false">P262-P263-P264</f>
        <v>0</v>
      </c>
      <c r="Q265" s="419" t="n">
        <f aca="false">Q262-Q263-Q264</f>
        <v>0</v>
      </c>
      <c r="R265" s="419" t="n">
        <f aca="false">R262-R263-R264</f>
        <v>0</v>
      </c>
      <c r="S265" s="419" t="n">
        <f aca="false">S262-S263-S264</f>
        <v>0</v>
      </c>
      <c r="T265" s="419" t="n">
        <f aca="false">T262-T263-T264</f>
        <v>0</v>
      </c>
      <c r="U265" s="419" t="n">
        <f aca="false">U262-U263-U264</f>
        <v>0</v>
      </c>
      <c r="V265" s="419" t="n">
        <f aca="false">V262-V263-V264</f>
        <v>0</v>
      </c>
      <c r="W265" s="419" t="n">
        <f aca="false">W262-W263-W264</f>
        <v>0</v>
      </c>
      <c r="X265" s="419" t="n">
        <f aca="false">X262-X263-X264</f>
        <v>0</v>
      </c>
      <c r="Y265" s="419" t="n">
        <f aca="false">Y262-Y263-Y264</f>
        <v>0</v>
      </c>
      <c r="Z265" s="419" t="n">
        <f aca="false">Z262-Z263-Z264</f>
        <v>0</v>
      </c>
      <c r="AA265" s="419" t="n">
        <f aca="false">AA262-AA263-AA264</f>
        <v>0</v>
      </c>
      <c r="AB265" s="419" t="n">
        <f aca="false">AB262-AB263-AB264</f>
        <v>0</v>
      </c>
      <c r="AC265" s="419" t="n">
        <f aca="false">AC262-AC263-AC264</f>
        <v>0</v>
      </c>
    </row>
    <row r="266" customFormat="false" ht="11.25" hidden="false" customHeight="false" outlineLevel="0" collapsed="false">
      <c r="C266" s="43" t="s">
        <v>710</v>
      </c>
      <c r="F266" s="67"/>
      <c r="H266" s="421"/>
      <c r="I266" s="370" t="n">
        <f aca="false">I566</f>
        <v>0</v>
      </c>
      <c r="J266" s="370" t="n">
        <f aca="false">J566</f>
        <v>0</v>
      </c>
      <c r="K266" s="370" t="n">
        <f aca="false">K566</f>
        <v>0</v>
      </c>
      <c r="L266" s="370" t="n">
        <f aca="false">L566</f>
        <v>0</v>
      </c>
      <c r="M266" s="370" t="n">
        <f aca="false">M566</f>
        <v>0</v>
      </c>
      <c r="N266" s="370" t="n">
        <f aca="false">N566</f>
        <v>0</v>
      </c>
      <c r="O266" s="370" t="n">
        <f aca="false">O566</f>
        <v>0</v>
      </c>
      <c r="P266" s="370" t="n">
        <f aca="false">P566</f>
        <v>0</v>
      </c>
      <c r="Q266" s="370" t="n">
        <f aca="false">Q566</f>
        <v>0</v>
      </c>
      <c r="R266" s="370" t="n">
        <f aca="false">R566</f>
        <v>0</v>
      </c>
      <c r="S266" s="370" t="n">
        <f aca="false">S566</f>
        <v>0</v>
      </c>
      <c r="T266" s="370" t="n">
        <f aca="false">T566</f>
        <v>0</v>
      </c>
      <c r="U266" s="370" t="n">
        <f aca="false">U566</f>
        <v>0</v>
      </c>
      <c r="V266" s="370" t="n">
        <f aca="false">V566</f>
        <v>0</v>
      </c>
      <c r="W266" s="370" t="n">
        <f aca="false">W566</f>
        <v>0</v>
      </c>
      <c r="X266" s="370" t="n">
        <f aca="false">X566</f>
        <v>0</v>
      </c>
      <c r="Y266" s="370" t="n">
        <f aca="false">Y566</f>
        <v>0</v>
      </c>
      <c r="Z266" s="370" t="n">
        <f aca="false">Z566</f>
        <v>0</v>
      </c>
      <c r="AA266" s="370" t="n">
        <f aca="false">AA566</f>
        <v>0</v>
      </c>
      <c r="AB266" s="370" t="n">
        <f aca="false">AB566</f>
        <v>0</v>
      </c>
      <c r="AC266" s="370" t="n">
        <f aca="false">AC566</f>
        <v>0</v>
      </c>
    </row>
    <row r="267" customFormat="false" ht="11.25" hidden="false" customHeight="false" outlineLevel="0" collapsed="false">
      <c r="F267" s="67"/>
      <c r="H267" s="421"/>
    </row>
    <row r="268" customFormat="false" ht="11.25" hidden="false" customHeight="false" outlineLevel="0" collapsed="false">
      <c r="A268" s="168" t="str">
        <f aca="false">B342&amp;":"</f>
        <v>Placement 2:</v>
      </c>
      <c r="C268" s="43" t="s">
        <v>706</v>
      </c>
      <c r="F268" s="67"/>
      <c r="H268" s="421" t="n">
        <v>0</v>
      </c>
      <c r="I268" s="35" t="n">
        <f aca="false">H271</f>
        <v>0</v>
      </c>
      <c r="J268" s="35" t="e">
        <f aca="false">I271</f>
        <v>#N/A</v>
      </c>
      <c r="K268" s="35" t="e">
        <f aca="false">J271</f>
        <v>#N/A</v>
      </c>
      <c r="L268" s="35" t="e">
        <f aca="false">K271</f>
        <v>#N/A</v>
      </c>
      <c r="M268" s="35" t="e">
        <f aca="false">L271</f>
        <v>#N/A</v>
      </c>
      <c r="N268" s="35" t="e">
        <f aca="false">M271</f>
        <v>#N/A</v>
      </c>
      <c r="O268" s="35" t="e">
        <f aca="false">N271</f>
        <v>#N/A</v>
      </c>
      <c r="P268" s="35" t="e">
        <f aca="false">O271</f>
        <v>#N/A</v>
      </c>
      <c r="Q268" s="35" t="e">
        <f aca="false">P271</f>
        <v>#N/A</v>
      </c>
      <c r="R268" s="35" t="e">
        <f aca="false">Q271</f>
        <v>#N/A</v>
      </c>
      <c r="S268" s="35" t="e">
        <f aca="false">R271</f>
        <v>#N/A</v>
      </c>
      <c r="T268" s="35" t="e">
        <f aca="false">S271</f>
        <v>#N/A</v>
      </c>
      <c r="U268" s="35" t="e">
        <f aca="false">T271</f>
        <v>#N/A</v>
      </c>
      <c r="V268" s="35" t="e">
        <f aca="false">U271</f>
        <v>#N/A</v>
      </c>
      <c r="W268" s="35" t="e">
        <f aca="false">V271</f>
        <v>#N/A</v>
      </c>
      <c r="X268" s="35" t="e">
        <f aca="false">W271</f>
        <v>#N/A</v>
      </c>
      <c r="Y268" s="35" t="e">
        <f aca="false">X271</f>
        <v>#N/A</v>
      </c>
      <c r="Z268" s="35" t="e">
        <f aca="false">Y271</f>
        <v>#N/A</v>
      </c>
      <c r="AA268" s="35" t="e">
        <f aca="false">Z271</f>
        <v>#N/A</v>
      </c>
      <c r="AB268" s="35" t="e">
        <f aca="false">AA271</f>
        <v>#N/A</v>
      </c>
      <c r="AC268" s="35" t="e">
        <f aca="false">AB271</f>
        <v>#N/A</v>
      </c>
      <c r="AD268" s="67"/>
      <c r="AE268" s="67"/>
    </row>
    <row r="269" customFormat="false" ht="11.25" hidden="false" customHeight="false" outlineLevel="0" collapsed="false">
      <c r="C269" s="43" t="s">
        <v>707</v>
      </c>
      <c r="F269" s="67"/>
      <c r="G269" s="171"/>
      <c r="H269" s="421" t="n">
        <f aca="false">-H342</f>
        <v>-0</v>
      </c>
      <c r="I269" s="35" t="n">
        <f aca="false">I511</f>
        <v>-0</v>
      </c>
      <c r="J269" s="35" t="n">
        <f aca="false">J511</f>
        <v>-0</v>
      </c>
      <c r="K269" s="35" t="n">
        <f aca="false">K511</f>
        <v>-0</v>
      </c>
      <c r="L269" s="35" t="n">
        <f aca="false">L511</f>
        <v>-0</v>
      </c>
      <c r="M269" s="35" t="n">
        <f aca="false">M511</f>
        <v>-0</v>
      </c>
      <c r="N269" s="35" t="n">
        <f aca="false">N511</f>
        <v>-0</v>
      </c>
      <c r="O269" s="35" t="n">
        <f aca="false">O511</f>
        <v>-0</v>
      </c>
      <c r="P269" s="35" t="n">
        <f aca="false">P511</f>
        <v>-0</v>
      </c>
      <c r="Q269" s="35" t="n">
        <f aca="false">Q511</f>
        <v>-0</v>
      </c>
      <c r="R269" s="35" t="n">
        <f aca="false">R511</f>
        <v>-0</v>
      </c>
      <c r="S269" s="35" t="n">
        <f aca="false">S511</f>
        <v>-0</v>
      </c>
      <c r="T269" s="35" t="n">
        <f aca="false">T511</f>
        <v>-0</v>
      </c>
      <c r="U269" s="35" t="n">
        <f aca="false">U511</f>
        <v>-0</v>
      </c>
      <c r="V269" s="35" t="n">
        <f aca="false">V511</f>
        <v>-0</v>
      </c>
      <c r="W269" s="35" t="n">
        <f aca="false">W511</f>
        <v>-0</v>
      </c>
      <c r="X269" s="35" t="n">
        <f aca="false">X511</f>
        <v>-0</v>
      </c>
      <c r="Y269" s="35" t="n">
        <f aca="false">Y511</f>
        <v>-0</v>
      </c>
      <c r="Z269" s="35" t="n">
        <f aca="false">Z511</f>
        <v>-0</v>
      </c>
      <c r="AA269" s="35" t="n">
        <f aca="false">AA511</f>
        <v>-0</v>
      </c>
      <c r="AB269" s="35" t="n">
        <f aca="false">AB511</f>
        <v>-0</v>
      </c>
      <c r="AC269" s="35" t="n">
        <f aca="false">AC511</f>
        <v>-0</v>
      </c>
      <c r="AD269" s="67"/>
      <c r="AE269" s="67"/>
    </row>
    <row r="270" customFormat="false" ht="11.25" hidden="false" customHeight="false" outlineLevel="0" collapsed="false">
      <c r="C270" s="43" t="s">
        <v>708</v>
      </c>
      <c r="F270" s="67"/>
      <c r="G270" s="171"/>
      <c r="H270" s="421"/>
      <c r="I270" s="35" t="e">
        <f aca="false">I510</f>
        <v>#N/A</v>
      </c>
      <c r="J270" s="35" t="e">
        <f aca="false">J510</f>
        <v>#N/A</v>
      </c>
      <c r="K270" s="35" t="e">
        <f aca="false">K510</f>
        <v>#N/A</v>
      </c>
      <c r="L270" s="35" t="e">
        <f aca="false">L510</f>
        <v>#N/A</v>
      </c>
      <c r="M270" s="35" t="e">
        <f aca="false">M510</f>
        <v>#N/A</v>
      </c>
      <c r="N270" s="35" t="e">
        <f aca="false">N510</f>
        <v>#N/A</v>
      </c>
      <c r="O270" s="35" t="e">
        <f aca="false">O510</f>
        <v>#N/A</v>
      </c>
      <c r="P270" s="35" t="e">
        <f aca="false">P510</f>
        <v>#N/A</v>
      </c>
      <c r="Q270" s="35" t="e">
        <f aca="false">Q510</f>
        <v>#N/A</v>
      </c>
      <c r="R270" s="35" t="e">
        <f aca="false">R510</f>
        <v>#N/A</v>
      </c>
      <c r="S270" s="35" t="e">
        <f aca="false">S510</f>
        <v>#N/A</v>
      </c>
      <c r="T270" s="35" t="e">
        <f aca="false">T510</f>
        <v>#N/A</v>
      </c>
      <c r="U270" s="35" t="e">
        <f aca="false">U510</f>
        <v>#N/A</v>
      </c>
      <c r="V270" s="35" t="e">
        <f aca="false">V510</f>
        <v>#N/A</v>
      </c>
      <c r="W270" s="35" t="e">
        <f aca="false">W510</f>
        <v>#N/A</v>
      </c>
      <c r="X270" s="35" t="e">
        <f aca="false">X510</f>
        <v>#N/A</v>
      </c>
      <c r="Y270" s="35" t="e">
        <f aca="false">Y510</f>
        <v>#N/A</v>
      </c>
      <c r="Z270" s="35" t="e">
        <f aca="false">Z510</f>
        <v>#N/A</v>
      </c>
      <c r="AA270" s="35" t="e">
        <f aca="false">AA510</f>
        <v>#N/A</v>
      </c>
      <c r="AB270" s="35" t="e">
        <f aca="false">AB510</f>
        <v>#N/A</v>
      </c>
      <c r="AC270" s="35" t="e">
        <f aca="false">AC510</f>
        <v>#N/A</v>
      </c>
      <c r="AD270" s="67"/>
      <c r="AE270" s="67"/>
    </row>
    <row r="271" customFormat="false" ht="11.25" hidden="false" customHeight="false" outlineLevel="0" collapsed="false">
      <c r="C271" s="43" t="s">
        <v>709</v>
      </c>
      <c r="H271" s="422" t="n">
        <f aca="false">H268-H269-H270</f>
        <v>0</v>
      </c>
      <c r="I271" s="158" t="e">
        <f aca="false">I268-I269-I270</f>
        <v>#N/A</v>
      </c>
      <c r="J271" s="158" t="e">
        <f aca="false">J268-J269-J270</f>
        <v>#N/A</v>
      </c>
      <c r="K271" s="158" t="e">
        <f aca="false">K268-K269-K270</f>
        <v>#N/A</v>
      </c>
      <c r="L271" s="158" t="e">
        <f aca="false">L268-L269-L270</f>
        <v>#N/A</v>
      </c>
      <c r="M271" s="158" t="e">
        <f aca="false">M268-M269-M270</f>
        <v>#N/A</v>
      </c>
      <c r="N271" s="158" t="e">
        <f aca="false">N268-N269-N270</f>
        <v>#N/A</v>
      </c>
      <c r="O271" s="158" t="e">
        <f aca="false">O268-O269-O270</f>
        <v>#N/A</v>
      </c>
      <c r="P271" s="158" t="e">
        <f aca="false">P268-P269-P270</f>
        <v>#N/A</v>
      </c>
      <c r="Q271" s="158" t="e">
        <f aca="false">Q268-Q269-Q270</f>
        <v>#N/A</v>
      </c>
      <c r="R271" s="158" t="e">
        <f aca="false">R268-R269-R270</f>
        <v>#N/A</v>
      </c>
      <c r="S271" s="158" t="e">
        <f aca="false">S268-S269-S270</f>
        <v>#N/A</v>
      </c>
      <c r="T271" s="158" t="e">
        <f aca="false">T268-T269-T270</f>
        <v>#N/A</v>
      </c>
      <c r="U271" s="158" t="e">
        <f aca="false">U268-U269-U270</f>
        <v>#N/A</v>
      </c>
      <c r="V271" s="158" t="e">
        <f aca="false">V268-V269-V270</f>
        <v>#N/A</v>
      </c>
      <c r="W271" s="158" t="e">
        <f aca="false">W268-W269-W270</f>
        <v>#N/A</v>
      </c>
      <c r="X271" s="158" t="e">
        <f aca="false">X268-X269-X270</f>
        <v>#N/A</v>
      </c>
      <c r="Y271" s="158" t="e">
        <f aca="false">Y268-Y269-Y270</f>
        <v>#N/A</v>
      </c>
      <c r="Z271" s="158" t="e">
        <f aca="false">Z268-Z269-Z270</f>
        <v>#N/A</v>
      </c>
      <c r="AA271" s="158" t="e">
        <f aca="false">AA268-AA269-AA270</f>
        <v>#N/A</v>
      </c>
      <c r="AB271" s="158" t="e">
        <f aca="false">AB268-AB269-AB270</f>
        <v>#N/A</v>
      </c>
      <c r="AC271" s="158" t="e">
        <f aca="false">AC268-AC269-AC270</f>
        <v>#N/A</v>
      </c>
    </row>
    <row r="272" customFormat="false" ht="11.25" hidden="false" customHeight="false" outlineLevel="0" collapsed="false">
      <c r="C272" s="43" t="s">
        <v>710</v>
      </c>
      <c r="H272" s="421"/>
      <c r="I272" s="370" t="n">
        <f aca="false">I567</f>
        <v>0</v>
      </c>
      <c r="J272" s="370" t="n">
        <f aca="false">J567</f>
        <v>0</v>
      </c>
      <c r="K272" s="370" t="n">
        <f aca="false">K567</f>
        <v>0</v>
      </c>
      <c r="L272" s="370" t="n">
        <f aca="false">L567</f>
        <v>0</v>
      </c>
      <c r="M272" s="370" t="n">
        <f aca="false">M567</f>
        <v>0</v>
      </c>
      <c r="N272" s="370" t="n">
        <f aca="false">N567</f>
        <v>0</v>
      </c>
      <c r="O272" s="370" t="n">
        <f aca="false">O567</f>
        <v>0</v>
      </c>
      <c r="P272" s="370" t="n">
        <f aca="false">P567</f>
        <v>0</v>
      </c>
      <c r="Q272" s="370" t="n">
        <f aca="false">Q567</f>
        <v>0</v>
      </c>
      <c r="R272" s="370" t="n">
        <f aca="false">R567</f>
        <v>0</v>
      </c>
      <c r="S272" s="370" t="n">
        <f aca="false">S567</f>
        <v>0</v>
      </c>
      <c r="T272" s="370" t="n">
        <f aca="false">T567</f>
        <v>0</v>
      </c>
      <c r="U272" s="370" t="n">
        <f aca="false">U567</f>
        <v>0</v>
      </c>
      <c r="V272" s="370" t="n">
        <f aca="false">V567</f>
        <v>0</v>
      </c>
      <c r="W272" s="370" t="n">
        <f aca="false">W567</f>
        <v>0</v>
      </c>
      <c r="X272" s="370" t="n">
        <f aca="false">X567</f>
        <v>0</v>
      </c>
      <c r="Y272" s="370" t="n">
        <f aca="false">Y567</f>
        <v>0</v>
      </c>
      <c r="Z272" s="370" t="n">
        <f aca="false">Z567</f>
        <v>0</v>
      </c>
      <c r="AA272" s="370" t="n">
        <f aca="false">AA567</f>
        <v>0</v>
      </c>
      <c r="AB272" s="370" t="n">
        <f aca="false">AB567</f>
        <v>0</v>
      </c>
      <c r="AC272" s="370" t="n">
        <f aca="false">AC567</f>
        <v>0</v>
      </c>
    </row>
    <row r="273" customFormat="false" ht="12" hidden="false" customHeight="false" outlineLevel="0" collapsed="false">
      <c r="C273" s="43"/>
      <c r="I273" s="370"/>
      <c r="J273" s="370"/>
      <c r="K273" s="370"/>
      <c r="L273" s="370"/>
      <c r="M273" s="370"/>
      <c r="N273" s="370"/>
      <c r="O273" s="370"/>
      <c r="P273" s="370"/>
      <c r="Q273" s="370"/>
      <c r="R273" s="370"/>
      <c r="S273" s="370"/>
      <c r="T273" s="370"/>
      <c r="U273" s="370"/>
      <c r="V273" s="370"/>
      <c r="W273" s="370"/>
      <c r="X273" s="370"/>
      <c r="Y273" s="370"/>
      <c r="Z273" s="370"/>
      <c r="AA273" s="370"/>
      <c r="AB273" s="370"/>
      <c r="AC273" s="370"/>
    </row>
    <row r="274" customFormat="false" ht="12.75" hidden="false" customHeight="false" outlineLevel="0" collapsed="false">
      <c r="H274" s="81" t="str">
        <f aca="false">$H$579&amp;"/"&amp;TEXT($H$580,"0")</f>
        <v>6 M/1999</v>
      </c>
      <c r="I274" s="81" t="str">
        <f aca="false">$I$579&amp;"/"&amp;TEXT($I$580,"0")</f>
        <v>6 M/1999</v>
      </c>
      <c r="J274" s="395" t="n">
        <f aca="false">J580</f>
        <v>2000</v>
      </c>
      <c r="K274" s="395" t="n">
        <f aca="false">K580</f>
        <v>2001</v>
      </c>
      <c r="L274" s="395" t="n">
        <f aca="false">L580</f>
        <v>2002</v>
      </c>
      <c r="M274" s="395" t="n">
        <f aca="false">M580</f>
        <v>2003</v>
      </c>
      <c r="N274" s="395" t="n">
        <f aca="false">N580</f>
        <v>2004</v>
      </c>
      <c r="O274" s="395" t="n">
        <f aca="false">O580</f>
        <v>2005</v>
      </c>
      <c r="P274" s="395" t="n">
        <f aca="false">P580</f>
        <v>2006</v>
      </c>
      <c r="Q274" s="395" t="n">
        <f aca="false">Q580</f>
        <v>2007</v>
      </c>
      <c r="R274" s="395" t="n">
        <f aca="false">R580</f>
        <v>2008</v>
      </c>
      <c r="S274" s="395" t="n">
        <f aca="false">S580</f>
        <v>2009</v>
      </c>
      <c r="T274" s="395" t="n">
        <f aca="false">T580</f>
        <v>2010</v>
      </c>
      <c r="U274" s="395" t="n">
        <f aca="false">U580</f>
        <v>2011</v>
      </c>
      <c r="V274" s="395" t="n">
        <f aca="false">V580</f>
        <v>2012</v>
      </c>
      <c r="W274" s="395" t="n">
        <f aca="false">W580</f>
        <v>2013</v>
      </c>
      <c r="X274" s="395" t="n">
        <f aca="false">X580</f>
        <v>2014</v>
      </c>
      <c r="Y274" s="395" t="n">
        <f aca="false">Y580</f>
        <v>2015</v>
      </c>
      <c r="Z274" s="395" t="n">
        <f aca="false">Z580</f>
        <v>2016</v>
      </c>
      <c r="AA274" s="395" t="n">
        <f aca="false">AA580</f>
        <v>2017</v>
      </c>
      <c r="AB274" s="395" t="n">
        <f aca="false">AB580</f>
        <v>2018</v>
      </c>
      <c r="AC274" s="395" t="n">
        <f aca="false">AC580</f>
        <v>2019</v>
      </c>
    </row>
    <row r="275" customFormat="false" ht="12" hidden="false" customHeight="false" outlineLevel="0" collapsed="false">
      <c r="A275" s="153" t="s">
        <v>719</v>
      </c>
      <c r="F275" s="417"/>
      <c r="H275" s="67"/>
      <c r="I275" s="67"/>
      <c r="J275" s="67"/>
      <c r="K275" s="67"/>
      <c r="L275" s="67"/>
      <c r="M275" s="67"/>
      <c r="N275" s="67"/>
      <c r="O275" s="67"/>
      <c r="P275" s="67"/>
      <c r="Q275" s="67"/>
      <c r="R275" s="67"/>
      <c r="S275" s="67"/>
      <c r="T275" s="67"/>
      <c r="U275" s="67"/>
      <c r="V275" s="67"/>
      <c r="W275" s="67"/>
      <c r="X275" s="67"/>
      <c r="Y275" s="67"/>
      <c r="Z275" s="67"/>
      <c r="AA275" s="67"/>
      <c r="AB275" s="67"/>
      <c r="AC275" s="67"/>
    </row>
    <row r="276" customFormat="false" ht="11.25" hidden="false" customHeight="false" outlineLevel="0" collapsed="false">
      <c r="A276" s="168" t="str">
        <f aca="false">B343&amp;":"</f>
        <v>Sr Sub Notes:</v>
      </c>
      <c r="C276" s="43" t="s">
        <v>706</v>
      </c>
      <c r="G276" s="417"/>
      <c r="H276" s="418" t="n">
        <v>0</v>
      </c>
      <c r="I276" s="417" t="n">
        <f aca="false">H280</f>
        <v>0</v>
      </c>
      <c r="J276" s="417" t="e">
        <f aca="false">I280</f>
        <v>#VALUE!</v>
      </c>
      <c r="K276" s="417" t="e">
        <f aca="false">J280</f>
        <v>#VALUE!</v>
      </c>
      <c r="L276" s="417" t="e">
        <f aca="false">K280</f>
        <v>#VALUE!</v>
      </c>
      <c r="M276" s="417" t="e">
        <f aca="false">L280</f>
        <v>#VALUE!</v>
      </c>
      <c r="N276" s="417" t="e">
        <f aca="false">M280</f>
        <v>#VALUE!</v>
      </c>
      <c r="O276" s="417" t="e">
        <f aca="false">N280</f>
        <v>#VALUE!</v>
      </c>
      <c r="P276" s="417" t="e">
        <f aca="false">O280</f>
        <v>#VALUE!</v>
      </c>
      <c r="Q276" s="417" t="e">
        <f aca="false">P280</f>
        <v>#VALUE!</v>
      </c>
      <c r="R276" s="417" t="e">
        <f aca="false">Q280</f>
        <v>#VALUE!</v>
      </c>
      <c r="S276" s="417" t="e">
        <f aca="false">R280</f>
        <v>#VALUE!</v>
      </c>
      <c r="T276" s="417" t="e">
        <f aca="false">S280</f>
        <v>#VALUE!</v>
      </c>
      <c r="U276" s="417" t="e">
        <f aca="false">T280</f>
        <v>#VALUE!</v>
      </c>
      <c r="V276" s="417" t="e">
        <f aca="false">U280</f>
        <v>#VALUE!</v>
      </c>
      <c r="W276" s="417" t="e">
        <f aca="false">V280</f>
        <v>#VALUE!</v>
      </c>
      <c r="X276" s="417" t="e">
        <f aca="false">W280</f>
        <v>#VALUE!</v>
      </c>
      <c r="Y276" s="417" t="e">
        <f aca="false">X280</f>
        <v>#VALUE!</v>
      </c>
      <c r="Z276" s="417" t="e">
        <f aca="false">Y280</f>
        <v>#VALUE!</v>
      </c>
      <c r="AA276" s="417" t="e">
        <f aca="false">Z280</f>
        <v>#VALUE!</v>
      </c>
      <c r="AB276" s="417" t="e">
        <f aca="false">AA280</f>
        <v>#VALUE!</v>
      </c>
      <c r="AC276" s="417" t="e">
        <f aca="false">AB280</f>
        <v>#VALUE!</v>
      </c>
    </row>
    <row r="277" customFormat="false" ht="11.25" hidden="false" customHeight="false" outlineLevel="0" collapsed="false">
      <c r="C277" s="43" t="s">
        <v>707</v>
      </c>
      <c r="D277" s="430"/>
      <c r="E277" s="430"/>
      <c r="F277" s="430"/>
      <c r="G277" s="417"/>
      <c r="H277" s="418" t="n">
        <f aca="false">-H343+H519</f>
        <v>0</v>
      </c>
      <c r="I277" s="417" t="n">
        <f aca="false">I519+I515</f>
        <v>0</v>
      </c>
      <c r="J277" s="417" t="n">
        <f aca="false">J519+J515</f>
        <v>0</v>
      </c>
      <c r="K277" s="417" t="n">
        <f aca="false">K519+K515</f>
        <v>0</v>
      </c>
      <c r="L277" s="417" t="n">
        <f aca="false">L519+L515</f>
        <v>0</v>
      </c>
      <c r="M277" s="417" t="n">
        <f aca="false">M519+M515</f>
        <v>0</v>
      </c>
      <c r="N277" s="417" t="n">
        <f aca="false">N519+N515</f>
        <v>0</v>
      </c>
      <c r="O277" s="417" t="n">
        <f aca="false">O519+O515</f>
        <v>0</v>
      </c>
      <c r="P277" s="417" t="n">
        <f aca="false">P519+P515</f>
        <v>0</v>
      </c>
      <c r="Q277" s="417" t="n">
        <f aca="false">Q519+Q515</f>
        <v>0</v>
      </c>
      <c r="R277" s="417" t="n">
        <f aca="false">R519+R515</f>
        <v>0</v>
      </c>
      <c r="S277" s="417" t="n">
        <f aca="false">S519+S515</f>
        <v>0</v>
      </c>
      <c r="T277" s="417" t="n">
        <f aca="false">T519+T515</f>
        <v>0</v>
      </c>
      <c r="U277" s="417" t="n">
        <f aca="false">U519+U515</f>
        <v>0</v>
      </c>
      <c r="V277" s="417" t="n">
        <f aca="false">V519+V515</f>
        <v>0</v>
      </c>
      <c r="W277" s="417" t="n">
        <f aca="false">W519+W515</f>
        <v>0</v>
      </c>
      <c r="X277" s="417" t="n">
        <f aca="false">X519+X515</f>
        <v>0</v>
      </c>
      <c r="Y277" s="417" t="n">
        <f aca="false">Y519+Y515</f>
        <v>0</v>
      </c>
      <c r="Z277" s="417" t="n">
        <f aca="false">Z519+Z515</f>
        <v>0</v>
      </c>
      <c r="AA277" s="417" t="n">
        <f aca="false">AA519+AA515</f>
        <v>0</v>
      </c>
      <c r="AB277" s="417" t="n">
        <f aca="false">AB519+AB515</f>
        <v>0</v>
      </c>
      <c r="AC277" s="417" t="n">
        <f aca="false">AC519+AC515</f>
        <v>0</v>
      </c>
    </row>
    <row r="278" customFormat="false" ht="11.25" hidden="false" customHeight="false" outlineLevel="0" collapsed="false">
      <c r="C278" s="43" t="s">
        <v>708</v>
      </c>
      <c r="G278" s="417"/>
      <c r="H278" s="418" t="n">
        <f aca="false">H514</f>
        <v>0</v>
      </c>
      <c r="I278" s="417" t="n">
        <f aca="false">I514</f>
        <v>0</v>
      </c>
      <c r="J278" s="417" t="n">
        <f aca="false">J514</f>
        <v>0</v>
      </c>
      <c r="K278" s="417" t="n">
        <f aca="false">K514</f>
        <v>0</v>
      </c>
      <c r="L278" s="417" t="n">
        <f aca="false">L514</f>
        <v>0</v>
      </c>
      <c r="M278" s="417" t="n">
        <f aca="false">M514</f>
        <v>0</v>
      </c>
      <c r="N278" s="417" t="n">
        <f aca="false">N514</f>
        <v>0</v>
      </c>
      <c r="O278" s="417" t="n">
        <f aca="false">O514</f>
        <v>0</v>
      </c>
      <c r="P278" s="417" t="n">
        <f aca="false">P514</f>
        <v>0</v>
      </c>
      <c r="Q278" s="417" t="n">
        <f aca="false">Q514</f>
        <v>0</v>
      </c>
      <c r="R278" s="417" t="n">
        <f aca="false">R514</f>
        <v>0</v>
      </c>
      <c r="S278" s="417" t="n">
        <f aca="false">S514</f>
        <v>0</v>
      </c>
      <c r="T278" s="417" t="n">
        <f aca="false">T514</f>
        <v>0</v>
      </c>
      <c r="U278" s="417" t="n">
        <f aca="false">U514</f>
        <v>0</v>
      </c>
      <c r="V278" s="417" t="n">
        <f aca="false">V514</f>
        <v>0</v>
      </c>
      <c r="W278" s="417" t="n">
        <f aca="false">W514</f>
        <v>0</v>
      </c>
      <c r="X278" s="417" t="n">
        <f aca="false">X514</f>
        <v>0</v>
      </c>
      <c r="Y278" s="417" t="n">
        <f aca="false">Y514</f>
        <v>0</v>
      </c>
      <c r="Z278" s="417" t="n">
        <f aca="false">Z514</f>
        <v>0</v>
      </c>
      <c r="AA278" s="417" t="n">
        <f aca="false">AA514</f>
        <v>0</v>
      </c>
      <c r="AB278" s="417" t="n">
        <f aca="false">AB514</f>
        <v>0</v>
      </c>
      <c r="AC278" s="417" t="n">
        <f aca="false">AC514</f>
        <v>0</v>
      </c>
    </row>
    <row r="279" customFormat="false" ht="11.25" hidden="false" customHeight="false" outlineLevel="0" collapsed="false">
      <c r="C279" s="43" t="s">
        <v>715</v>
      </c>
      <c r="G279" s="417"/>
      <c r="H279" s="418" t="n">
        <f aca="false">-H167</f>
        <v>-0</v>
      </c>
      <c r="I279" s="432" t="e">
        <f aca="false">-I167</f>
        <v>#VALUE!</v>
      </c>
      <c r="J279" s="432" t="e">
        <f aca="false">-J167</f>
        <v>#N/A</v>
      </c>
      <c r="K279" s="432" t="e">
        <f aca="false">-K167</f>
        <v>#N/A</v>
      </c>
      <c r="L279" s="432" t="e">
        <f aca="false">-L167</f>
        <v>#N/A</v>
      </c>
      <c r="M279" s="432" t="e">
        <f aca="false">-M167</f>
        <v>#N/A</v>
      </c>
      <c r="N279" s="432" t="e">
        <f aca="false">-N167</f>
        <v>#N/A</v>
      </c>
      <c r="O279" s="432" t="e">
        <f aca="false">-O167</f>
        <v>#N/A</v>
      </c>
      <c r="P279" s="432" t="e">
        <f aca="false">-P167</f>
        <v>#N/A</v>
      </c>
      <c r="Q279" s="432" t="e">
        <f aca="false">-Q167</f>
        <v>#N/A</v>
      </c>
      <c r="R279" s="432" t="e">
        <f aca="false">-R167</f>
        <v>#N/A</v>
      </c>
      <c r="S279" s="432" t="e">
        <f aca="false">-S167</f>
        <v>#N/A</v>
      </c>
      <c r="T279" s="432" t="e">
        <f aca="false">-T167</f>
        <v>#N/A</v>
      </c>
      <c r="U279" s="432" t="e">
        <f aca="false">-U167</f>
        <v>#N/A</v>
      </c>
      <c r="V279" s="432" t="e">
        <f aca="false">-V167</f>
        <v>#N/A</v>
      </c>
      <c r="W279" s="432" t="e">
        <f aca="false">-W167</f>
        <v>#N/A</v>
      </c>
      <c r="X279" s="432" t="e">
        <f aca="false">-X167</f>
        <v>#N/A</v>
      </c>
      <c r="Y279" s="432" t="e">
        <f aca="false">-Y167</f>
        <v>#N/A</v>
      </c>
      <c r="Z279" s="432" t="e">
        <f aca="false">-Z167</f>
        <v>#N/A</v>
      </c>
      <c r="AA279" s="432" t="e">
        <f aca="false">-AA167</f>
        <v>#N/A</v>
      </c>
      <c r="AB279" s="432" t="e">
        <f aca="false">-AB167</f>
        <v>#N/A</v>
      </c>
      <c r="AC279" s="432" t="e">
        <f aca="false">-AC167</f>
        <v>#N/A</v>
      </c>
    </row>
    <row r="280" customFormat="false" ht="11.25" hidden="false" customHeight="false" outlineLevel="0" collapsed="false">
      <c r="C280" s="43" t="s">
        <v>709</v>
      </c>
      <c r="G280" s="417"/>
      <c r="H280" s="420" t="n">
        <f aca="false">H276-H278-H277-H279</f>
        <v>0</v>
      </c>
      <c r="I280" s="419" t="e">
        <f aca="false">I276-I278-I277-I279</f>
        <v>#VALUE!</v>
      </c>
      <c r="J280" s="419" t="e">
        <f aca="false">J276-J278-J277-J279</f>
        <v>#VALUE!</v>
      </c>
      <c r="K280" s="419" t="e">
        <f aca="false">K276-K278-K277-K279</f>
        <v>#VALUE!</v>
      </c>
      <c r="L280" s="419" t="e">
        <f aca="false">L276-L278-L277-L279</f>
        <v>#VALUE!</v>
      </c>
      <c r="M280" s="419" t="e">
        <f aca="false">M276-M278-M277-M279</f>
        <v>#VALUE!</v>
      </c>
      <c r="N280" s="419" t="e">
        <f aca="false">N276-N278-N277-N279</f>
        <v>#VALUE!</v>
      </c>
      <c r="O280" s="419" t="e">
        <f aca="false">O276-O278-O277-O279</f>
        <v>#VALUE!</v>
      </c>
      <c r="P280" s="419" t="e">
        <f aca="false">P276-P278-P277-P279</f>
        <v>#VALUE!</v>
      </c>
      <c r="Q280" s="419" t="e">
        <f aca="false">Q276-Q278-Q277-Q279</f>
        <v>#VALUE!</v>
      </c>
      <c r="R280" s="419" t="e">
        <f aca="false">R276-R278-R277-R279</f>
        <v>#VALUE!</v>
      </c>
      <c r="S280" s="419" t="e">
        <f aca="false">S276-S278-S277-S279</f>
        <v>#VALUE!</v>
      </c>
      <c r="T280" s="419" t="e">
        <f aca="false">T276-T278-T277-T279</f>
        <v>#VALUE!</v>
      </c>
      <c r="U280" s="419" t="e">
        <f aca="false">U276-U278-U277-U279</f>
        <v>#VALUE!</v>
      </c>
      <c r="V280" s="419" t="e">
        <f aca="false">V276-V278-V277-V279</f>
        <v>#VALUE!</v>
      </c>
      <c r="W280" s="419" t="e">
        <f aca="false">W276-W278-W277-W279</f>
        <v>#VALUE!</v>
      </c>
      <c r="X280" s="419" t="e">
        <f aca="false">X276-X278-X277-X279</f>
        <v>#VALUE!</v>
      </c>
      <c r="Y280" s="419" t="e">
        <f aca="false">Y276-Y278-Y277-Y279</f>
        <v>#VALUE!</v>
      </c>
      <c r="Z280" s="419" t="e">
        <f aca="false">Z276-Z278-Z277-Z279</f>
        <v>#VALUE!</v>
      </c>
      <c r="AA280" s="419" t="e">
        <f aca="false">AA276-AA278-AA277-AA279</f>
        <v>#VALUE!</v>
      </c>
      <c r="AB280" s="419" t="e">
        <f aca="false">AB276-AB278-AB277-AB279</f>
        <v>#VALUE!</v>
      </c>
      <c r="AC280" s="419" t="e">
        <f aca="false">AC276-AC278-AC277-AC279</f>
        <v>#VALUE!</v>
      </c>
    </row>
    <row r="281" customFormat="false" ht="11.25" hidden="false" customHeight="false" outlineLevel="0" collapsed="false">
      <c r="C281" s="43" t="s">
        <v>710</v>
      </c>
      <c r="H281" s="421"/>
      <c r="I281" s="370" t="n">
        <f aca="false">I568</f>
        <v>0</v>
      </c>
      <c r="J281" s="370" t="n">
        <f aca="false">J568</f>
        <v>0</v>
      </c>
      <c r="K281" s="370" t="n">
        <f aca="false">K568</f>
        <v>0</v>
      </c>
      <c r="L281" s="370" t="n">
        <f aca="false">L568</f>
        <v>0</v>
      </c>
      <c r="M281" s="370" t="n">
        <f aca="false">M568</f>
        <v>0</v>
      </c>
      <c r="N281" s="370" t="n">
        <f aca="false">N568</f>
        <v>0</v>
      </c>
      <c r="O281" s="370" t="n">
        <f aca="false">O568</f>
        <v>0</v>
      </c>
      <c r="P281" s="370" t="n">
        <f aca="false">P568</f>
        <v>0</v>
      </c>
      <c r="Q281" s="370" t="n">
        <f aca="false">Q568</f>
        <v>0</v>
      </c>
      <c r="R281" s="370" t="n">
        <f aca="false">R568</f>
        <v>0</v>
      </c>
      <c r="S281" s="370" t="n">
        <f aca="false">S568</f>
        <v>0</v>
      </c>
      <c r="T281" s="370" t="n">
        <f aca="false">T568</f>
        <v>0</v>
      </c>
      <c r="U281" s="370" t="n">
        <f aca="false">U568</f>
        <v>0</v>
      </c>
      <c r="V281" s="370" t="n">
        <f aca="false">V568</f>
        <v>0</v>
      </c>
      <c r="W281" s="370" t="n">
        <f aca="false">W568</f>
        <v>0</v>
      </c>
      <c r="X281" s="370" t="n">
        <f aca="false">X568</f>
        <v>0</v>
      </c>
      <c r="Y281" s="370" t="n">
        <f aca="false">Y568</f>
        <v>0</v>
      </c>
      <c r="Z281" s="370" t="n">
        <f aca="false">Z568</f>
        <v>0</v>
      </c>
      <c r="AA281" s="370" t="n">
        <f aca="false">AA568</f>
        <v>0</v>
      </c>
      <c r="AB281" s="370" t="n">
        <f aca="false">AB568</f>
        <v>0</v>
      </c>
      <c r="AC281" s="370" t="n">
        <f aca="false">AC568</f>
        <v>0</v>
      </c>
    </row>
    <row r="282" customFormat="false" ht="11.25" hidden="false" customHeight="false" outlineLevel="0" collapsed="false">
      <c r="H282" s="421"/>
    </row>
    <row r="283" customFormat="false" ht="11.25" hidden="false" customHeight="false" outlineLevel="0" collapsed="false">
      <c r="A283" s="168" t="str">
        <f aca="false">B344&amp;":"</f>
        <v>Jr. Sub Notes:</v>
      </c>
      <c r="C283" s="43" t="s">
        <v>706</v>
      </c>
      <c r="G283" s="417"/>
      <c r="H283" s="418" t="n">
        <v>0</v>
      </c>
      <c r="I283" s="417" t="n">
        <f aca="false">H286</f>
        <v>0</v>
      </c>
      <c r="J283" s="417" t="n">
        <f aca="false">I286</f>
        <v>0</v>
      </c>
      <c r="K283" s="417" t="n">
        <f aca="false">J286</f>
        <v>0</v>
      </c>
      <c r="L283" s="417" t="n">
        <f aca="false">K286</f>
        <v>0</v>
      </c>
      <c r="M283" s="417" t="n">
        <f aca="false">L286</f>
        <v>0</v>
      </c>
      <c r="N283" s="417" t="n">
        <f aca="false">M286</f>
        <v>0</v>
      </c>
      <c r="O283" s="417" t="n">
        <f aca="false">N286</f>
        <v>0</v>
      </c>
      <c r="P283" s="417" t="n">
        <f aca="false">O286</f>
        <v>0</v>
      </c>
      <c r="Q283" s="417" t="n">
        <f aca="false">P286</f>
        <v>0</v>
      </c>
      <c r="R283" s="417" t="n">
        <f aca="false">Q286</f>
        <v>0</v>
      </c>
      <c r="S283" s="417" t="n">
        <f aca="false">R286</f>
        <v>0</v>
      </c>
      <c r="T283" s="417" t="n">
        <f aca="false">S286</f>
        <v>0</v>
      </c>
      <c r="U283" s="417" t="n">
        <f aca="false">T286</f>
        <v>0</v>
      </c>
      <c r="V283" s="417" t="n">
        <f aca="false">U286</f>
        <v>0</v>
      </c>
      <c r="W283" s="417" t="n">
        <f aca="false">V286</f>
        <v>0</v>
      </c>
      <c r="X283" s="417" t="n">
        <f aca="false">W286</f>
        <v>0</v>
      </c>
      <c r="Y283" s="417" t="n">
        <f aca="false">X286</f>
        <v>0</v>
      </c>
      <c r="Z283" s="417" t="n">
        <f aca="false">Y286</f>
        <v>0</v>
      </c>
      <c r="AA283" s="417" t="n">
        <f aca="false">Z286</f>
        <v>0</v>
      </c>
      <c r="AB283" s="417" t="n">
        <f aca="false">AA286</f>
        <v>0</v>
      </c>
      <c r="AC283" s="417" t="n">
        <f aca="false">AB286</f>
        <v>0</v>
      </c>
    </row>
    <row r="284" customFormat="false" ht="11.25" hidden="false" customHeight="false" outlineLevel="0" collapsed="false">
      <c r="C284" s="43" t="s">
        <v>707</v>
      </c>
      <c r="G284" s="417"/>
      <c r="H284" s="418" t="n">
        <f aca="false">-H344+H527</f>
        <v>0</v>
      </c>
      <c r="I284" s="417" t="n">
        <f aca="false">I527+I523</f>
        <v>0</v>
      </c>
      <c r="J284" s="417" t="n">
        <f aca="false">J527+J523</f>
        <v>0</v>
      </c>
      <c r="K284" s="417" t="n">
        <f aca="false">K527+K523</f>
        <v>0</v>
      </c>
      <c r="L284" s="417" t="n">
        <f aca="false">L527+L523</f>
        <v>0</v>
      </c>
      <c r="M284" s="417" t="n">
        <f aca="false">M527+M523</f>
        <v>0</v>
      </c>
      <c r="N284" s="417" t="n">
        <f aca="false">N527+N523</f>
        <v>0</v>
      </c>
      <c r="O284" s="417" t="n">
        <f aca="false">O527+O523</f>
        <v>0</v>
      </c>
      <c r="P284" s="417" t="n">
        <f aca="false">P527+P523</f>
        <v>0</v>
      </c>
      <c r="Q284" s="417" t="n">
        <f aca="false">Q527+Q523</f>
        <v>0</v>
      </c>
      <c r="R284" s="417" t="n">
        <f aca="false">R527+R523</f>
        <v>0</v>
      </c>
      <c r="S284" s="417" t="n">
        <f aca="false">S527+S523</f>
        <v>0</v>
      </c>
      <c r="T284" s="417" t="n">
        <f aca="false">T527+T523</f>
        <v>0</v>
      </c>
      <c r="U284" s="417" t="n">
        <f aca="false">U527+U523</f>
        <v>0</v>
      </c>
      <c r="V284" s="417" t="n">
        <f aca="false">V527+V523</f>
        <v>0</v>
      </c>
      <c r="W284" s="417" t="n">
        <f aca="false">W527+W523</f>
        <v>0</v>
      </c>
      <c r="X284" s="417" t="n">
        <f aca="false">X527+X523</f>
        <v>0</v>
      </c>
      <c r="Y284" s="417" t="n">
        <f aca="false">Y527+Y523</f>
        <v>0</v>
      </c>
      <c r="Z284" s="417" t="n">
        <f aca="false">Z527+Z523</f>
        <v>0</v>
      </c>
      <c r="AA284" s="417" t="n">
        <f aca="false">AA527+AA523</f>
        <v>0</v>
      </c>
      <c r="AB284" s="417" t="n">
        <f aca="false">AB527+AB523</f>
        <v>0</v>
      </c>
      <c r="AC284" s="417" t="n">
        <f aca="false">AC527+AC523</f>
        <v>0</v>
      </c>
    </row>
    <row r="285" customFormat="false" ht="11.25" hidden="false" customHeight="false" outlineLevel="0" collapsed="false">
      <c r="C285" s="43" t="s">
        <v>708</v>
      </c>
      <c r="H285" s="421" t="n">
        <f aca="false">H522</f>
        <v>0</v>
      </c>
      <c r="I285" s="35" t="n">
        <f aca="false">I522</f>
        <v>0</v>
      </c>
      <c r="J285" s="35" t="n">
        <f aca="false">J522</f>
        <v>0</v>
      </c>
      <c r="K285" s="35" t="n">
        <f aca="false">K522</f>
        <v>0</v>
      </c>
      <c r="L285" s="35" t="n">
        <f aca="false">L522</f>
        <v>0</v>
      </c>
      <c r="M285" s="35" t="n">
        <f aca="false">M522</f>
        <v>0</v>
      </c>
      <c r="N285" s="35" t="n">
        <f aca="false">N522</f>
        <v>0</v>
      </c>
      <c r="O285" s="35" t="n">
        <f aca="false">O522</f>
        <v>0</v>
      </c>
      <c r="P285" s="35" t="n">
        <f aca="false">P522</f>
        <v>0</v>
      </c>
      <c r="Q285" s="35" t="n">
        <f aca="false">Q522</f>
        <v>0</v>
      </c>
      <c r="R285" s="35" t="n">
        <f aca="false">R522</f>
        <v>0</v>
      </c>
      <c r="S285" s="35" t="n">
        <f aca="false">S522</f>
        <v>0</v>
      </c>
      <c r="T285" s="35" t="n">
        <f aca="false">T522</f>
        <v>0</v>
      </c>
      <c r="U285" s="35" t="n">
        <f aca="false">U522</f>
        <v>0</v>
      </c>
      <c r="V285" s="35" t="n">
        <f aca="false">V522</f>
        <v>0</v>
      </c>
      <c r="W285" s="35" t="n">
        <f aca="false">W522</f>
        <v>0</v>
      </c>
      <c r="X285" s="35" t="n">
        <f aca="false">X522</f>
        <v>0</v>
      </c>
      <c r="Y285" s="35" t="n">
        <f aca="false">Y522</f>
        <v>0</v>
      </c>
      <c r="Z285" s="35" t="n">
        <f aca="false">Z522</f>
        <v>0</v>
      </c>
      <c r="AA285" s="35" t="n">
        <f aca="false">AA522</f>
        <v>0</v>
      </c>
      <c r="AB285" s="35" t="n">
        <f aca="false">AB522</f>
        <v>0</v>
      </c>
      <c r="AC285" s="35" t="n">
        <f aca="false">AC522</f>
        <v>0</v>
      </c>
    </row>
    <row r="286" customFormat="false" ht="11.25" hidden="false" customHeight="false" outlineLevel="0" collapsed="false">
      <c r="C286" s="43" t="s">
        <v>709</v>
      </c>
      <c r="F286" s="417"/>
      <c r="G286" s="417"/>
      <c r="H286" s="420" t="n">
        <f aca="false">H283-H284-H285</f>
        <v>0</v>
      </c>
      <c r="I286" s="419" t="n">
        <f aca="false">I283-I284-I285</f>
        <v>0</v>
      </c>
      <c r="J286" s="419" t="n">
        <f aca="false">J283-J284-J285</f>
        <v>0</v>
      </c>
      <c r="K286" s="419" t="n">
        <f aca="false">K283-K284-K285</f>
        <v>0</v>
      </c>
      <c r="L286" s="419" t="n">
        <f aca="false">L283-L284-L285</f>
        <v>0</v>
      </c>
      <c r="M286" s="419" t="n">
        <f aca="false">M283-M284-M285</f>
        <v>0</v>
      </c>
      <c r="N286" s="419" t="n">
        <f aca="false">N283-N284-N285</f>
        <v>0</v>
      </c>
      <c r="O286" s="419" t="n">
        <f aca="false">O283-O284-O285</f>
        <v>0</v>
      </c>
      <c r="P286" s="419" t="n">
        <f aca="false">P283-P284-P285</f>
        <v>0</v>
      </c>
      <c r="Q286" s="419" t="n">
        <f aca="false">Q283-Q284-Q285</f>
        <v>0</v>
      </c>
      <c r="R286" s="419" t="n">
        <f aca="false">R283-R284-R285</f>
        <v>0</v>
      </c>
      <c r="S286" s="419" t="n">
        <f aca="false">S283-S284-S285</f>
        <v>0</v>
      </c>
      <c r="T286" s="419" t="n">
        <f aca="false">T283-T284-T285</f>
        <v>0</v>
      </c>
      <c r="U286" s="419" t="n">
        <f aca="false">U283-U284-U285</f>
        <v>0</v>
      </c>
      <c r="V286" s="419" t="n">
        <f aca="false">V283-V284-V285</f>
        <v>0</v>
      </c>
      <c r="W286" s="419" t="n">
        <f aca="false">W283-W284-W285</f>
        <v>0</v>
      </c>
      <c r="X286" s="419" t="n">
        <f aca="false">X283-X284-X285</f>
        <v>0</v>
      </c>
      <c r="Y286" s="419" t="n">
        <f aca="false">Y283-Y284-Y285</f>
        <v>0</v>
      </c>
      <c r="Z286" s="419" t="n">
        <f aca="false">Z283-Z284-Z285</f>
        <v>0</v>
      </c>
      <c r="AA286" s="419" t="n">
        <f aca="false">AA283-AA284-AA285</f>
        <v>0</v>
      </c>
      <c r="AB286" s="419" t="n">
        <f aca="false">AB283-AB284-AB285</f>
        <v>0</v>
      </c>
      <c r="AC286" s="419" t="n">
        <f aca="false">AC283-AC284-AC285</f>
        <v>0</v>
      </c>
    </row>
    <row r="287" customFormat="false" ht="11.25" hidden="false" customHeight="false" outlineLevel="0" collapsed="false">
      <c r="C287" s="43" t="s">
        <v>710</v>
      </c>
      <c r="H287" s="421"/>
      <c r="I287" s="370" t="n">
        <f aca="false">I569</f>
        <v>0</v>
      </c>
      <c r="J287" s="370" t="n">
        <f aca="false">J569</f>
        <v>0</v>
      </c>
      <c r="K287" s="370" t="n">
        <f aca="false">K569</f>
        <v>0</v>
      </c>
      <c r="L287" s="370" t="n">
        <f aca="false">L569</f>
        <v>0</v>
      </c>
      <c r="M287" s="370" t="n">
        <f aca="false">M569</f>
        <v>0</v>
      </c>
      <c r="N287" s="370" t="n">
        <f aca="false">N569</f>
        <v>0</v>
      </c>
      <c r="O287" s="370" t="n">
        <f aca="false">O569</f>
        <v>0</v>
      </c>
      <c r="P287" s="370" t="n">
        <f aca="false">P569</f>
        <v>0</v>
      </c>
      <c r="Q287" s="370" t="n">
        <f aca="false">Q569</f>
        <v>0</v>
      </c>
      <c r="R287" s="370" t="n">
        <f aca="false">R569</f>
        <v>0</v>
      </c>
      <c r="S287" s="370" t="n">
        <f aca="false">S569</f>
        <v>0</v>
      </c>
      <c r="T287" s="370" t="n">
        <f aca="false">T569</f>
        <v>0</v>
      </c>
      <c r="U287" s="370" t="n">
        <f aca="false">U569</f>
        <v>0</v>
      </c>
      <c r="V287" s="370" t="n">
        <f aca="false">V569</f>
        <v>0</v>
      </c>
      <c r="W287" s="370" t="n">
        <f aca="false">W569</f>
        <v>0</v>
      </c>
      <c r="X287" s="370" t="n">
        <f aca="false">X569</f>
        <v>0</v>
      </c>
      <c r="Y287" s="370" t="n">
        <f aca="false">Y569</f>
        <v>0</v>
      </c>
      <c r="Z287" s="370" t="n">
        <f aca="false">Z569</f>
        <v>0</v>
      </c>
      <c r="AA287" s="370" t="n">
        <f aca="false">AA569</f>
        <v>0</v>
      </c>
      <c r="AB287" s="370" t="n">
        <f aca="false">AB569</f>
        <v>0</v>
      </c>
      <c r="AC287" s="370" t="n">
        <f aca="false">AC569</f>
        <v>0</v>
      </c>
    </row>
    <row r="288" customFormat="false" ht="11.25" hidden="false" customHeight="false" outlineLevel="0" collapsed="false">
      <c r="H288" s="421"/>
    </row>
    <row r="289" customFormat="false" ht="11.25" hidden="false" customHeight="false" outlineLevel="0" collapsed="false">
      <c r="A289" s="168" t="str">
        <f aca="false">B345&amp;":"</f>
        <v>Preferred Stock:</v>
      </c>
      <c r="C289" s="43" t="s">
        <v>706</v>
      </c>
      <c r="F289" s="417"/>
      <c r="G289" s="417"/>
      <c r="H289" s="418" t="n">
        <v>0</v>
      </c>
      <c r="I289" s="417" t="n">
        <f aca="false">H292</f>
        <v>0</v>
      </c>
      <c r="J289" s="417" t="n">
        <f aca="false">I292</f>
        <v>0</v>
      </c>
      <c r="K289" s="417" t="n">
        <f aca="false">J292</f>
        <v>0</v>
      </c>
      <c r="L289" s="417" t="n">
        <f aca="false">K292</f>
        <v>0</v>
      </c>
      <c r="M289" s="417" t="n">
        <f aca="false">L292</f>
        <v>0</v>
      </c>
      <c r="N289" s="417" t="n">
        <f aca="false">M292</f>
        <v>0</v>
      </c>
      <c r="O289" s="417" t="n">
        <f aca="false">N292</f>
        <v>0</v>
      </c>
      <c r="P289" s="417" t="n">
        <f aca="false">O292</f>
        <v>0</v>
      </c>
      <c r="Q289" s="417" t="n">
        <f aca="false">P292</f>
        <v>0</v>
      </c>
      <c r="R289" s="417" t="n">
        <f aca="false">Q292</f>
        <v>0</v>
      </c>
      <c r="S289" s="417" t="n">
        <f aca="false">R292</f>
        <v>0</v>
      </c>
      <c r="T289" s="417" t="n">
        <f aca="false">S292</f>
        <v>0</v>
      </c>
      <c r="U289" s="417" t="n">
        <f aca="false">T292</f>
        <v>0</v>
      </c>
      <c r="V289" s="417" t="n">
        <f aca="false">U292</f>
        <v>0</v>
      </c>
      <c r="W289" s="417" t="n">
        <f aca="false">V292</f>
        <v>0</v>
      </c>
      <c r="X289" s="417" t="n">
        <f aca="false">W292</f>
        <v>0</v>
      </c>
      <c r="Y289" s="417" t="n">
        <f aca="false">X292</f>
        <v>0</v>
      </c>
      <c r="Z289" s="417" t="n">
        <f aca="false">Y292</f>
        <v>0</v>
      </c>
      <c r="AA289" s="417" t="n">
        <f aca="false">Z292</f>
        <v>0</v>
      </c>
      <c r="AB289" s="417" t="n">
        <f aca="false">AA292</f>
        <v>0</v>
      </c>
      <c r="AC289" s="417" t="n">
        <f aca="false">AB292</f>
        <v>0</v>
      </c>
    </row>
    <row r="290" customFormat="false" ht="11.25" hidden="false" customHeight="false" outlineLevel="0" collapsed="false">
      <c r="C290" s="43" t="s">
        <v>707</v>
      </c>
      <c r="F290" s="417"/>
      <c r="G290" s="417"/>
      <c r="H290" s="418" t="n">
        <f aca="false">-H533-H345</f>
        <v>-0</v>
      </c>
      <c r="I290" s="417" t="n">
        <f aca="false">I530-I533</f>
        <v>0</v>
      </c>
      <c r="J290" s="417" t="n">
        <f aca="false">J530-J533</f>
        <v>0</v>
      </c>
      <c r="K290" s="417" t="n">
        <f aca="false">K530-K533</f>
        <v>0</v>
      </c>
      <c r="L290" s="417" t="n">
        <f aca="false">L530-L533</f>
        <v>0</v>
      </c>
      <c r="M290" s="417" t="n">
        <f aca="false">M530-M533</f>
        <v>0</v>
      </c>
      <c r="N290" s="417" t="n">
        <f aca="false">N530-N533</f>
        <v>0</v>
      </c>
      <c r="O290" s="417" t="n">
        <f aca="false">O530-O533</f>
        <v>0</v>
      </c>
      <c r="P290" s="417" t="n">
        <f aca="false">P530-P533</f>
        <v>0</v>
      </c>
      <c r="Q290" s="417" t="n">
        <f aca="false">Q530-Q533</f>
        <v>0</v>
      </c>
      <c r="R290" s="417" t="n">
        <f aca="false">R530-R533</f>
        <v>0</v>
      </c>
      <c r="S290" s="417" t="n">
        <f aca="false">S530-S533</f>
        <v>0</v>
      </c>
      <c r="T290" s="417" t="n">
        <f aca="false">T530-T533</f>
        <v>0</v>
      </c>
      <c r="U290" s="417" t="n">
        <f aca="false">U530-U533</f>
        <v>0</v>
      </c>
      <c r="V290" s="417" t="n">
        <f aca="false">V530-V533</f>
        <v>0</v>
      </c>
      <c r="W290" s="417" t="n">
        <f aca="false">W530-W533</f>
        <v>0</v>
      </c>
      <c r="X290" s="417" t="n">
        <f aca="false">X530-X533</f>
        <v>0</v>
      </c>
      <c r="Y290" s="417" t="n">
        <f aca="false">Y530-Y533</f>
        <v>0</v>
      </c>
      <c r="Z290" s="417" t="n">
        <f aca="false">Z530-Z533</f>
        <v>0</v>
      </c>
      <c r="AA290" s="417" t="n">
        <f aca="false">AA530-AA533</f>
        <v>0</v>
      </c>
      <c r="AB290" s="417" t="n">
        <f aca="false">AB530-AB533</f>
        <v>0</v>
      </c>
      <c r="AC290" s="417" t="n">
        <f aca="false">AC530-AC533</f>
        <v>0</v>
      </c>
    </row>
    <row r="291" customFormat="false" ht="11.25" hidden="false" customHeight="false" outlineLevel="0" collapsed="false">
      <c r="C291" s="43" t="s">
        <v>708</v>
      </c>
      <c r="G291" s="417"/>
      <c r="H291" s="418" t="n">
        <v>0</v>
      </c>
      <c r="I291" s="417" t="n">
        <f aca="false">I529</f>
        <v>0</v>
      </c>
      <c r="J291" s="417" t="n">
        <f aca="false">J529</f>
        <v>0</v>
      </c>
      <c r="K291" s="417" t="n">
        <f aca="false">K529</f>
        <v>0</v>
      </c>
      <c r="L291" s="417" t="n">
        <f aca="false">L529</f>
        <v>0</v>
      </c>
      <c r="M291" s="417" t="n">
        <f aca="false">M529</f>
        <v>0</v>
      </c>
      <c r="N291" s="417" t="n">
        <f aca="false">N529</f>
        <v>0</v>
      </c>
      <c r="O291" s="417" t="n">
        <f aca="false">O529</f>
        <v>0</v>
      </c>
      <c r="P291" s="417" t="n">
        <f aca="false">P529</f>
        <v>0</v>
      </c>
      <c r="Q291" s="417" t="n">
        <f aca="false">Q529</f>
        <v>0</v>
      </c>
      <c r="R291" s="417" t="n">
        <f aca="false">R529</f>
        <v>0</v>
      </c>
      <c r="S291" s="417" t="n">
        <f aca="false">S529</f>
        <v>0</v>
      </c>
      <c r="T291" s="417" t="n">
        <f aca="false">T529</f>
        <v>0</v>
      </c>
      <c r="U291" s="417" t="n">
        <f aca="false">U529</f>
        <v>0</v>
      </c>
      <c r="V291" s="417" t="n">
        <f aca="false">V529</f>
        <v>0</v>
      </c>
      <c r="W291" s="417" t="n">
        <f aca="false">W529</f>
        <v>0</v>
      </c>
      <c r="X291" s="417" t="n">
        <f aca="false">X529</f>
        <v>0</v>
      </c>
      <c r="Y291" s="417" t="n">
        <f aca="false">Y529</f>
        <v>0</v>
      </c>
      <c r="Z291" s="417" t="n">
        <f aca="false">Z529</f>
        <v>0</v>
      </c>
      <c r="AA291" s="417" t="n">
        <f aca="false">AA529</f>
        <v>0</v>
      </c>
      <c r="AB291" s="417" t="n">
        <f aca="false">AB529</f>
        <v>0</v>
      </c>
      <c r="AC291" s="417" t="n">
        <f aca="false">AC529</f>
        <v>0</v>
      </c>
    </row>
    <row r="292" customFormat="false" ht="11.25" hidden="false" customHeight="false" outlineLevel="0" collapsed="false">
      <c r="C292" s="43" t="s">
        <v>709</v>
      </c>
      <c r="G292" s="417"/>
      <c r="H292" s="420" t="n">
        <f aca="false">H289-H290-H291</f>
        <v>0</v>
      </c>
      <c r="I292" s="419" t="n">
        <f aca="false">I289-I290-I291</f>
        <v>0</v>
      </c>
      <c r="J292" s="419" t="n">
        <f aca="false">J289-J290-J291</f>
        <v>0</v>
      </c>
      <c r="K292" s="419" t="n">
        <f aca="false">K289-K290-K291</f>
        <v>0</v>
      </c>
      <c r="L292" s="419" t="n">
        <f aca="false">L289-L290-L291</f>
        <v>0</v>
      </c>
      <c r="M292" s="419" t="n">
        <f aca="false">M289-M290-M291</f>
        <v>0</v>
      </c>
      <c r="N292" s="419" t="n">
        <f aca="false">N289-N290-N291</f>
        <v>0</v>
      </c>
      <c r="O292" s="419" t="n">
        <f aca="false">O289-O290-O291</f>
        <v>0</v>
      </c>
      <c r="P292" s="419" t="n">
        <f aca="false">P289-P290-P291</f>
        <v>0</v>
      </c>
      <c r="Q292" s="419" t="n">
        <f aca="false">Q289-Q290-Q291</f>
        <v>0</v>
      </c>
      <c r="R292" s="419" t="n">
        <f aca="false">R289-R290-R291</f>
        <v>0</v>
      </c>
      <c r="S292" s="419" t="n">
        <f aca="false">S289-S290-S291</f>
        <v>0</v>
      </c>
      <c r="T292" s="419" t="n">
        <f aca="false">T289-T290-T291</f>
        <v>0</v>
      </c>
      <c r="U292" s="419" t="n">
        <f aca="false">U289-U290-U291</f>
        <v>0</v>
      </c>
      <c r="V292" s="419" t="n">
        <f aca="false">V289-V290-V291</f>
        <v>0</v>
      </c>
      <c r="W292" s="419" t="n">
        <f aca="false">W289-W290-W291</f>
        <v>0</v>
      </c>
      <c r="X292" s="419" t="n">
        <f aca="false">X289-X290-X291</f>
        <v>0</v>
      </c>
      <c r="Y292" s="419" t="n">
        <f aca="false">Y289-Y290-Y291</f>
        <v>0</v>
      </c>
      <c r="Z292" s="419" t="n">
        <f aca="false">Z289-Z290-Z291</f>
        <v>0</v>
      </c>
      <c r="AA292" s="419" t="n">
        <f aca="false">AA289-AA290-AA291</f>
        <v>0</v>
      </c>
      <c r="AB292" s="419" t="n">
        <f aca="false">AB289-AB290-AB291</f>
        <v>0</v>
      </c>
      <c r="AC292" s="419" t="n">
        <f aca="false">AC289-AC290-AC291</f>
        <v>0</v>
      </c>
    </row>
    <row r="293" customFormat="false" ht="11.25" hidden="false" customHeight="false" outlineLevel="0" collapsed="false">
      <c r="C293" s="43" t="s">
        <v>720</v>
      </c>
      <c r="H293" s="421"/>
      <c r="I293" s="370" t="n">
        <f aca="false">I570</f>
        <v>0.06</v>
      </c>
      <c r="J293" s="370" t="n">
        <f aca="false">J570</f>
        <v>0.06</v>
      </c>
      <c r="K293" s="370" t="n">
        <f aca="false">K570</f>
        <v>0.06</v>
      </c>
      <c r="L293" s="370" t="n">
        <f aca="false">L570</f>
        <v>0.06</v>
      </c>
      <c r="M293" s="370" t="n">
        <f aca="false">M570</f>
        <v>0.06</v>
      </c>
      <c r="N293" s="370" t="n">
        <f aca="false">N570</f>
        <v>0.06</v>
      </c>
      <c r="O293" s="370" t="n">
        <f aca="false">O570</f>
        <v>0.06</v>
      </c>
      <c r="P293" s="370" t="n">
        <f aca="false">P570</f>
        <v>0.06</v>
      </c>
      <c r="Q293" s="370" t="n">
        <f aca="false">Q570</f>
        <v>0.06</v>
      </c>
      <c r="R293" s="370" t="n">
        <f aca="false">R570</f>
        <v>0.06</v>
      </c>
      <c r="S293" s="370" t="n">
        <f aca="false">S570</f>
        <v>0.06</v>
      </c>
      <c r="T293" s="370" t="n">
        <f aca="false">T570</f>
        <v>0.06</v>
      </c>
      <c r="U293" s="370" t="n">
        <f aca="false">U570</f>
        <v>0.06</v>
      </c>
      <c r="V293" s="370" t="n">
        <f aca="false">V570</f>
        <v>0.06</v>
      </c>
      <c r="W293" s="370" t="n">
        <f aca="false">W570</f>
        <v>0.06</v>
      </c>
      <c r="X293" s="370" t="n">
        <f aca="false">X570</f>
        <v>0.06</v>
      </c>
      <c r="Y293" s="370" t="n">
        <f aca="false">Y570</f>
        <v>0.06</v>
      </c>
      <c r="Z293" s="370" t="n">
        <f aca="false">Z570</f>
        <v>0.06</v>
      </c>
      <c r="AA293" s="370" t="n">
        <f aca="false">AA570</f>
        <v>0.06</v>
      </c>
      <c r="AB293" s="370" t="n">
        <f aca="false">AB570</f>
        <v>0.06</v>
      </c>
      <c r="AC293" s="370" t="n">
        <f aca="false">AC570</f>
        <v>0.06</v>
      </c>
    </row>
    <row r="294" customFormat="false" ht="11.25" hidden="false" customHeight="false" outlineLevel="0" collapsed="false">
      <c r="H294" s="421"/>
    </row>
    <row r="295" customFormat="false" ht="11.25" hidden="false" customHeight="false" outlineLevel="0" collapsed="false">
      <c r="A295" s="168" t="str">
        <f aca="false">A538</f>
        <v>Existing Sr Debt</v>
      </c>
      <c r="B295" s="67"/>
      <c r="C295" s="307" t="s">
        <v>721</v>
      </c>
      <c r="D295" s="43" t="s">
        <v>706</v>
      </c>
      <c r="E295" s="417"/>
      <c r="F295" s="417"/>
      <c r="G295" s="417"/>
      <c r="H295" s="418" t="n">
        <f aca="false">I412</f>
        <v>0</v>
      </c>
      <c r="I295" s="417" t="n">
        <f aca="false">H298</f>
        <v>0</v>
      </c>
      <c r="J295" s="417" t="n">
        <f aca="false">I298</f>
        <v>0</v>
      </c>
      <c r="K295" s="417" t="n">
        <f aca="false">J298</f>
        <v>0</v>
      </c>
      <c r="L295" s="417" t="n">
        <f aca="false">K298</f>
        <v>0</v>
      </c>
      <c r="M295" s="417" t="n">
        <f aca="false">L298</f>
        <v>0</v>
      </c>
      <c r="N295" s="417" t="n">
        <f aca="false">M298</f>
        <v>0</v>
      </c>
      <c r="O295" s="417" t="n">
        <f aca="false">N298</f>
        <v>0</v>
      </c>
      <c r="P295" s="417" t="n">
        <f aca="false">O298</f>
        <v>0</v>
      </c>
      <c r="Q295" s="417" t="n">
        <f aca="false">P298</f>
        <v>0</v>
      </c>
      <c r="R295" s="417" t="n">
        <f aca="false">Q298</f>
        <v>0</v>
      </c>
      <c r="S295" s="417" t="n">
        <f aca="false">R298</f>
        <v>0</v>
      </c>
      <c r="T295" s="417" t="n">
        <f aca="false">S298</f>
        <v>0</v>
      </c>
      <c r="U295" s="417" t="n">
        <f aca="false">T298</f>
        <v>0</v>
      </c>
      <c r="V295" s="417" t="n">
        <f aca="false">U298</f>
        <v>0</v>
      </c>
      <c r="W295" s="417" t="n">
        <f aca="false">V298</f>
        <v>0</v>
      </c>
      <c r="X295" s="417" t="n">
        <f aca="false">W298</f>
        <v>0</v>
      </c>
      <c r="Y295" s="417" t="n">
        <f aca="false">X298</f>
        <v>0</v>
      </c>
      <c r="Z295" s="417" t="n">
        <f aca="false">Y298</f>
        <v>0</v>
      </c>
      <c r="AA295" s="417" t="n">
        <f aca="false">Z298</f>
        <v>0</v>
      </c>
      <c r="AB295" s="417" t="n">
        <f aca="false">AA298</f>
        <v>0</v>
      </c>
      <c r="AC295" s="417" t="n">
        <f aca="false">AB298</f>
        <v>0</v>
      </c>
    </row>
    <row r="296" customFormat="false" ht="11.25" hidden="false" customHeight="false" outlineLevel="0" collapsed="false">
      <c r="B296" s="67"/>
      <c r="D296" s="43" t="s">
        <v>707</v>
      </c>
      <c r="H296" s="421" t="n">
        <v>0</v>
      </c>
      <c r="I296" s="35" t="n">
        <f aca="false">I539</f>
        <v>0</v>
      </c>
      <c r="J296" s="35" t="n">
        <f aca="false">J539</f>
        <v>0</v>
      </c>
      <c r="K296" s="35" t="n">
        <f aca="false">K539</f>
        <v>0</v>
      </c>
      <c r="L296" s="35" t="n">
        <f aca="false">L539</f>
        <v>0</v>
      </c>
      <c r="M296" s="35" t="n">
        <f aca="false">M539</f>
        <v>0</v>
      </c>
      <c r="N296" s="35" t="n">
        <f aca="false">N539</f>
        <v>0</v>
      </c>
      <c r="O296" s="35" t="n">
        <f aca="false">O539</f>
        <v>0</v>
      </c>
      <c r="P296" s="35" t="n">
        <f aca="false">P539</f>
        <v>0</v>
      </c>
      <c r="Q296" s="35" t="n">
        <f aca="false">Q539</f>
        <v>0</v>
      </c>
      <c r="R296" s="35" t="n">
        <f aca="false">R539</f>
        <v>0</v>
      </c>
      <c r="S296" s="35" t="n">
        <f aca="false">S539</f>
        <v>0</v>
      </c>
      <c r="T296" s="35" t="n">
        <f aca="false">T539</f>
        <v>0</v>
      </c>
      <c r="U296" s="35" t="n">
        <f aca="false">U539</f>
        <v>0</v>
      </c>
      <c r="V296" s="35" t="n">
        <f aca="false">V539</f>
        <v>0</v>
      </c>
      <c r="W296" s="35" t="n">
        <f aca="false">W539</f>
        <v>0</v>
      </c>
      <c r="X296" s="35" t="n">
        <f aca="false">X539</f>
        <v>0</v>
      </c>
      <c r="Y296" s="35" t="n">
        <f aca="false">Y539</f>
        <v>0</v>
      </c>
      <c r="Z296" s="35" t="n">
        <f aca="false">Z539</f>
        <v>0</v>
      </c>
      <c r="AA296" s="35" t="n">
        <f aca="false">AA539</f>
        <v>0</v>
      </c>
      <c r="AB296" s="35" t="n">
        <f aca="false">AB539</f>
        <v>0</v>
      </c>
      <c r="AC296" s="35" t="n">
        <f aca="false">AC539</f>
        <v>0</v>
      </c>
    </row>
    <row r="297" customFormat="false" ht="11.25" hidden="false" customHeight="false" outlineLevel="0" collapsed="false">
      <c r="B297" s="67"/>
      <c r="D297" s="43" t="s">
        <v>708</v>
      </c>
      <c r="H297" s="418" t="n">
        <f aca="false">L412</f>
        <v>0</v>
      </c>
      <c r="I297" s="417" t="n">
        <f aca="false">I538</f>
        <v>0</v>
      </c>
      <c r="J297" s="417" t="n">
        <f aca="false">J538</f>
        <v>0</v>
      </c>
      <c r="K297" s="417" t="n">
        <f aca="false">K538</f>
        <v>0</v>
      </c>
      <c r="L297" s="417" t="n">
        <f aca="false">L538</f>
        <v>0</v>
      </c>
      <c r="M297" s="417" t="n">
        <f aca="false">M538</f>
        <v>0</v>
      </c>
      <c r="N297" s="417" t="n">
        <f aca="false">N538</f>
        <v>0</v>
      </c>
      <c r="O297" s="417" t="n">
        <f aca="false">O538</f>
        <v>0</v>
      </c>
      <c r="P297" s="417" t="n">
        <f aca="false">P538</f>
        <v>0</v>
      </c>
      <c r="Q297" s="417" t="n">
        <f aca="false">Q538</f>
        <v>0</v>
      </c>
      <c r="R297" s="417" t="n">
        <f aca="false">R538</f>
        <v>0</v>
      </c>
      <c r="S297" s="417" t="n">
        <f aca="false">S538</f>
        <v>0</v>
      </c>
      <c r="T297" s="417" t="n">
        <f aca="false">T538</f>
        <v>0</v>
      </c>
      <c r="U297" s="417" t="n">
        <f aca="false">U538</f>
        <v>0</v>
      </c>
      <c r="V297" s="417" t="n">
        <f aca="false">V538</f>
        <v>0</v>
      </c>
      <c r="W297" s="417" t="n">
        <f aca="false">W538</f>
        <v>0</v>
      </c>
      <c r="X297" s="417" t="n">
        <f aca="false">X538</f>
        <v>0</v>
      </c>
      <c r="Y297" s="417" t="n">
        <f aca="false">Y538</f>
        <v>0</v>
      </c>
      <c r="Z297" s="417" t="n">
        <f aca="false">Z538</f>
        <v>0</v>
      </c>
      <c r="AA297" s="417" t="n">
        <f aca="false">AA538</f>
        <v>0</v>
      </c>
      <c r="AB297" s="417" t="n">
        <f aca="false">AB538</f>
        <v>0</v>
      </c>
      <c r="AC297" s="417" t="n">
        <f aca="false">AC538</f>
        <v>0</v>
      </c>
    </row>
    <row r="298" customFormat="false" ht="11.25" hidden="false" customHeight="false" outlineLevel="0" collapsed="false">
      <c r="B298" s="67"/>
      <c r="D298" s="43" t="s">
        <v>709</v>
      </c>
      <c r="H298" s="420" t="n">
        <f aca="false">H295-H296-H297</f>
        <v>0</v>
      </c>
      <c r="I298" s="419" t="n">
        <f aca="false">I295-I296-I297</f>
        <v>0</v>
      </c>
      <c r="J298" s="419" t="n">
        <f aca="false">J295-J296-J297</f>
        <v>0</v>
      </c>
      <c r="K298" s="419" t="n">
        <f aca="false">K295-K296-K297</f>
        <v>0</v>
      </c>
      <c r="L298" s="419" t="n">
        <f aca="false">L295-L296-L297</f>
        <v>0</v>
      </c>
      <c r="M298" s="419" t="n">
        <f aca="false">M295-M296-M297</f>
        <v>0</v>
      </c>
      <c r="N298" s="419" t="n">
        <f aca="false">N295-N296-N297</f>
        <v>0</v>
      </c>
      <c r="O298" s="419" t="n">
        <f aca="false">O295-O296-O297</f>
        <v>0</v>
      </c>
      <c r="P298" s="419" t="n">
        <f aca="false">P295-P296-P297</f>
        <v>0</v>
      </c>
      <c r="Q298" s="419" t="n">
        <f aca="false">Q295-Q296-Q297</f>
        <v>0</v>
      </c>
      <c r="R298" s="419" t="n">
        <f aca="false">R295-R296-R297</f>
        <v>0</v>
      </c>
      <c r="S298" s="419" t="n">
        <f aca="false">S295-S296-S297</f>
        <v>0</v>
      </c>
      <c r="T298" s="419" t="n">
        <f aca="false">T295-T296-T297</f>
        <v>0</v>
      </c>
      <c r="U298" s="419" t="n">
        <f aca="false">U295-U296-U297</f>
        <v>0</v>
      </c>
      <c r="V298" s="419" t="n">
        <f aca="false">V295-V296-V297</f>
        <v>0</v>
      </c>
      <c r="W298" s="419" t="n">
        <f aca="false">W295-W296-W297</f>
        <v>0</v>
      </c>
      <c r="X298" s="419" t="n">
        <f aca="false">X295-X296-X297</f>
        <v>0</v>
      </c>
      <c r="Y298" s="419" t="n">
        <f aca="false">Y295-Y296-Y297</f>
        <v>0</v>
      </c>
      <c r="Z298" s="419" t="n">
        <f aca="false">Z295-Z296-Z297</f>
        <v>0</v>
      </c>
      <c r="AA298" s="419" t="n">
        <f aca="false">AA295-AA296-AA297</f>
        <v>0</v>
      </c>
      <c r="AB298" s="419" t="n">
        <f aca="false">AB295-AB296-AB297</f>
        <v>0</v>
      </c>
      <c r="AC298" s="419" t="n">
        <f aca="false">AC295-AC296-AC297</f>
        <v>0</v>
      </c>
    </row>
    <row r="299" customFormat="false" ht="11.25" hidden="false" customHeight="false" outlineLevel="0" collapsed="false">
      <c r="B299" s="67"/>
      <c r="D299" s="43" t="s">
        <v>710</v>
      </c>
      <c r="H299" s="421"/>
      <c r="I299" s="370" t="n">
        <f aca="false">I554</f>
        <v>0</v>
      </c>
      <c r="J299" s="370" t="n">
        <f aca="false">J554</f>
        <v>0</v>
      </c>
      <c r="K299" s="370" t="n">
        <f aca="false">K554</f>
        <v>0</v>
      </c>
      <c r="L299" s="370" t="n">
        <f aca="false">L554</f>
        <v>0</v>
      </c>
      <c r="M299" s="370" t="n">
        <f aca="false">M554</f>
        <v>0</v>
      </c>
      <c r="N299" s="370" t="n">
        <f aca="false">N554</f>
        <v>0</v>
      </c>
      <c r="O299" s="370" t="n">
        <f aca="false">O554</f>
        <v>0</v>
      </c>
      <c r="P299" s="370" t="n">
        <f aca="false">P554</f>
        <v>0</v>
      </c>
      <c r="Q299" s="370" t="n">
        <f aca="false">Q554</f>
        <v>0</v>
      </c>
      <c r="R299" s="370" t="n">
        <f aca="false">R554</f>
        <v>0</v>
      </c>
      <c r="S299" s="370" t="n">
        <f aca="false">S554</f>
        <v>0</v>
      </c>
      <c r="T299" s="370" t="n">
        <f aca="false">T554</f>
        <v>0</v>
      </c>
      <c r="U299" s="370" t="n">
        <f aca="false">U554</f>
        <v>0</v>
      </c>
      <c r="V299" s="370" t="n">
        <f aca="false">V554</f>
        <v>0</v>
      </c>
      <c r="W299" s="370" t="n">
        <f aca="false">W554</f>
        <v>0</v>
      </c>
      <c r="X299" s="370" t="n">
        <f aca="false">X554</f>
        <v>0</v>
      </c>
      <c r="Y299" s="370" t="n">
        <f aca="false">Y554</f>
        <v>0</v>
      </c>
      <c r="Z299" s="370" t="n">
        <f aca="false">Z554</f>
        <v>0</v>
      </c>
      <c r="AA299" s="370" t="n">
        <f aca="false">AA554</f>
        <v>0</v>
      </c>
      <c r="AB299" s="370" t="n">
        <f aca="false">AB554</f>
        <v>0</v>
      </c>
      <c r="AC299" s="370" t="n">
        <f aca="false">AC554</f>
        <v>0</v>
      </c>
    </row>
    <row r="300" customFormat="false" ht="11.25" hidden="false" customHeight="false" outlineLevel="0" collapsed="false">
      <c r="B300" s="67"/>
      <c r="H300" s="421"/>
    </row>
    <row r="301" customFormat="false" ht="11.25" hidden="false" customHeight="false" outlineLevel="0" collapsed="false">
      <c r="B301" s="67"/>
      <c r="C301" s="307" t="s">
        <v>722</v>
      </c>
      <c r="D301" s="43" t="s">
        <v>706</v>
      </c>
      <c r="G301" s="417"/>
      <c r="H301" s="418" t="n">
        <v>0</v>
      </c>
      <c r="I301" s="417" t="n">
        <f aca="false">H304</f>
        <v>0</v>
      </c>
      <c r="J301" s="417" t="n">
        <f aca="false">I304</f>
        <v>0</v>
      </c>
      <c r="K301" s="417" t="n">
        <f aca="false">J304</f>
        <v>0</v>
      </c>
      <c r="L301" s="417" t="n">
        <f aca="false">K304</f>
        <v>0</v>
      </c>
      <c r="M301" s="417" t="n">
        <f aca="false">L304</f>
        <v>0</v>
      </c>
      <c r="N301" s="417" t="n">
        <f aca="false">M304</f>
        <v>0</v>
      </c>
      <c r="O301" s="417" t="n">
        <f aca="false">N304</f>
        <v>0</v>
      </c>
      <c r="P301" s="417" t="n">
        <f aca="false">O304</f>
        <v>0</v>
      </c>
      <c r="Q301" s="417" t="n">
        <f aca="false">P304</f>
        <v>0</v>
      </c>
      <c r="R301" s="417" t="n">
        <f aca="false">Q304</f>
        <v>0</v>
      </c>
      <c r="S301" s="417" t="n">
        <f aca="false">R304</f>
        <v>0</v>
      </c>
      <c r="T301" s="417" t="n">
        <f aca="false">S304</f>
        <v>0</v>
      </c>
      <c r="U301" s="417" t="n">
        <f aca="false">T304</f>
        <v>0</v>
      </c>
      <c r="V301" s="417" t="n">
        <f aca="false">U304</f>
        <v>0</v>
      </c>
      <c r="W301" s="417" t="n">
        <f aca="false">V304</f>
        <v>0</v>
      </c>
      <c r="X301" s="417" t="n">
        <f aca="false">W304</f>
        <v>0</v>
      </c>
      <c r="Y301" s="417" t="n">
        <f aca="false">X304</f>
        <v>0</v>
      </c>
      <c r="Z301" s="417" t="n">
        <f aca="false">Y304</f>
        <v>0</v>
      </c>
      <c r="AA301" s="417" t="n">
        <f aca="false">Z304</f>
        <v>0</v>
      </c>
      <c r="AB301" s="417" t="n">
        <f aca="false">AA304</f>
        <v>0</v>
      </c>
      <c r="AC301" s="417" t="n">
        <f aca="false">AB304</f>
        <v>0</v>
      </c>
    </row>
    <row r="302" customFormat="false" ht="11.25" hidden="false" customHeight="false" outlineLevel="0" collapsed="false">
      <c r="B302" s="67"/>
      <c r="D302" s="43" t="s">
        <v>707</v>
      </c>
      <c r="H302" s="418" t="n">
        <v>0</v>
      </c>
      <c r="I302" s="417" t="n">
        <f aca="false">I541</f>
        <v>0</v>
      </c>
      <c r="J302" s="417" t="n">
        <f aca="false">J541</f>
        <v>0</v>
      </c>
      <c r="K302" s="417" t="n">
        <f aca="false">K541</f>
        <v>0</v>
      </c>
      <c r="L302" s="417" t="n">
        <f aca="false">L541</f>
        <v>0</v>
      </c>
      <c r="M302" s="417" t="n">
        <f aca="false">M541</f>
        <v>0</v>
      </c>
      <c r="N302" s="417" t="n">
        <f aca="false">N541</f>
        <v>0</v>
      </c>
      <c r="O302" s="417" t="n">
        <f aca="false">O541</f>
        <v>0</v>
      </c>
      <c r="P302" s="417" t="n">
        <f aca="false">P541</f>
        <v>0</v>
      </c>
      <c r="Q302" s="417" t="n">
        <f aca="false">Q541</f>
        <v>0</v>
      </c>
      <c r="R302" s="417" t="n">
        <f aca="false">R541</f>
        <v>0</v>
      </c>
      <c r="S302" s="417" t="n">
        <f aca="false">S541</f>
        <v>0</v>
      </c>
      <c r="T302" s="417" t="n">
        <f aca="false">T541</f>
        <v>0</v>
      </c>
      <c r="U302" s="417" t="n">
        <f aca="false">U541</f>
        <v>0</v>
      </c>
      <c r="V302" s="417" t="n">
        <f aca="false">V541</f>
        <v>0</v>
      </c>
      <c r="W302" s="417" t="n">
        <f aca="false">W541</f>
        <v>0</v>
      </c>
      <c r="X302" s="417" t="n">
        <f aca="false">X541</f>
        <v>0</v>
      </c>
      <c r="Y302" s="417" t="n">
        <f aca="false">Y541</f>
        <v>0</v>
      </c>
      <c r="Z302" s="417" t="n">
        <f aca="false">Z541</f>
        <v>0</v>
      </c>
      <c r="AA302" s="417" t="n">
        <f aca="false">AA541</f>
        <v>0</v>
      </c>
      <c r="AB302" s="417" t="n">
        <f aca="false">AB541</f>
        <v>0</v>
      </c>
      <c r="AC302" s="417" t="n">
        <f aca="false">AC541</f>
        <v>0</v>
      </c>
    </row>
    <row r="303" customFormat="false" ht="11.25" hidden="false" customHeight="false" outlineLevel="0" collapsed="false">
      <c r="B303" s="67"/>
      <c r="D303" s="43" t="s">
        <v>708</v>
      </c>
      <c r="G303" s="417"/>
      <c r="H303" s="418" t="n">
        <f aca="false">H358-H297</f>
        <v>0</v>
      </c>
      <c r="I303" s="417" t="n">
        <f aca="false">I540</f>
        <v>0</v>
      </c>
      <c r="J303" s="417" t="n">
        <f aca="false">J540</f>
        <v>0</v>
      </c>
      <c r="K303" s="417" t="n">
        <f aca="false">K540</f>
        <v>0</v>
      </c>
      <c r="L303" s="417" t="n">
        <f aca="false">L540</f>
        <v>0</v>
      </c>
      <c r="M303" s="417" t="n">
        <f aca="false">M540</f>
        <v>0</v>
      </c>
      <c r="N303" s="417" t="n">
        <f aca="false">N540</f>
        <v>0</v>
      </c>
      <c r="O303" s="417" t="n">
        <f aca="false">O540</f>
        <v>0</v>
      </c>
      <c r="P303" s="417" t="n">
        <f aca="false">P540</f>
        <v>0</v>
      </c>
      <c r="Q303" s="417" t="n">
        <f aca="false">Q540</f>
        <v>0</v>
      </c>
      <c r="R303" s="417" t="n">
        <f aca="false">R540</f>
        <v>0</v>
      </c>
      <c r="S303" s="417" t="n">
        <f aca="false">S540</f>
        <v>0</v>
      </c>
      <c r="T303" s="417" t="n">
        <f aca="false">T540</f>
        <v>0</v>
      </c>
      <c r="U303" s="417" t="n">
        <f aca="false">U540</f>
        <v>0</v>
      </c>
      <c r="V303" s="417" t="n">
        <f aca="false">V540</f>
        <v>0</v>
      </c>
      <c r="W303" s="417" t="n">
        <f aca="false">W540</f>
        <v>0</v>
      </c>
      <c r="X303" s="417" t="n">
        <f aca="false">X540</f>
        <v>0</v>
      </c>
      <c r="Y303" s="417" t="n">
        <f aca="false">Y540</f>
        <v>0</v>
      </c>
      <c r="Z303" s="417" t="n">
        <f aca="false">Z540</f>
        <v>0</v>
      </c>
      <c r="AA303" s="417" t="n">
        <f aca="false">AA540</f>
        <v>0</v>
      </c>
      <c r="AB303" s="417" t="n">
        <f aca="false">AB540</f>
        <v>0</v>
      </c>
      <c r="AC303" s="417" t="n">
        <f aca="false">AC540</f>
        <v>0</v>
      </c>
    </row>
    <row r="304" customFormat="false" ht="11.25" hidden="false" customHeight="false" outlineLevel="0" collapsed="false">
      <c r="B304" s="67"/>
      <c r="D304" s="43" t="s">
        <v>709</v>
      </c>
      <c r="G304" s="417"/>
      <c r="H304" s="420" t="n">
        <f aca="false">H301-H302-H303</f>
        <v>0</v>
      </c>
      <c r="I304" s="419" t="n">
        <f aca="false">I301-I302-I303</f>
        <v>0</v>
      </c>
      <c r="J304" s="419" t="n">
        <f aca="false">J301-J302-J303</f>
        <v>0</v>
      </c>
      <c r="K304" s="419" t="n">
        <f aca="false">K301-K302-K303</f>
        <v>0</v>
      </c>
      <c r="L304" s="419" t="n">
        <f aca="false">L301-L302-L303</f>
        <v>0</v>
      </c>
      <c r="M304" s="419" t="n">
        <f aca="false">M301-M302-M303</f>
        <v>0</v>
      </c>
      <c r="N304" s="419" t="n">
        <f aca="false">N301-N302-N303</f>
        <v>0</v>
      </c>
      <c r="O304" s="419" t="n">
        <f aca="false">O301-O302-O303</f>
        <v>0</v>
      </c>
      <c r="P304" s="419" t="n">
        <f aca="false">P301-P302-P303</f>
        <v>0</v>
      </c>
      <c r="Q304" s="419" t="n">
        <f aca="false">Q301-Q302-Q303</f>
        <v>0</v>
      </c>
      <c r="R304" s="419" t="n">
        <f aca="false">R301-R302-R303</f>
        <v>0</v>
      </c>
      <c r="S304" s="419" t="n">
        <f aca="false">S301-S302-S303</f>
        <v>0</v>
      </c>
      <c r="T304" s="419" t="n">
        <f aca="false">T301-T302-T303</f>
        <v>0</v>
      </c>
      <c r="U304" s="419" t="n">
        <f aca="false">U301-U302-U303</f>
        <v>0</v>
      </c>
      <c r="V304" s="419" t="n">
        <f aca="false">V301-V302-V303</f>
        <v>0</v>
      </c>
      <c r="W304" s="419" t="n">
        <f aca="false">W301-W302-W303</f>
        <v>0</v>
      </c>
      <c r="X304" s="419" t="n">
        <f aca="false">X301-X302-X303</f>
        <v>0</v>
      </c>
      <c r="Y304" s="419" t="n">
        <f aca="false">Y301-Y302-Y303</f>
        <v>0</v>
      </c>
      <c r="Z304" s="419" t="n">
        <f aca="false">Z301-Z302-Z303</f>
        <v>0</v>
      </c>
      <c r="AA304" s="419" t="n">
        <f aca="false">AA301-AA302-AA303</f>
        <v>0</v>
      </c>
      <c r="AB304" s="419" t="n">
        <f aca="false">AB301-AB302-AB303</f>
        <v>0</v>
      </c>
      <c r="AC304" s="419" t="n">
        <f aca="false">AC301-AC302-AC303</f>
        <v>0</v>
      </c>
    </row>
    <row r="305" customFormat="false" ht="11.25" hidden="false" customHeight="false" outlineLevel="0" collapsed="false">
      <c r="B305" s="67"/>
      <c r="D305" s="43" t="s">
        <v>710</v>
      </c>
      <c r="H305" s="421"/>
      <c r="I305" s="370" t="n">
        <f aca="false">I554</f>
        <v>0</v>
      </c>
      <c r="J305" s="370" t="n">
        <f aca="false">J554</f>
        <v>0</v>
      </c>
      <c r="K305" s="370" t="n">
        <f aca="false">K554</f>
        <v>0</v>
      </c>
      <c r="L305" s="370" t="n">
        <f aca="false">L554</f>
        <v>0</v>
      </c>
      <c r="M305" s="370" t="n">
        <f aca="false">M554</f>
        <v>0</v>
      </c>
      <c r="N305" s="370" t="n">
        <f aca="false">N554</f>
        <v>0</v>
      </c>
      <c r="O305" s="370" t="n">
        <f aca="false">O554</f>
        <v>0</v>
      </c>
      <c r="P305" s="370" t="n">
        <f aca="false">P554</f>
        <v>0</v>
      </c>
      <c r="Q305" s="370" t="n">
        <f aca="false">Q554</f>
        <v>0</v>
      </c>
      <c r="R305" s="370" t="n">
        <f aca="false">R554</f>
        <v>0</v>
      </c>
      <c r="S305" s="370" t="n">
        <f aca="false">S554</f>
        <v>0</v>
      </c>
      <c r="T305" s="370" t="n">
        <f aca="false">T554</f>
        <v>0</v>
      </c>
      <c r="U305" s="370" t="n">
        <f aca="false">U554</f>
        <v>0</v>
      </c>
      <c r="V305" s="370" t="n">
        <f aca="false">V554</f>
        <v>0</v>
      </c>
      <c r="W305" s="370" t="n">
        <f aca="false">W554</f>
        <v>0</v>
      </c>
      <c r="X305" s="370" t="n">
        <f aca="false">X554</f>
        <v>0</v>
      </c>
      <c r="Y305" s="370" t="n">
        <f aca="false">Y554</f>
        <v>0</v>
      </c>
      <c r="Z305" s="370" t="n">
        <f aca="false">Z554</f>
        <v>0</v>
      </c>
      <c r="AA305" s="370" t="n">
        <f aca="false">AA554</f>
        <v>0</v>
      </c>
      <c r="AB305" s="370" t="n">
        <f aca="false">AB554</f>
        <v>0</v>
      </c>
      <c r="AC305" s="370" t="n">
        <f aca="false">AC554</f>
        <v>0</v>
      </c>
    </row>
    <row r="306" customFormat="false" ht="11.25" hidden="false" customHeight="false" outlineLevel="0" collapsed="false">
      <c r="G306" s="417"/>
      <c r="H306" s="418"/>
      <c r="I306" s="417"/>
      <c r="J306" s="417"/>
      <c r="K306" s="417"/>
      <c r="L306" s="417"/>
      <c r="M306" s="417"/>
      <c r="N306" s="417"/>
      <c r="O306" s="417"/>
      <c r="P306" s="417"/>
      <c r="Q306" s="417"/>
      <c r="R306" s="417"/>
      <c r="S306" s="417"/>
      <c r="T306" s="417"/>
      <c r="U306" s="417"/>
      <c r="V306" s="417"/>
      <c r="W306" s="417"/>
      <c r="X306" s="417"/>
      <c r="Y306" s="417"/>
      <c r="Z306" s="417"/>
      <c r="AA306" s="417"/>
      <c r="AB306" s="417"/>
      <c r="AC306" s="417"/>
    </row>
    <row r="307" customFormat="false" ht="11.25" hidden="false" customHeight="false" outlineLevel="0" collapsed="false">
      <c r="A307" s="168" t="str">
        <f aca="false">A543</f>
        <v>Gas Balancing</v>
      </c>
      <c r="C307" s="43" t="s">
        <v>706</v>
      </c>
      <c r="H307" s="421" t="n">
        <f aca="false">I416</f>
        <v>0</v>
      </c>
      <c r="I307" s="35" t="n">
        <f aca="false">H310</f>
        <v>0</v>
      </c>
      <c r="J307" s="35" t="n">
        <f aca="false">I310</f>
        <v>0</v>
      </c>
      <c r="K307" s="35" t="n">
        <f aca="false">J310</f>
        <v>0</v>
      </c>
      <c r="L307" s="35" t="n">
        <f aca="false">K310</f>
        <v>0</v>
      </c>
      <c r="M307" s="35" t="n">
        <f aca="false">L310</f>
        <v>0</v>
      </c>
      <c r="N307" s="35" t="n">
        <f aca="false">M310</f>
        <v>0</v>
      </c>
      <c r="O307" s="35" t="n">
        <f aca="false">N310</f>
        <v>0</v>
      </c>
      <c r="P307" s="35" t="n">
        <f aca="false">O310</f>
        <v>0</v>
      </c>
      <c r="Q307" s="35" t="n">
        <f aca="false">P310</f>
        <v>0</v>
      </c>
      <c r="R307" s="35" t="n">
        <f aca="false">Q310</f>
        <v>0</v>
      </c>
      <c r="S307" s="35" t="n">
        <f aca="false">R310</f>
        <v>0</v>
      </c>
      <c r="T307" s="35" t="n">
        <f aca="false">S310</f>
        <v>0</v>
      </c>
      <c r="U307" s="35" t="n">
        <f aca="false">T310</f>
        <v>0</v>
      </c>
      <c r="V307" s="35" t="n">
        <f aca="false">U310</f>
        <v>0</v>
      </c>
      <c r="W307" s="35" t="n">
        <f aca="false">V310</f>
        <v>0</v>
      </c>
      <c r="X307" s="35" t="n">
        <f aca="false">W310</f>
        <v>0</v>
      </c>
      <c r="Y307" s="35" t="n">
        <f aca="false">X310</f>
        <v>0</v>
      </c>
      <c r="Z307" s="35" t="n">
        <f aca="false">Y310</f>
        <v>0</v>
      </c>
      <c r="AA307" s="35" t="n">
        <f aca="false">Z310</f>
        <v>0</v>
      </c>
      <c r="AB307" s="35" t="n">
        <f aca="false">AA310</f>
        <v>0</v>
      </c>
      <c r="AC307" s="35" t="n">
        <f aca="false">AB310</f>
        <v>0</v>
      </c>
    </row>
    <row r="308" customFormat="false" ht="11.25" hidden="false" customHeight="false" outlineLevel="0" collapsed="false">
      <c r="C308" s="43" t="s">
        <v>707</v>
      </c>
      <c r="H308" s="421" t="n">
        <v>0</v>
      </c>
      <c r="I308" s="35" t="n">
        <f aca="false">I544</f>
        <v>0</v>
      </c>
      <c r="J308" s="35" t="n">
        <f aca="false">J544</f>
        <v>0</v>
      </c>
      <c r="K308" s="35" t="n">
        <f aca="false">K544</f>
        <v>0</v>
      </c>
      <c r="L308" s="35" t="n">
        <f aca="false">L544</f>
        <v>0</v>
      </c>
      <c r="M308" s="35" t="n">
        <f aca="false">M544</f>
        <v>0</v>
      </c>
      <c r="N308" s="35" t="n">
        <f aca="false">N544</f>
        <v>0</v>
      </c>
      <c r="O308" s="35" t="n">
        <f aca="false">O544</f>
        <v>0</v>
      </c>
      <c r="P308" s="35" t="n">
        <f aca="false">P544</f>
        <v>0</v>
      </c>
      <c r="Q308" s="35" t="n">
        <f aca="false">Q544</f>
        <v>0</v>
      </c>
      <c r="R308" s="35" t="n">
        <f aca="false">R544</f>
        <v>0</v>
      </c>
      <c r="S308" s="35" t="n">
        <f aca="false">S544</f>
        <v>0</v>
      </c>
      <c r="T308" s="35" t="n">
        <f aca="false">T544</f>
        <v>0</v>
      </c>
      <c r="U308" s="35" t="n">
        <f aca="false">U544</f>
        <v>0</v>
      </c>
      <c r="V308" s="35" t="n">
        <f aca="false">V544</f>
        <v>0</v>
      </c>
      <c r="W308" s="35" t="n">
        <f aca="false">W544</f>
        <v>0</v>
      </c>
      <c r="X308" s="35" t="n">
        <f aca="false">X544</f>
        <v>0</v>
      </c>
      <c r="Y308" s="35" t="n">
        <f aca="false">Y544</f>
        <v>0</v>
      </c>
      <c r="Z308" s="35" t="n">
        <f aca="false">Z544</f>
        <v>0</v>
      </c>
      <c r="AA308" s="35" t="n">
        <f aca="false">AA544</f>
        <v>0</v>
      </c>
      <c r="AB308" s="35" t="n">
        <f aca="false">AB544</f>
        <v>0</v>
      </c>
      <c r="AC308" s="35" t="n">
        <f aca="false">AC544</f>
        <v>0</v>
      </c>
    </row>
    <row r="309" customFormat="false" ht="11.25" hidden="false" customHeight="false" outlineLevel="0" collapsed="false">
      <c r="C309" s="43" t="s">
        <v>708</v>
      </c>
      <c r="H309" s="421" t="n">
        <f aca="false">H359</f>
        <v>0</v>
      </c>
      <c r="I309" s="35" t="n">
        <f aca="false">I543</f>
        <v>0</v>
      </c>
      <c r="J309" s="35" t="n">
        <f aca="false">J543</f>
        <v>0</v>
      </c>
      <c r="K309" s="35" t="n">
        <f aca="false">K543</f>
        <v>0</v>
      </c>
      <c r="L309" s="35" t="n">
        <f aca="false">L543</f>
        <v>0</v>
      </c>
      <c r="M309" s="35" t="n">
        <f aca="false">M543</f>
        <v>0</v>
      </c>
      <c r="N309" s="35" t="n">
        <f aca="false">N543</f>
        <v>0</v>
      </c>
      <c r="O309" s="35" t="n">
        <f aca="false">O543</f>
        <v>0</v>
      </c>
      <c r="P309" s="35" t="n">
        <f aca="false">P543</f>
        <v>0</v>
      </c>
      <c r="Q309" s="35" t="n">
        <f aca="false">Q543</f>
        <v>0</v>
      </c>
      <c r="R309" s="35" t="n">
        <f aca="false">R543</f>
        <v>0</v>
      </c>
      <c r="S309" s="35" t="n">
        <f aca="false">S543</f>
        <v>0</v>
      </c>
      <c r="T309" s="35" t="n">
        <f aca="false">T543</f>
        <v>0</v>
      </c>
      <c r="U309" s="35" t="n">
        <f aca="false">U543</f>
        <v>0</v>
      </c>
      <c r="V309" s="35" t="n">
        <f aca="false">V543</f>
        <v>0</v>
      </c>
      <c r="W309" s="35" t="n">
        <f aca="false">W543</f>
        <v>0</v>
      </c>
      <c r="X309" s="35" t="n">
        <f aca="false">X543</f>
        <v>0</v>
      </c>
      <c r="Y309" s="35" t="n">
        <f aca="false">Y543</f>
        <v>0</v>
      </c>
      <c r="Z309" s="35" t="n">
        <f aca="false">Z543</f>
        <v>0</v>
      </c>
      <c r="AA309" s="35" t="n">
        <f aca="false">AA543</f>
        <v>0</v>
      </c>
      <c r="AB309" s="35" t="n">
        <f aca="false">AB543</f>
        <v>0</v>
      </c>
      <c r="AC309" s="35" t="n">
        <f aca="false">AC543</f>
        <v>0</v>
      </c>
    </row>
    <row r="310" customFormat="false" ht="11.25" hidden="false" customHeight="false" outlineLevel="0" collapsed="false">
      <c r="C310" s="43" t="s">
        <v>709</v>
      </c>
      <c r="H310" s="422" t="n">
        <f aca="false">H307-H308-H309</f>
        <v>0</v>
      </c>
      <c r="I310" s="158" t="n">
        <f aca="false">I307-I308-I309</f>
        <v>0</v>
      </c>
      <c r="J310" s="158" t="n">
        <f aca="false">J307-J308-J309</f>
        <v>0</v>
      </c>
      <c r="K310" s="158" t="n">
        <f aca="false">K307-K308-K309</f>
        <v>0</v>
      </c>
      <c r="L310" s="158" t="n">
        <f aca="false">L307-L308-L309</f>
        <v>0</v>
      </c>
      <c r="M310" s="158" t="n">
        <f aca="false">M307-M308-M309</f>
        <v>0</v>
      </c>
      <c r="N310" s="158" t="n">
        <f aca="false">N307-N308-N309</f>
        <v>0</v>
      </c>
      <c r="O310" s="158" t="n">
        <f aca="false">O307-O308-O309</f>
        <v>0</v>
      </c>
      <c r="P310" s="158" t="n">
        <f aca="false">P307-P308-P309</f>
        <v>0</v>
      </c>
      <c r="Q310" s="158" t="n">
        <f aca="false">Q307-Q308-Q309</f>
        <v>0</v>
      </c>
      <c r="R310" s="158" t="n">
        <f aca="false">R307-R308-R309</f>
        <v>0</v>
      </c>
      <c r="S310" s="158" t="n">
        <f aca="false">S307-S308-S309</f>
        <v>0</v>
      </c>
      <c r="T310" s="158" t="n">
        <f aca="false">T307-T308-T309</f>
        <v>0</v>
      </c>
      <c r="U310" s="158" t="n">
        <f aca="false">U307-U308-U309</f>
        <v>0</v>
      </c>
      <c r="V310" s="158" t="n">
        <f aca="false">V307-V308-V309</f>
        <v>0</v>
      </c>
      <c r="W310" s="158" t="n">
        <f aca="false">W307-W308-W309</f>
        <v>0</v>
      </c>
      <c r="X310" s="158" t="n">
        <f aca="false">X307-X308-X309</f>
        <v>0</v>
      </c>
      <c r="Y310" s="158" t="n">
        <f aca="false">Y307-Y308-Y309</f>
        <v>0</v>
      </c>
      <c r="Z310" s="158" t="n">
        <f aca="false">Z307-Z308-Z309</f>
        <v>0</v>
      </c>
      <c r="AA310" s="158" t="n">
        <f aca="false">AA307-AA308-AA309</f>
        <v>0</v>
      </c>
      <c r="AB310" s="158" t="n">
        <f aca="false">AB307-AB308-AB309</f>
        <v>0</v>
      </c>
      <c r="AC310" s="158" t="n">
        <f aca="false">AC307-AC308-AC309</f>
        <v>0</v>
      </c>
    </row>
    <row r="311" customFormat="false" ht="11.25" hidden="false" customHeight="false" outlineLevel="0" collapsed="false">
      <c r="C311" s="43" t="s">
        <v>710</v>
      </c>
      <c r="H311" s="421"/>
      <c r="I311" s="370" t="n">
        <f aca="false">I555</f>
        <v>0</v>
      </c>
      <c r="J311" s="370" t="n">
        <f aca="false">J555</f>
        <v>0</v>
      </c>
      <c r="K311" s="370" t="n">
        <f aca="false">K555</f>
        <v>0</v>
      </c>
      <c r="L311" s="370" t="n">
        <f aca="false">L555</f>
        <v>0</v>
      </c>
      <c r="M311" s="370" t="n">
        <f aca="false">M555</f>
        <v>0</v>
      </c>
      <c r="N311" s="370" t="n">
        <f aca="false">N555</f>
        <v>0</v>
      </c>
      <c r="O311" s="370" t="n">
        <f aca="false">O555</f>
        <v>0</v>
      </c>
      <c r="P311" s="370" t="n">
        <f aca="false">P555</f>
        <v>0</v>
      </c>
      <c r="Q311" s="370" t="n">
        <f aca="false">Q555</f>
        <v>0</v>
      </c>
      <c r="R311" s="370" t="n">
        <f aca="false">R555</f>
        <v>0</v>
      </c>
      <c r="S311" s="370" t="n">
        <f aca="false">S555</f>
        <v>0</v>
      </c>
      <c r="T311" s="370" t="n">
        <f aca="false">T555</f>
        <v>0</v>
      </c>
      <c r="U311" s="370" t="n">
        <f aca="false">U555</f>
        <v>0</v>
      </c>
      <c r="V311" s="370" t="n">
        <f aca="false">V555</f>
        <v>0</v>
      </c>
      <c r="W311" s="370" t="n">
        <f aca="false">W555</f>
        <v>0</v>
      </c>
      <c r="X311" s="370" t="n">
        <f aca="false">X555</f>
        <v>0</v>
      </c>
      <c r="Y311" s="370" t="n">
        <f aca="false">Y555</f>
        <v>0</v>
      </c>
      <c r="Z311" s="370" t="n">
        <f aca="false">Z555</f>
        <v>0</v>
      </c>
      <c r="AA311" s="370" t="n">
        <f aca="false">AA555</f>
        <v>0</v>
      </c>
      <c r="AB311" s="370" t="n">
        <f aca="false">AB555</f>
        <v>0</v>
      </c>
      <c r="AC311" s="370" t="n">
        <f aca="false">AC555</f>
        <v>0</v>
      </c>
    </row>
    <row r="312" customFormat="false" ht="11.25" hidden="false" customHeight="false" outlineLevel="0" collapsed="false">
      <c r="H312" s="421"/>
    </row>
    <row r="313" customFormat="false" ht="11.25" hidden="false" customHeight="false" outlineLevel="0" collapsed="false">
      <c r="A313" s="168" t="str">
        <f aca="false">A546</f>
        <v>Existing Preferred Stock</v>
      </c>
      <c r="C313" s="43" t="s">
        <v>706</v>
      </c>
      <c r="H313" s="421" t="n">
        <f aca="false">I424</f>
        <v>0</v>
      </c>
      <c r="I313" s="35" t="n">
        <f aca="false">H316</f>
        <v>0</v>
      </c>
      <c r="J313" s="35" t="n">
        <f aca="false">I316</f>
        <v>0</v>
      </c>
      <c r="K313" s="35" t="n">
        <f aca="false">J316</f>
        <v>0</v>
      </c>
      <c r="L313" s="35" t="n">
        <f aca="false">K316</f>
        <v>0</v>
      </c>
      <c r="M313" s="35" t="n">
        <f aca="false">L316</f>
        <v>0</v>
      </c>
      <c r="N313" s="35" t="n">
        <f aca="false">M316</f>
        <v>0</v>
      </c>
      <c r="O313" s="35" t="n">
        <f aca="false">N316</f>
        <v>0</v>
      </c>
      <c r="P313" s="35" t="n">
        <f aca="false">O316</f>
        <v>0</v>
      </c>
      <c r="Q313" s="35" t="n">
        <f aca="false">P316</f>
        <v>0</v>
      </c>
      <c r="R313" s="35" t="n">
        <f aca="false">Q316</f>
        <v>0</v>
      </c>
      <c r="S313" s="35" t="n">
        <f aca="false">R316</f>
        <v>0</v>
      </c>
      <c r="T313" s="35" t="n">
        <f aca="false">S316</f>
        <v>0</v>
      </c>
      <c r="U313" s="35" t="n">
        <f aca="false">T316</f>
        <v>0</v>
      </c>
      <c r="V313" s="35" t="n">
        <f aca="false">U316</f>
        <v>0</v>
      </c>
      <c r="W313" s="35" t="n">
        <f aca="false">V316</f>
        <v>0</v>
      </c>
      <c r="X313" s="35" t="n">
        <f aca="false">W316</f>
        <v>0</v>
      </c>
      <c r="Y313" s="35" t="n">
        <f aca="false">X316</f>
        <v>0</v>
      </c>
      <c r="Z313" s="35" t="n">
        <f aca="false">Y316</f>
        <v>0</v>
      </c>
      <c r="AA313" s="35" t="n">
        <f aca="false">Z316</f>
        <v>0</v>
      </c>
      <c r="AB313" s="35" t="n">
        <f aca="false">AA316</f>
        <v>0</v>
      </c>
      <c r="AC313" s="35" t="n">
        <f aca="false">AB316</f>
        <v>0</v>
      </c>
    </row>
    <row r="314" customFormat="false" ht="11.25" hidden="false" customHeight="false" outlineLevel="0" collapsed="false">
      <c r="C314" s="43" t="s">
        <v>707</v>
      </c>
      <c r="H314" s="421" t="n">
        <v>0</v>
      </c>
      <c r="I314" s="35" t="n">
        <f aca="false">I547</f>
        <v>0</v>
      </c>
      <c r="J314" s="35" t="n">
        <f aca="false">J547</f>
        <v>0</v>
      </c>
      <c r="K314" s="35" t="n">
        <f aca="false">K547</f>
        <v>0</v>
      </c>
      <c r="L314" s="35" t="n">
        <f aca="false">L547</f>
        <v>0</v>
      </c>
      <c r="M314" s="35" t="n">
        <f aca="false">M547</f>
        <v>0</v>
      </c>
      <c r="N314" s="35" t="n">
        <f aca="false">N547</f>
        <v>0</v>
      </c>
      <c r="O314" s="35" t="n">
        <f aca="false">O547</f>
        <v>0</v>
      </c>
      <c r="P314" s="35" t="n">
        <f aca="false">P547</f>
        <v>0</v>
      </c>
      <c r="Q314" s="35" t="n">
        <f aca="false">Q547</f>
        <v>0</v>
      </c>
      <c r="R314" s="35" t="n">
        <f aca="false">R547</f>
        <v>0</v>
      </c>
      <c r="S314" s="35" t="n">
        <f aca="false">S547</f>
        <v>0</v>
      </c>
      <c r="T314" s="35" t="n">
        <f aca="false">T547</f>
        <v>0</v>
      </c>
      <c r="U314" s="35" t="n">
        <f aca="false">U547</f>
        <v>0</v>
      </c>
      <c r="V314" s="35" t="n">
        <f aca="false">V547</f>
        <v>0</v>
      </c>
      <c r="W314" s="35" t="n">
        <f aca="false">W547</f>
        <v>0</v>
      </c>
      <c r="X314" s="35" t="n">
        <f aca="false">X547</f>
        <v>0</v>
      </c>
      <c r="Y314" s="35" t="n">
        <f aca="false">Y547</f>
        <v>0</v>
      </c>
      <c r="Z314" s="35" t="n">
        <f aca="false">Z547</f>
        <v>0</v>
      </c>
      <c r="AA314" s="35" t="n">
        <f aca="false">AA547</f>
        <v>0</v>
      </c>
      <c r="AB314" s="35" t="n">
        <f aca="false">AB547</f>
        <v>0</v>
      </c>
      <c r="AC314" s="35" t="n">
        <f aca="false">AC547</f>
        <v>0</v>
      </c>
    </row>
    <row r="315" customFormat="false" ht="11.25" hidden="false" customHeight="false" outlineLevel="0" collapsed="false">
      <c r="C315" s="43" t="s">
        <v>723</v>
      </c>
      <c r="H315" s="421" t="n">
        <f aca="false">H360</f>
        <v>0</v>
      </c>
      <c r="I315" s="35" t="n">
        <f aca="false">I546</f>
        <v>0</v>
      </c>
      <c r="J315" s="35" t="n">
        <f aca="false">J546</f>
        <v>0</v>
      </c>
      <c r="K315" s="35" t="n">
        <f aca="false">K546</f>
        <v>0</v>
      </c>
      <c r="L315" s="35" t="n">
        <f aca="false">L546</f>
        <v>0</v>
      </c>
      <c r="M315" s="35" t="n">
        <f aca="false">M546</f>
        <v>0</v>
      </c>
      <c r="N315" s="35" t="n">
        <f aca="false">N546</f>
        <v>0</v>
      </c>
      <c r="O315" s="35" t="n">
        <f aca="false">O546</f>
        <v>0</v>
      </c>
      <c r="P315" s="35" t="n">
        <f aca="false">P546</f>
        <v>0</v>
      </c>
      <c r="Q315" s="35" t="n">
        <f aca="false">Q546</f>
        <v>0</v>
      </c>
      <c r="R315" s="35" t="n">
        <f aca="false">R546</f>
        <v>0</v>
      </c>
      <c r="S315" s="35" t="n">
        <f aca="false">S546</f>
        <v>0</v>
      </c>
      <c r="T315" s="35" t="n">
        <f aca="false">T546</f>
        <v>0</v>
      </c>
      <c r="U315" s="35" t="n">
        <f aca="false">U546</f>
        <v>0</v>
      </c>
      <c r="V315" s="35" t="n">
        <f aca="false">V546</f>
        <v>0</v>
      </c>
      <c r="W315" s="35" t="n">
        <f aca="false">W546</f>
        <v>0</v>
      </c>
      <c r="X315" s="35" t="n">
        <f aca="false">X546</f>
        <v>0</v>
      </c>
      <c r="Y315" s="35" t="n">
        <f aca="false">Y546</f>
        <v>0</v>
      </c>
      <c r="Z315" s="35" t="n">
        <f aca="false">Z546</f>
        <v>0</v>
      </c>
      <c r="AA315" s="35" t="n">
        <f aca="false">AA546</f>
        <v>0</v>
      </c>
      <c r="AB315" s="35" t="n">
        <f aca="false">AB546</f>
        <v>0</v>
      </c>
      <c r="AC315" s="35" t="n">
        <f aca="false">AC546</f>
        <v>0</v>
      </c>
    </row>
    <row r="316" customFormat="false" ht="11.25" hidden="false" customHeight="false" outlineLevel="0" collapsed="false">
      <c r="C316" s="43" t="s">
        <v>709</v>
      </c>
      <c r="H316" s="422" t="n">
        <f aca="false">H313-H314-H315</f>
        <v>0</v>
      </c>
      <c r="I316" s="158" t="n">
        <f aca="false">I313-I314-I315</f>
        <v>0</v>
      </c>
      <c r="J316" s="158" t="n">
        <f aca="false">J313-J314-J315</f>
        <v>0</v>
      </c>
      <c r="K316" s="158" t="n">
        <f aca="false">K313-K314-K315</f>
        <v>0</v>
      </c>
      <c r="L316" s="158" t="n">
        <f aca="false">L313-L314-L315</f>
        <v>0</v>
      </c>
      <c r="M316" s="158" t="n">
        <f aca="false">M313-M314-M315</f>
        <v>0</v>
      </c>
      <c r="N316" s="158" t="n">
        <f aca="false">N313-N314-N315</f>
        <v>0</v>
      </c>
      <c r="O316" s="158" t="n">
        <f aca="false">O313-O314-O315</f>
        <v>0</v>
      </c>
      <c r="P316" s="158" t="n">
        <f aca="false">P313-P314-P315</f>
        <v>0</v>
      </c>
      <c r="Q316" s="158" t="n">
        <f aca="false">Q313-Q314-Q315</f>
        <v>0</v>
      </c>
      <c r="R316" s="158" t="n">
        <f aca="false">R313-R314-R315</f>
        <v>0</v>
      </c>
      <c r="S316" s="158" t="n">
        <f aca="false">S313-S314-S315</f>
        <v>0</v>
      </c>
      <c r="T316" s="158" t="n">
        <f aca="false">T313-T314-T315</f>
        <v>0</v>
      </c>
      <c r="U316" s="158" t="n">
        <f aca="false">U313-U314-U315</f>
        <v>0</v>
      </c>
      <c r="V316" s="158" t="n">
        <f aca="false">V313-V314-V315</f>
        <v>0</v>
      </c>
      <c r="W316" s="158" t="n">
        <f aca="false">W313-W314-W315</f>
        <v>0</v>
      </c>
      <c r="X316" s="158" t="n">
        <f aca="false">X313-X314-X315</f>
        <v>0</v>
      </c>
      <c r="Y316" s="158" t="n">
        <f aca="false">Y313-Y314-Y315</f>
        <v>0</v>
      </c>
      <c r="Z316" s="158" t="n">
        <f aca="false">Z313-Z314-Z315</f>
        <v>0</v>
      </c>
      <c r="AA316" s="158" t="n">
        <f aca="false">AA313-AA314-AA315</f>
        <v>0</v>
      </c>
      <c r="AB316" s="158" t="n">
        <f aca="false">AB313-AB314-AB315</f>
        <v>0</v>
      </c>
      <c r="AC316" s="158" t="n">
        <f aca="false">AC313-AC314-AC315</f>
        <v>0</v>
      </c>
    </row>
    <row r="317" customFormat="false" ht="11.25" hidden="false" customHeight="false" outlineLevel="0" collapsed="false">
      <c r="C317" s="43" t="s">
        <v>720</v>
      </c>
      <c r="H317" s="421"/>
      <c r="I317" s="370" t="n">
        <f aca="false">I556</f>
        <v>0.06</v>
      </c>
      <c r="J317" s="370" t="n">
        <f aca="false">J556</f>
        <v>0.06</v>
      </c>
      <c r="K317" s="370" t="n">
        <f aca="false">K556</f>
        <v>0.06</v>
      </c>
      <c r="L317" s="370" t="n">
        <f aca="false">L556</f>
        <v>0.06</v>
      </c>
      <c r="M317" s="370" t="n">
        <f aca="false">M556</f>
        <v>0.06</v>
      </c>
      <c r="N317" s="370" t="n">
        <f aca="false">N556</f>
        <v>0.06</v>
      </c>
      <c r="O317" s="370" t="n">
        <f aca="false">O556</f>
        <v>0.06</v>
      </c>
      <c r="P317" s="370" t="n">
        <f aca="false">P556</f>
        <v>0.06</v>
      </c>
      <c r="Q317" s="370" t="n">
        <f aca="false">Q556</f>
        <v>0.06</v>
      </c>
      <c r="R317" s="370" t="n">
        <f aca="false">R556</f>
        <v>0.06</v>
      </c>
      <c r="S317" s="370" t="n">
        <f aca="false">S556</f>
        <v>0.06</v>
      </c>
      <c r="T317" s="370" t="n">
        <f aca="false">T556</f>
        <v>0.06</v>
      </c>
      <c r="U317" s="370" t="n">
        <f aca="false">U556</f>
        <v>0.06</v>
      </c>
      <c r="V317" s="370" t="n">
        <f aca="false">V556</f>
        <v>0.06</v>
      </c>
      <c r="W317" s="370" t="n">
        <f aca="false">W556</f>
        <v>0.06</v>
      </c>
      <c r="X317" s="370" t="n">
        <f aca="false">X556</f>
        <v>0.06</v>
      </c>
      <c r="Y317" s="370" t="n">
        <f aca="false">Y556</f>
        <v>0.06</v>
      </c>
      <c r="Z317" s="370" t="n">
        <f aca="false">Z556</f>
        <v>0.06</v>
      </c>
      <c r="AA317" s="370" t="n">
        <f aca="false">AA556</f>
        <v>0.06</v>
      </c>
      <c r="AB317" s="370" t="n">
        <f aca="false">AB556</f>
        <v>0.06</v>
      </c>
      <c r="AC317" s="370" t="n">
        <f aca="false">AC556</f>
        <v>0.06</v>
      </c>
    </row>
    <row r="318" customFormat="false" ht="11.25" hidden="false" customHeight="false" outlineLevel="0" collapsed="false">
      <c r="C318" s="43"/>
      <c r="H318" s="149"/>
      <c r="I318" s="370"/>
      <c r="J318" s="370"/>
      <c r="K318" s="370"/>
      <c r="L318" s="370"/>
      <c r="M318" s="370"/>
      <c r="N318" s="370"/>
      <c r="O318" s="370"/>
      <c r="P318" s="370"/>
      <c r="Q318" s="370"/>
      <c r="R318" s="370"/>
      <c r="S318" s="370"/>
      <c r="T318" s="370"/>
      <c r="U318" s="370"/>
      <c r="V318" s="370"/>
      <c r="W318" s="370"/>
      <c r="X318" s="370"/>
      <c r="Y318" s="370"/>
      <c r="Z318" s="370"/>
      <c r="AA318" s="370"/>
      <c r="AB318" s="370"/>
      <c r="AC318" s="370"/>
    </row>
    <row r="319" customFormat="false" ht="12" hidden="false" customHeight="false" outlineLevel="0" collapsed="false">
      <c r="C319" s="43"/>
      <c r="H319" s="149"/>
      <c r="I319" s="370"/>
      <c r="J319" s="370"/>
      <c r="K319" s="370"/>
      <c r="L319" s="370"/>
      <c r="M319" s="370"/>
      <c r="N319" s="370"/>
      <c r="O319" s="370"/>
      <c r="P319" s="370"/>
      <c r="Q319" s="370"/>
      <c r="R319" s="370"/>
      <c r="S319" s="370"/>
    </row>
    <row r="320" customFormat="false" ht="12" hidden="false" customHeight="false" outlineLevel="0" collapsed="false">
      <c r="A320" s="292"/>
      <c r="B320" s="292"/>
      <c r="C320" s="292"/>
      <c r="D320" s="292"/>
      <c r="E320" s="292"/>
      <c r="F320" s="292"/>
      <c r="G320" s="292"/>
      <c r="H320" s="292"/>
      <c r="I320" s="292"/>
      <c r="J320" s="292"/>
      <c r="K320" s="292"/>
      <c r="L320" s="292"/>
      <c r="M320" s="292"/>
      <c r="N320" s="292"/>
      <c r="O320" s="292"/>
      <c r="P320" s="292"/>
      <c r="Q320" s="292"/>
      <c r="R320" s="292"/>
      <c r="S320" s="292"/>
      <c r="T320" s="292"/>
      <c r="U320" s="292"/>
      <c r="V320" s="292"/>
      <c r="W320" s="292"/>
      <c r="X320" s="292"/>
      <c r="Y320" s="292"/>
      <c r="Z320" s="292"/>
      <c r="AA320" s="292"/>
      <c r="AB320" s="292"/>
      <c r="AC320" s="292"/>
    </row>
    <row r="321" customFormat="false" ht="11.25" hidden="false" customHeight="false" outlineLevel="0" collapsed="false">
      <c r="A321" s="153" t="s">
        <v>724</v>
      </c>
      <c r="C321" s="439"/>
    </row>
    <row r="323" customFormat="false" ht="11.25" hidden="false" customHeight="false" outlineLevel="0" collapsed="false">
      <c r="A323" s="307" t="s">
        <v>725</v>
      </c>
      <c r="C323" s="439" t="n">
        <v>36341</v>
      </c>
      <c r="F323" s="370"/>
      <c r="L323" s="67"/>
      <c r="M323" s="67"/>
    </row>
    <row r="324" customFormat="false" ht="11.25" hidden="false" customHeight="false" outlineLevel="0" collapsed="false">
      <c r="A324" s="307" t="s">
        <v>726</v>
      </c>
      <c r="C324" s="439"/>
      <c r="F324" s="370"/>
      <c r="L324" s="67"/>
      <c r="M324" s="307"/>
    </row>
    <row r="325" customFormat="false" ht="11.25" hidden="false" customHeight="false" outlineLevel="0" collapsed="false">
      <c r="A325" s="307"/>
      <c r="B325" s="65" t="s">
        <v>727</v>
      </c>
      <c r="C325" s="440" t="n">
        <f aca="false">1-C328</f>
        <v>0.5</v>
      </c>
      <c r="D325" s="43" t="s">
        <v>728</v>
      </c>
      <c r="F325" s="370"/>
      <c r="L325" s="67"/>
      <c r="M325" s="307"/>
    </row>
    <row r="326" customFormat="false" ht="11.25" hidden="false" customHeight="false" outlineLevel="0" collapsed="false">
      <c r="A326" s="307"/>
      <c r="B326" s="65" t="s">
        <v>729</v>
      </c>
      <c r="C326" s="441" t="n">
        <f aca="false">C325*12</f>
        <v>6</v>
      </c>
      <c r="D326" s="43" t="s">
        <v>730</v>
      </c>
      <c r="F326" s="370"/>
      <c r="L326" s="67"/>
      <c r="M326" s="307"/>
    </row>
    <row r="327" customFormat="false" ht="11.25" hidden="false" customHeight="false" outlineLevel="0" collapsed="false">
      <c r="A327" s="307"/>
      <c r="C327" s="67"/>
      <c r="D327" s="43"/>
      <c r="F327" s="370"/>
      <c r="L327" s="67"/>
      <c r="M327" s="307"/>
    </row>
    <row r="328" customFormat="false" ht="12" hidden="false" customHeight="true" outlineLevel="0" collapsed="false">
      <c r="A328" s="307"/>
      <c r="B328" s="65" t="s">
        <v>727</v>
      </c>
      <c r="C328" s="440" t="n">
        <f aca="false">IF(12-MONTH(C323)+MONTH(E331)&gt;=12,(12-MONTH(C323)+MONTH(E331))-12,12-MONTH(C323)+MONTH(E331))/12</f>
        <v>0.5</v>
      </c>
      <c r="D328" s="43" t="s">
        <v>731</v>
      </c>
      <c r="F328" s="370"/>
      <c r="L328" s="67"/>
      <c r="M328" s="307"/>
    </row>
    <row r="329" customFormat="false" ht="11.25" hidden="false" customHeight="false" outlineLevel="0" collapsed="false">
      <c r="A329" s="307"/>
      <c r="B329" s="397" t="s">
        <v>729</v>
      </c>
      <c r="C329" s="441" t="n">
        <f aca="false">C328*12</f>
        <v>6</v>
      </c>
      <c r="D329" s="43" t="s">
        <v>732</v>
      </c>
      <c r="F329" s="370"/>
      <c r="G329" s="442" t="str">
        <f aca="false">TEXT(I580,"0")&amp;"."</f>
        <v>1999.</v>
      </c>
      <c r="L329" s="67"/>
      <c r="M329" s="307"/>
    </row>
    <row r="330" customFormat="false" ht="11.25" hidden="false" customHeight="false" outlineLevel="0" collapsed="false">
      <c r="A330" s="307"/>
      <c r="F330" s="370"/>
      <c r="L330" s="67"/>
      <c r="M330" s="307"/>
    </row>
    <row r="331" customFormat="false" ht="11.25" hidden="false" customHeight="false" outlineLevel="0" collapsed="false">
      <c r="A331" s="307"/>
      <c r="B331" s="67"/>
      <c r="C331" s="65" t="s">
        <v>733</v>
      </c>
      <c r="D331" s="67"/>
      <c r="E331" s="439" t="n">
        <v>36525</v>
      </c>
      <c r="F331" s="67"/>
      <c r="L331" s="67"/>
      <c r="M331" s="307"/>
    </row>
    <row r="332" customFormat="false" ht="12" hidden="false" customHeight="false" outlineLevel="0" collapsed="false">
      <c r="A332" s="307"/>
      <c r="C332" s="439"/>
      <c r="F332" s="370"/>
      <c r="L332" s="67"/>
      <c r="M332" s="307"/>
    </row>
    <row r="333" customFormat="false" ht="12" hidden="false" customHeight="false" outlineLevel="0" collapsed="false">
      <c r="A333" s="292"/>
      <c r="B333" s="292"/>
      <c r="C333" s="292"/>
      <c r="D333" s="292"/>
      <c r="E333" s="292"/>
      <c r="F333" s="292"/>
      <c r="G333" s="292"/>
      <c r="H333" s="292"/>
      <c r="I333" s="292"/>
      <c r="J333" s="292"/>
      <c r="K333" s="292"/>
      <c r="L333" s="443"/>
      <c r="M333" s="79"/>
      <c r="N333" s="79"/>
      <c r="O333" s="79"/>
      <c r="P333" s="292"/>
      <c r="Q333" s="292"/>
      <c r="R333" s="292"/>
      <c r="S333" s="292"/>
      <c r="T333" s="294"/>
      <c r="U333" s="292"/>
      <c r="V333" s="292"/>
      <c r="W333" s="292"/>
      <c r="X333" s="292"/>
      <c r="Y333" s="292"/>
      <c r="Z333" s="292"/>
      <c r="AA333" s="292"/>
      <c r="AB333" s="292"/>
      <c r="AC333" s="292"/>
    </row>
    <row r="334" customFormat="false" ht="11.25" hidden="false" customHeight="false" outlineLevel="0" collapsed="false">
      <c r="A334" s="153" t="s">
        <v>734</v>
      </c>
      <c r="E334" s="67"/>
      <c r="H334" s="133"/>
      <c r="J334" s="444" t="s">
        <v>735</v>
      </c>
      <c r="L334" s="67"/>
      <c r="M334" s="67"/>
      <c r="N334" s="67"/>
      <c r="O334" s="67"/>
    </row>
    <row r="335" customFormat="false" ht="12" hidden="false" customHeight="false" outlineLevel="0" collapsed="false">
      <c r="E335" s="133" t="s">
        <v>736</v>
      </c>
      <c r="G335" s="67"/>
      <c r="H335" s="133" t="s">
        <v>736</v>
      </c>
      <c r="I335" s="67"/>
      <c r="J335" s="67"/>
      <c r="K335" s="67"/>
      <c r="L335" s="67"/>
      <c r="M335" s="67"/>
      <c r="N335" s="67"/>
      <c r="O335" s="67"/>
      <c r="P335" s="67"/>
      <c r="Q335" s="67"/>
      <c r="R335" s="67"/>
      <c r="S335" s="67"/>
    </row>
    <row r="336" customFormat="false" ht="12.75" hidden="false" customHeight="false" outlineLevel="0" collapsed="false">
      <c r="B336" s="445" t="s">
        <v>737</v>
      </c>
      <c r="E336" s="444" t="s">
        <v>133</v>
      </c>
      <c r="G336" s="67"/>
      <c r="H336" s="444" t="s">
        <v>738</v>
      </c>
      <c r="I336" s="81" t="str">
        <f aca="false">$I$579&amp;"/"&amp;TEXT($I$580,"0")</f>
        <v>6 M/1999</v>
      </c>
      <c r="J336" s="81" t="n">
        <f aca="false">J580</f>
        <v>2000</v>
      </c>
      <c r="K336" s="81" t="n">
        <f aca="false">K580</f>
        <v>2001</v>
      </c>
      <c r="L336" s="81" t="n">
        <f aca="false">L580</f>
        <v>2002</v>
      </c>
      <c r="M336" s="81" t="n">
        <f aca="false">M580</f>
        <v>2003</v>
      </c>
      <c r="N336" s="81" t="n">
        <f aca="false">N580</f>
        <v>2004</v>
      </c>
      <c r="O336" s="81" t="n">
        <f aca="false">O580</f>
        <v>2005</v>
      </c>
      <c r="P336" s="81" t="n">
        <f aca="false">P580</f>
        <v>2006</v>
      </c>
      <c r="Q336" s="81" t="n">
        <f aca="false">Q580</f>
        <v>2007</v>
      </c>
      <c r="R336" s="81" t="n">
        <f aca="false">R580</f>
        <v>2008</v>
      </c>
      <c r="S336" s="81" t="n">
        <f aca="false">S580</f>
        <v>2009</v>
      </c>
      <c r="T336" s="446" t="s">
        <v>703</v>
      </c>
    </row>
    <row r="337" customFormat="false" ht="12" hidden="false" customHeight="false" outlineLevel="0" collapsed="false">
      <c r="B337" s="43" t="s">
        <v>739</v>
      </c>
      <c r="E337" s="447" t="n">
        <v>0</v>
      </c>
      <c r="F337" s="370"/>
      <c r="G337" s="67"/>
      <c r="H337" s="290" t="n">
        <v>0</v>
      </c>
      <c r="I337" s="151" t="n">
        <f aca="false">-I482</f>
        <v>-0</v>
      </c>
      <c r="J337" s="151" t="n">
        <f aca="false">-J482</f>
        <v>-0</v>
      </c>
      <c r="K337" s="151" t="n">
        <f aca="false">-K482</f>
        <v>-0</v>
      </c>
      <c r="L337" s="151" t="n">
        <f aca="false">-L482</f>
        <v>-0</v>
      </c>
      <c r="M337" s="151" t="n">
        <f aca="false">-M482</f>
        <v>-0</v>
      </c>
      <c r="N337" s="151" t="n">
        <f aca="false">-N482</f>
        <v>-0</v>
      </c>
      <c r="O337" s="151" t="n">
        <f aca="false">-O482</f>
        <v>-0</v>
      </c>
      <c r="P337" s="151" t="n">
        <f aca="false">-P482</f>
        <v>-0</v>
      </c>
      <c r="Q337" s="151" t="n">
        <f aca="false">-Q482</f>
        <v>-0</v>
      </c>
      <c r="R337" s="151" t="n">
        <f aca="false">-R482</f>
        <v>-0</v>
      </c>
      <c r="S337" s="151" t="n">
        <f aca="false">-S482</f>
        <v>-0</v>
      </c>
      <c r="T337" s="448" t="n">
        <f aca="false">E337-SUM(H337:S337)</f>
        <v>0</v>
      </c>
    </row>
    <row r="338" customFormat="false" ht="11.25" hidden="false" customHeight="false" outlineLevel="0" collapsed="false">
      <c r="B338" s="43" t="s">
        <v>740</v>
      </c>
      <c r="E338" s="449" t="n">
        <v>0</v>
      </c>
      <c r="F338" s="370"/>
      <c r="G338" s="67"/>
      <c r="H338" s="141" t="n">
        <v>0</v>
      </c>
      <c r="I338" s="151" t="n">
        <f aca="false">-I487</f>
        <v>-0</v>
      </c>
      <c r="J338" s="151" t="n">
        <f aca="false">-J487</f>
        <v>-0</v>
      </c>
      <c r="K338" s="151" t="n">
        <f aca="false">-K487</f>
        <v>-0</v>
      </c>
      <c r="L338" s="151" t="n">
        <f aca="false">-L487</f>
        <v>-0</v>
      </c>
      <c r="M338" s="151" t="n">
        <f aca="false">-M487</f>
        <v>-0</v>
      </c>
      <c r="N338" s="151" t="n">
        <f aca="false">-N487</f>
        <v>-0</v>
      </c>
      <c r="O338" s="151" t="n">
        <f aca="false">-O487</f>
        <v>-0</v>
      </c>
      <c r="P338" s="151" t="n">
        <f aca="false">-P487</f>
        <v>-0</v>
      </c>
      <c r="Q338" s="151" t="n">
        <f aca="false">-Q487</f>
        <v>-0</v>
      </c>
      <c r="R338" s="151" t="n">
        <f aca="false">-R487</f>
        <v>-0</v>
      </c>
      <c r="S338" s="151" t="n">
        <f aca="false">-S487</f>
        <v>-0</v>
      </c>
      <c r="T338" s="448" t="n">
        <f aca="false">E338-SUM(H338:S338)</f>
        <v>0</v>
      </c>
    </row>
    <row r="339" customFormat="false" ht="11.25" hidden="false" customHeight="false" outlineLevel="0" collapsed="false">
      <c r="B339" s="450" t="s">
        <v>741</v>
      </c>
      <c r="C339" s="67"/>
      <c r="D339" s="67"/>
      <c r="E339" s="50" t="n">
        <v>0</v>
      </c>
      <c r="F339" s="370"/>
      <c r="G339" s="67"/>
      <c r="H339" s="141" t="n">
        <v>0</v>
      </c>
      <c r="I339" s="151" t="n">
        <f aca="false">-I494</f>
        <v>-0</v>
      </c>
      <c r="J339" s="151" t="n">
        <f aca="false">-J494</f>
        <v>-0</v>
      </c>
      <c r="K339" s="151" t="n">
        <f aca="false">-K494</f>
        <v>-0</v>
      </c>
      <c r="L339" s="151" t="n">
        <f aca="false">-L494</f>
        <v>-0</v>
      </c>
      <c r="M339" s="151" t="n">
        <f aca="false">-M494</f>
        <v>-0</v>
      </c>
      <c r="N339" s="151" t="n">
        <f aca="false">-N494</f>
        <v>-0</v>
      </c>
      <c r="O339" s="151" t="n">
        <f aca="false">-O494</f>
        <v>-0</v>
      </c>
      <c r="P339" s="151" t="n">
        <f aca="false">-P494</f>
        <v>-0</v>
      </c>
      <c r="Q339" s="151" t="n">
        <f aca="false">-Q494</f>
        <v>-0</v>
      </c>
      <c r="R339" s="151" t="n">
        <f aca="false">-R494</f>
        <v>-0</v>
      </c>
      <c r="S339" s="151" t="n">
        <f aca="false">-S494</f>
        <v>-0</v>
      </c>
      <c r="T339" s="448" t="n">
        <f aca="false">E339-SUM(H339:S339)</f>
        <v>0</v>
      </c>
    </row>
    <row r="340" customFormat="false" ht="11.25" hidden="false" customHeight="false" outlineLevel="0" collapsed="false">
      <c r="B340" s="43" t="s">
        <v>742</v>
      </c>
      <c r="E340" s="449" t="n">
        <v>0</v>
      </c>
      <c r="F340" s="370"/>
      <c r="G340" s="67"/>
      <c r="H340" s="141" t="n">
        <v>0</v>
      </c>
      <c r="I340" s="151" t="n">
        <f aca="false">-I502</f>
        <v>-0</v>
      </c>
      <c r="J340" s="151" t="n">
        <f aca="false">-J502</f>
        <v>-0</v>
      </c>
      <c r="K340" s="151" t="n">
        <f aca="false">-K502</f>
        <v>-0</v>
      </c>
      <c r="L340" s="151" t="n">
        <f aca="false">-L502</f>
        <v>-0</v>
      </c>
      <c r="M340" s="151" t="n">
        <f aca="false">-M502</f>
        <v>-0</v>
      </c>
      <c r="N340" s="151" t="n">
        <f aca="false">-N502</f>
        <v>-0</v>
      </c>
      <c r="O340" s="151" t="n">
        <f aca="false">-O502</f>
        <v>-0</v>
      </c>
      <c r="P340" s="151" t="n">
        <f aca="false">-P502</f>
        <v>-0</v>
      </c>
      <c r="Q340" s="151" t="n">
        <f aca="false">-Q502</f>
        <v>-0</v>
      </c>
      <c r="R340" s="151" t="n">
        <f aca="false">-R502</f>
        <v>-0</v>
      </c>
      <c r="S340" s="151" t="n">
        <f aca="false">-S502</f>
        <v>-0</v>
      </c>
      <c r="T340" s="448" t="n">
        <f aca="false">E340-SUM(H340:S340)</f>
        <v>0</v>
      </c>
    </row>
    <row r="341" customFormat="false" ht="11.25" hidden="false" customHeight="false" outlineLevel="0" collapsed="false">
      <c r="B341" s="43" t="s">
        <v>743</v>
      </c>
      <c r="E341" s="449" t="n">
        <v>0</v>
      </c>
      <c r="F341" s="370"/>
      <c r="G341" s="67"/>
      <c r="H341" s="141" t="n">
        <v>0</v>
      </c>
      <c r="I341" s="151" t="n">
        <f aca="false">-I505</f>
        <v>-0</v>
      </c>
      <c r="J341" s="151" t="n">
        <f aca="false">-J505</f>
        <v>-0</v>
      </c>
      <c r="K341" s="151" t="n">
        <f aca="false">-K505</f>
        <v>-0</v>
      </c>
      <c r="L341" s="151" t="n">
        <f aca="false">-L505</f>
        <v>-0</v>
      </c>
      <c r="M341" s="151" t="n">
        <f aca="false">-M505</f>
        <v>-0</v>
      </c>
      <c r="N341" s="151" t="n">
        <f aca="false">-N505</f>
        <v>-0</v>
      </c>
      <c r="O341" s="151" t="n">
        <f aca="false">-O505</f>
        <v>-0</v>
      </c>
      <c r="P341" s="151" t="n">
        <f aca="false">-P505</f>
        <v>-0</v>
      </c>
      <c r="Q341" s="151" t="n">
        <f aca="false">-Q505</f>
        <v>-0</v>
      </c>
      <c r="R341" s="151" t="n">
        <f aca="false">-R505</f>
        <v>-0</v>
      </c>
      <c r="S341" s="151" t="n">
        <f aca="false">-S505</f>
        <v>-0</v>
      </c>
      <c r="T341" s="448" t="n">
        <f aca="false">E341-SUM(H341:S341)</f>
        <v>0</v>
      </c>
    </row>
    <row r="342" customFormat="false" ht="11.25" hidden="false" customHeight="false" outlineLevel="0" collapsed="false">
      <c r="B342" s="43" t="s">
        <v>744</v>
      </c>
      <c r="E342" s="449" t="n">
        <v>0</v>
      </c>
      <c r="F342" s="370"/>
      <c r="G342" s="67"/>
      <c r="H342" s="141" t="n">
        <v>0</v>
      </c>
      <c r="I342" s="151" t="n">
        <f aca="false">-I511</f>
        <v>0</v>
      </c>
      <c r="J342" s="151" t="n">
        <f aca="false">-J511</f>
        <v>0</v>
      </c>
      <c r="K342" s="151" t="n">
        <f aca="false">-K511</f>
        <v>0</v>
      </c>
      <c r="L342" s="151" t="n">
        <f aca="false">-L511</f>
        <v>0</v>
      </c>
      <c r="M342" s="151" t="n">
        <f aca="false">-M511</f>
        <v>0</v>
      </c>
      <c r="N342" s="151" t="n">
        <f aca="false">-N511</f>
        <v>0</v>
      </c>
      <c r="O342" s="151" t="n">
        <f aca="false">-O511</f>
        <v>0</v>
      </c>
      <c r="P342" s="151" t="n">
        <f aca="false">-P511</f>
        <v>0</v>
      </c>
      <c r="Q342" s="151" t="n">
        <f aca="false">-Q511</f>
        <v>0</v>
      </c>
      <c r="R342" s="151" t="n">
        <f aca="false">-R511</f>
        <v>0</v>
      </c>
      <c r="S342" s="151" t="n">
        <f aca="false">-S511</f>
        <v>0</v>
      </c>
      <c r="T342" s="448" t="n">
        <f aca="false">E342-SUM(H342:S342)</f>
        <v>0</v>
      </c>
    </row>
    <row r="343" customFormat="false" ht="11.25" hidden="false" customHeight="false" outlineLevel="0" collapsed="false">
      <c r="B343" s="43" t="s">
        <v>745</v>
      </c>
      <c r="E343" s="449" t="n">
        <v>0</v>
      </c>
      <c r="F343" s="370"/>
      <c r="G343" s="67"/>
      <c r="H343" s="141" t="n">
        <v>0</v>
      </c>
      <c r="I343" s="151" t="n">
        <f aca="false">-I515</f>
        <v>-0</v>
      </c>
      <c r="J343" s="151" t="n">
        <f aca="false">-J515</f>
        <v>-0</v>
      </c>
      <c r="K343" s="151" t="n">
        <f aca="false">-K515</f>
        <v>-0</v>
      </c>
      <c r="L343" s="151" t="n">
        <f aca="false">-L515</f>
        <v>-0</v>
      </c>
      <c r="M343" s="151" t="n">
        <f aca="false">-M515</f>
        <v>-0</v>
      </c>
      <c r="N343" s="151" t="n">
        <f aca="false">-N515</f>
        <v>-0</v>
      </c>
      <c r="O343" s="151" t="n">
        <f aca="false">-O515</f>
        <v>-0</v>
      </c>
      <c r="P343" s="151" t="n">
        <f aca="false">-P515</f>
        <v>-0</v>
      </c>
      <c r="Q343" s="151" t="n">
        <f aca="false">-Q515</f>
        <v>-0</v>
      </c>
      <c r="R343" s="151" t="n">
        <f aca="false">-R515</f>
        <v>-0</v>
      </c>
      <c r="S343" s="151" t="n">
        <f aca="false">-S515</f>
        <v>-0</v>
      </c>
      <c r="T343" s="448" t="n">
        <f aca="false">E343-SUM(H343:S343)</f>
        <v>0</v>
      </c>
    </row>
    <row r="344" customFormat="false" ht="11.25" hidden="false" customHeight="false" outlineLevel="0" collapsed="false">
      <c r="B344" s="43" t="s">
        <v>746</v>
      </c>
      <c r="E344" s="449" t="n">
        <v>0</v>
      </c>
      <c r="F344" s="370"/>
      <c r="G344" s="67"/>
      <c r="H344" s="141" t="n">
        <f aca="false">E344</f>
        <v>0</v>
      </c>
      <c r="I344" s="151" t="n">
        <f aca="false">-I523</f>
        <v>-0</v>
      </c>
      <c r="J344" s="151" t="n">
        <f aca="false">-J523</f>
        <v>-0</v>
      </c>
      <c r="K344" s="151" t="n">
        <f aca="false">-K523</f>
        <v>-0</v>
      </c>
      <c r="L344" s="151" t="n">
        <f aca="false">-L523</f>
        <v>-0</v>
      </c>
      <c r="M344" s="151" t="n">
        <f aca="false">-M523</f>
        <v>-0</v>
      </c>
      <c r="N344" s="151" t="n">
        <f aca="false">-N523</f>
        <v>-0</v>
      </c>
      <c r="O344" s="151" t="n">
        <f aca="false">-O523</f>
        <v>-0</v>
      </c>
      <c r="P344" s="151" t="n">
        <f aca="false">-P523</f>
        <v>-0</v>
      </c>
      <c r="Q344" s="151" t="n">
        <f aca="false">-Q523</f>
        <v>-0</v>
      </c>
      <c r="R344" s="151" t="n">
        <f aca="false">-R523</f>
        <v>-0</v>
      </c>
      <c r="S344" s="151" t="n">
        <f aca="false">-S523</f>
        <v>-0</v>
      </c>
      <c r="T344" s="448" t="n">
        <f aca="false">E344-SUM(H344:S344)</f>
        <v>0</v>
      </c>
    </row>
    <row r="345" customFormat="false" ht="11.25" hidden="false" customHeight="false" outlineLevel="0" collapsed="false">
      <c r="B345" s="43" t="s">
        <v>637</v>
      </c>
      <c r="E345" s="449" t="n">
        <v>0</v>
      </c>
      <c r="F345" s="370"/>
      <c r="G345" s="67"/>
      <c r="H345" s="141" t="n">
        <v>0</v>
      </c>
      <c r="I345" s="151" t="n">
        <f aca="false">-I530</f>
        <v>-0</v>
      </c>
      <c r="J345" s="151" t="n">
        <f aca="false">-J530</f>
        <v>-0</v>
      </c>
      <c r="K345" s="151" t="n">
        <f aca="false">-K530</f>
        <v>-0</v>
      </c>
      <c r="L345" s="151" t="n">
        <f aca="false">-L530</f>
        <v>-0</v>
      </c>
      <c r="M345" s="151" t="n">
        <f aca="false">-M530</f>
        <v>-0</v>
      </c>
      <c r="N345" s="151" t="n">
        <f aca="false">-N530</f>
        <v>-0</v>
      </c>
      <c r="O345" s="151" t="n">
        <f aca="false">-O530</f>
        <v>-0</v>
      </c>
      <c r="P345" s="151" t="n">
        <f aca="false">-P530</f>
        <v>-0</v>
      </c>
      <c r="Q345" s="151" t="n">
        <f aca="false">-Q530</f>
        <v>-0</v>
      </c>
      <c r="R345" s="151" t="n">
        <f aca="false">-R530</f>
        <v>-0</v>
      </c>
      <c r="S345" s="151" t="n">
        <f aca="false">-S530</f>
        <v>-0</v>
      </c>
      <c r="T345" s="448" t="n">
        <f aca="false">E345-SUM(H345:S345)</f>
        <v>0</v>
      </c>
    </row>
    <row r="346" customFormat="false" ht="11.25" hidden="false" customHeight="false" outlineLevel="0" collapsed="false">
      <c r="B346" s="43" t="s">
        <v>747</v>
      </c>
      <c r="E346" s="449" t="n">
        <v>0</v>
      </c>
      <c r="G346" s="67"/>
      <c r="H346" s="141" t="n">
        <v>0</v>
      </c>
      <c r="I346" s="151" t="n">
        <f aca="false">-I536</f>
        <v>-0</v>
      </c>
      <c r="J346" s="151" t="n">
        <f aca="false">-J536</f>
        <v>-0</v>
      </c>
      <c r="K346" s="151" t="n">
        <f aca="false">-K536</f>
        <v>-0</v>
      </c>
      <c r="L346" s="151" t="n">
        <f aca="false">-L536</f>
        <v>-0</v>
      </c>
      <c r="M346" s="151" t="n">
        <f aca="false">-M536</f>
        <v>-0</v>
      </c>
      <c r="N346" s="151" t="n">
        <f aca="false">-N536</f>
        <v>-0</v>
      </c>
      <c r="O346" s="151" t="n">
        <f aca="false">-O536</f>
        <v>-0</v>
      </c>
      <c r="P346" s="151" t="n">
        <f aca="false">-P536</f>
        <v>-0</v>
      </c>
      <c r="Q346" s="151" t="n">
        <f aca="false">-Q536</f>
        <v>-0</v>
      </c>
      <c r="R346" s="151" t="n">
        <f aca="false">-R536</f>
        <v>-0</v>
      </c>
      <c r="S346" s="151" t="n">
        <f aca="false">-S536</f>
        <v>-0</v>
      </c>
      <c r="T346" s="448" t="n">
        <f aca="false">E346-SUM(H346:S346)</f>
        <v>0</v>
      </c>
    </row>
    <row r="347" customFormat="false" ht="11.25" hidden="false" customHeight="false" outlineLevel="0" collapsed="false">
      <c r="B347" s="43" t="s">
        <v>748</v>
      </c>
      <c r="E347" s="449" t="n">
        <v>0</v>
      </c>
      <c r="F347" s="370"/>
      <c r="G347" s="67"/>
      <c r="H347" s="151" t="n">
        <f aca="false">E347</f>
        <v>0</v>
      </c>
      <c r="I347" s="151"/>
      <c r="J347" s="151"/>
      <c r="K347" s="151"/>
      <c r="L347" s="151"/>
      <c r="M347" s="151"/>
      <c r="N347" s="151"/>
      <c r="O347" s="151"/>
      <c r="P347" s="151"/>
      <c r="Q347" s="151"/>
      <c r="R347" s="151"/>
      <c r="S347" s="151"/>
      <c r="T347" s="448" t="n">
        <f aca="false">E347-SUM(H347:S347)</f>
        <v>0</v>
      </c>
    </row>
    <row r="348" customFormat="false" ht="11.25" hidden="false" customHeight="false" outlineLevel="0" collapsed="false">
      <c r="B348" s="307" t="s">
        <v>749</v>
      </c>
      <c r="E348" s="419" t="n">
        <f aca="false">SUM(E337:E347)</f>
        <v>0</v>
      </c>
      <c r="F348" s="451"/>
      <c r="G348" s="68"/>
      <c r="H348" s="419" t="n">
        <f aca="false">SUM(H337:H347)</f>
        <v>0</v>
      </c>
      <c r="I348" s="419" t="n">
        <f aca="false">SUM(I337:I347)</f>
        <v>0</v>
      </c>
      <c r="J348" s="419" t="n">
        <f aca="false">SUM(J337:J347)</f>
        <v>0</v>
      </c>
      <c r="K348" s="419" t="n">
        <f aca="false">SUM(K337:K347)</f>
        <v>0</v>
      </c>
      <c r="L348" s="419" t="n">
        <f aca="false">SUM(L337:L347)</f>
        <v>0</v>
      </c>
      <c r="M348" s="419" t="n">
        <f aca="false">SUM(M337:M347)</f>
        <v>0</v>
      </c>
      <c r="N348" s="419" t="n">
        <f aca="false">SUM(N337:N347)</f>
        <v>0</v>
      </c>
      <c r="O348" s="419" t="n">
        <f aca="false">SUM(O337:O347)</f>
        <v>0</v>
      </c>
      <c r="P348" s="419" t="n">
        <f aca="false">SUM(P337:P347)</f>
        <v>0</v>
      </c>
      <c r="Q348" s="419" t="n">
        <f aca="false">SUM(Q337:Q347)</f>
        <v>0</v>
      </c>
      <c r="R348" s="419" t="n">
        <f aca="false">SUM(R337:R347)</f>
        <v>0</v>
      </c>
      <c r="S348" s="419" t="n">
        <f aca="false">SUM(S337:S347)</f>
        <v>0</v>
      </c>
      <c r="T348" s="452" t="n">
        <f aca="false">SUM(T337:T347)</f>
        <v>0</v>
      </c>
    </row>
    <row r="349" customFormat="false" ht="11.25" hidden="false" customHeight="false" outlineLevel="0" collapsed="false">
      <c r="C349" s="67"/>
      <c r="D349" s="67"/>
      <c r="E349" s="67"/>
      <c r="F349" s="67"/>
      <c r="T349" s="448"/>
    </row>
    <row r="350" customFormat="false" ht="11.25" hidden="false" customHeight="false" outlineLevel="0" collapsed="false">
      <c r="A350" s="43"/>
      <c r="B350" s="445" t="s">
        <v>750</v>
      </c>
      <c r="E350" s="133"/>
      <c r="F350" s="370"/>
      <c r="G350" s="67"/>
      <c r="T350" s="448"/>
    </row>
    <row r="351" customFormat="false" ht="11.25" hidden="false" customHeight="false" outlineLevel="0" collapsed="false">
      <c r="A351" s="43"/>
      <c r="B351" s="67" t="s">
        <v>751</v>
      </c>
      <c r="C351" s="43" t="str">
        <f aca="false">A396</f>
        <v>Goodwill</v>
      </c>
      <c r="E351" s="453" t="n">
        <v>0</v>
      </c>
      <c r="F351" s="370"/>
      <c r="G351" s="67"/>
      <c r="H351" s="454" t="n">
        <v>0</v>
      </c>
      <c r="I351" s="254" t="n">
        <v>0</v>
      </c>
      <c r="J351" s="254" t="n">
        <v>0</v>
      </c>
      <c r="K351" s="254" t="n">
        <v>0</v>
      </c>
      <c r="L351" s="254" t="n">
        <v>0</v>
      </c>
      <c r="M351" s="254" t="n">
        <v>0</v>
      </c>
      <c r="N351" s="254" t="n">
        <v>0</v>
      </c>
      <c r="O351" s="254" t="n">
        <v>0</v>
      </c>
      <c r="P351" s="254" t="n">
        <v>0</v>
      </c>
      <c r="Q351" s="254" t="n">
        <v>0</v>
      </c>
      <c r="R351" s="254" t="n">
        <v>0</v>
      </c>
      <c r="S351" s="455" t="n">
        <v>0</v>
      </c>
      <c r="T351" s="456" t="n">
        <f aca="false">E351-SUM(H351:S351)</f>
        <v>0</v>
      </c>
    </row>
    <row r="352" customFormat="false" ht="11.25" hidden="false" customHeight="false" outlineLevel="0" collapsed="false">
      <c r="A352" s="43"/>
      <c r="B352" s="67"/>
      <c r="C352" s="151" t="str">
        <f aca="false">A395</f>
        <v>Intangibles</v>
      </c>
      <c r="D352" s="67"/>
      <c r="E352" s="457" t="n">
        <v>0</v>
      </c>
      <c r="F352" s="370"/>
      <c r="G352" s="67"/>
      <c r="H352" s="458" t="n">
        <f aca="false">E352</f>
        <v>0</v>
      </c>
      <c r="I352" s="149" t="n">
        <f aca="false">I944-H352</f>
        <v>0</v>
      </c>
      <c r="J352" s="149" t="n">
        <f aca="false">J944</f>
        <v>0</v>
      </c>
      <c r="K352" s="149" t="n">
        <f aca="false">K944</f>
        <v>0</v>
      </c>
      <c r="L352" s="149" t="n">
        <f aca="false">L944</f>
        <v>0</v>
      </c>
      <c r="M352" s="149" t="n">
        <f aca="false">M944</f>
        <v>0</v>
      </c>
      <c r="N352" s="149" t="n">
        <f aca="false">N944</f>
        <v>0</v>
      </c>
      <c r="O352" s="149" t="n">
        <f aca="false">O944</f>
        <v>0</v>
      </c>
      <c r="P352" s="149" t="n">
        <f aca="false">P944</f>
        <v>0</v>
      </c>
      <c r="Q352" s="149" t="n">
        <f aca="false">Q944</f>
        <v>0</v>
      </c>
      <c r="R352" s="149" t="n">
        <f aca="false">R944</f>
        <v>0</v>
      </c>
      <c r="S352" s="421" t="n">
        <f aca="false">S944</f>
        <v>0</v>
      </c>
      <c r="T352" s="448" t="n">
        <f aca="false">E352-SUM(H352:S352)</f>
        <v>0</v>
      </c>
    </row>
    <row r="353" customFormat="false" ht="11.25" hidden="false" customHeight="false" outlineLevel="0" collapsed="false">
      <c r="A353" s="43"/>
      <c r="B353" s="67"/>
      <c r="C353" s="151" t="s">
        <v>752</v>
      </c>
      <c r="D353" s="67"/>
      <c r="E353" s="459" t="n">
        <v>0</v>
      </c>
      <c r="F353" s="370" t="n">
        <v>0</v>
      </c>
      <c r="G353" s="67"/>
      <c r="H353" s="458" t="n">
        <v>0</v>
      </c>
      <c r="I353" s="149" t="n">
        <f aca="false">(I941-I944-I943)-H353</f>
        <v>0</v>
      </c>
      <c r="J353" s="149" t="n">
        <f aca="false">J941-J354</f>
        <v>0</v>
      </c>
      <c r="K353" s="149" t="n">
        <f aca="false">K941-K354</f>
        <v>0</v>
      </c>
      <c r="L353" s="149" t="n">
        <f aca="false">L941-L354</f>
        <v>0</v>
      </c>
      <c r="M353" s="149" t="n">
        <f aca="false">M941-M354</f>
        <v>0</v>
      </c>
      <c r="N353" s="149" t="n">
        <f aca="false">N941-N354</f>
        <v>0</v>
      </c>
      <c r="O353" s="149" t="n">
        <f aca="false">O941-O354</f>
        <v>25.811</v>
      </c>
      <c r="P353" s="149" t="n">
        <f aca="false">P941-P354</f>
        <v>5.512</v>
      </c>
      <c r="Q353" s="149" t="n">
        <f aca="false">Q941-Q354</f>
        <v>16.2</v>
      </c>
      <c r="R353" s="149" t="n">
        <f aca="false">R941-R354</f>
        <v>0</v>
      </c>
      <c r="S353" s="421" t="n">
        <f aca="false">S941-S354</f>
        <v>0</v>
      </c>
      <c r="T353" s="448" t="n">
        <f aca="false">E353-SUM(H353:S353)</f>
        <v>-47.523</v>
      </c>
    </row>
    <row r="354" customFormat="false" ht="11.25" hidden="false" customHeight="false" outlineLevel="0" collapsed="false">
      <c r="A354" s="43"/>
      <c r="B354" s="67"/>
      <c r="C354" s="151" t="s">
        <v>477</v>
      </c>
      <c r="D354" s="67"/>
      <c r="E354" s="460" t="n">
        <v>0</v>
      </c>
      <c r="F354" s="370"/>
      <c r="G354" s="67"/>
      <c r="H354" s="461" t="n">
        <f aca="false">E354</f>
        <v>0</v>
      </c>
      <c r="I354" s="166" t="n">
        <f aca="false">I943-H354</f>
        <v>0</v>
      </c>
      <c r="J354" s="166" t="n">
        <f aca="false">J943</f>
        <v>0</v>
      </c>
      <c r="K354" s="166" t="n">
        <f aca="false">K943</f>
        <v>0</v>
      </c>
      <c r="L354" s="166" t="n">
        <f aca="false">L943</f>
        <v>0</v>
      </c>
      <c r="M354" s="166" t="n">
        <f aca="false">M943</f>
        <v>0</v>
      </c>
      <c r="N354" s="166" t="n">
        <f aca="false">N943</f>
        <v>0</v>
      </c>
      <c r="O354" s="166" t="n">
        <f aca="false">O943</f>
        <v>0</v>
      </c>
      <c r="P354" s="166" t="n">
        <f aca="false">P943</f>
        <v>0</v>
      </c>
      <c r="Q354" s="166" t="n">
        <f aca="false">Q943</f>
        <v>0</v>
      </c>
      <c r="R354" s="166" t="n">
        <f aca="false">R943</f>
        <v>0</v>
      </c>
      <c r="S354" s="462" t="n">
        <f aca="false">S943</f>
        <v>0</v>
      </c>
      <c r="T354" s="463" t="n">
        <f aca="false">E354-SUM(H354:S354)</f>
        <v>0</v>
      </c>
    </row>
    <row r="355" customFormat="false" ht="11.25" hidden="false" customHeight="false" outlineLevel="0" collapsed="false">
      <c r="A355" s="43"/>
      <c r="B355" s="67" t="s">
        <v>753</v>
      </c>
      <c r="C355" s="67"/>
      <c r="D355" s="67"/>
      <c r="E355" s="141" t="n">
        <v>0</v>
      </c>
      <c r="F355" s="370"/>
      <c r="G355" s="67"/>
      <c r="H355" s="141" t="n">
        <v>0</v>
      </c>
      <c r="I355" s="141" t="n">
        <v>0</v>
      </c>
      <c r="J355" s="141" t="n">
        <v>0</v>
      </c>
      <c r="K355" s="141" t="n">
        <v>0</v>
      </c>
      <c r="L355" s="141" t="n">
        <v>0</v>
      </c>
      <c r="M355" s="141" t="n">
        <v>0</v>
      </c>
      <c r="N355" s="141" t="n">
        <v>0</v>
      </c>
      <c r="O355" s="141" t="n">
        <v>0</v>
      </c>
      <c r="P355" s="141" t="n">
        <v>0</v>
      </c>
      <c r="Q355" s="141" t="n">
        <v>0</v>
      </c>
      <c r="R355" s="141" t="n">
        <v>0</v>
      </c>
      <c r="S355" s="141" t="n">
        <v>0</v>
      </c>
      <c r="T355" s="448" t="n">
        <f aca="false">E355-SUM(H355:S355)</f>
        <v>0</v>
      </c>
    </row>
    <row r="356" customFormat="false" ht="11.25" hidden="false" customHeight="false" outlineLevel="0" collapsed="false">
      <c r="A356" s="43"/>
      <c r="B356" s="67" t="s">
        <v>754</v>
      </c>
      <c r="C356" s="67"/>
      <c r="D356" s="67"/>
      <c r="E356" s="449" t="n">
        <v>0</v>
      </c>
      <c r="F356" s="370"/>
      <c r="G356" s="67"/>
      <c r="H356" s="141" t="n">
        <f aca="false">E356</f>
        <v>0</v>
      </c>
      <c r="I356" s="203" t="n">
        <f aca="false">-I535</f>
        <v>-0</v>
      </c>
      <c r="J356" s="203" t="n">
        <f aca="false">-J535</f>
        <v>-0</v>
      </c>
      <c r="K356" s="203" t="n">
        <f aca="false">-K535</f>
        <v>-0</v>
      </c>
      <c r="L356" s="203" t="n">
        <f aca="false">-L535</f>
        <v>-0</v>
      </c>
      <c r="M356" s="203" t="n">
        <f aca="false">-M535</f>
        <v>-0</v>
      </c>
      <c r="N356" s="203" t="n">
        <f aca="false">-N535</f>
        <v>-0</v>
      </c>
      <c r="O356" s="203" t="n">
        <f aca="false">-O535</f>
        <v>-0</v>
      </c>
      <c r="P356" s="203" t="n">
        <f aca="false">-P535</f>
        <v>-0</v>
      </c>
      <c r="Q356" s="203" t="n">
        <f aca="false">-Q535</f>
        <v>-0</v>
      </c>
      <c r="R356" s="203" t="n">
        <f aca="false">-R535</f>
        <v>-0</v>
      </c>
      <c r="S356" s="203" t="n">
        <f aca="false">-S535</f>
        <v>-0</v>
      </c>
      <c r="T356" s="448" t="n">
        <f aca="false">E356-SUM(H356:S356)</f>
        <v>0</v>
      </c>
    </row>
    <row r="357" customFormat="false" ht="11.25" hidden="false" customHeight="false" outlineLevel="0" collapsed="false">
      <c r="A357" s="43"/>
      <c r="B357" s="183" t="s">
        <v>755</v>
      </c>
      <c r="C357" s="50"/>
      <c r="E357" s="417" t="n">
        <f aca="false">I370+I371</f>
        <v>0</v>
      </c>
      <c r="F357" s="370"/>
      <c r="G357" s="67"/>
      <c r="H357" s="464" t="n">
        <f aca="false">E357</f>
        <v>0</v>
      </c>
      <c r="I357" s="464"/>
      <c r="J357" s="464"/>
      <c r="K357" s="464"/>
      <c r="L357" s="464"/>
      <c r="M357" s="464"/>
      <c r="N357" s="464"/>
      <c r="O357" s="464"/>
      <c r="P357" s="464"/>
      <c r="Q357" s="464"/>
      <c r="R357" s="464"/>
      <c r="S357" s="464"/>
      <c r="T357" s="448"/>
    </row>
    <row r="358" customFormat="false" ht="11.25" hidden="false" customHeight="false" outlineLevel="0" collapsed="false">
      <c r="A358" s="43"/>
      <c r="B358" s="183" t="s">
        <v>756</v>
      </c>
      <c r="C358" s="50"/>
      <c r="E358" s="449" t="n">
        <v>0</v>
      </c>
      <c r="F358" s="370"/>
      <c r="G358" s="67"/>
      <c r="H358" s="203" t="n">
        <f aca="false">E358</f>
        <v>0</v>
      </c>
      <c r="I358" s="203"/>
      <c r="J358" s="203"/>
      <c r="K358" s="203"/>
      <c r="L358" s="203"/>
      <c r="M358" s="203"/>
      <c r="N358" s="203"/>
      <c r="O358" s="203"/>
      <c r="P358" s="203"/>
      <c r="Q358" s="203"/>
      <c r="R358" s="203"/>
      <c r="S358" s="203"/>
      <c r="T358" s="448"/>
    </row>
    <row r="359" customFormat="false" ht="11.25" hidden="false" customHeight="false" outlineLevel="0" collapsed="false">
      <c r="A359" s="43"/>
      <c r="B359" s="183" t="s">
        <v>757</v>
      </c>
      <c r="C359" s="50"/>
      <c r="E359" s="449" t="n">
        <v>0</v>
      </c>
      <c r="F359" s="370"/>
      <c r="G359" s="67"/>
      <c r="H359" s="203" t="n">
        <f aca="false">E359</f>
        <v>0</v>
      </c>
      <c r="I359" s="203"/>
      <c r="J359" s="203"/>
      <c r="K359" s="203"/>
      <c r="L359" s="203"/>
      <c r="M359" s="203"/>
      <c r="N359" s="203"/>
      <c r="O359" s="203"/>
      <c r="P359" s="203"/>
      <c r="Q359" s="203"/>
      <c r="R359" s="203"/>
      <c r="S359" s="203"/>
      <c r="T359" s="448"/>
    </row>
    <row r="360" customFormat="false" ht="11.25" hidden="false" customHeight="false" outlineLevel="0" collapsed="false">
      <c r="A360" s="43"/>
      <c r="B360" s="183" t="s">
        <v>758</v>
      </c>
      <c r="C360" s="50"/>
      <c r="E360" s="449" t="n">
        <v>0</v>
      </c>
      <c r="F360" s="370"/>
      <c r="G360" s="67"/>
      <c r="H360" s="203" t="n">
        <f aca="false">E360</f>
        <v>0</v>
      </c>
      <c r="I360" s="203"/>
      <c r="J360" s="203"/>
      <c r="K360" s="203"/>
      <c r="L360" s="203"/>
      <c r="M360" s="203"/>
      <c r="N360" s="203"/>
      <c r="O360" s="203"/>
      <c r="P360" s="203"/>
      <c r="Q360" s="203"/>
      <c r="R360" s="203"/>
      <c r="S360" s="203"/>
      <c r="T360" s="448"/>
    </row>
    <row r="361" customFormat="false" ht="11.25" hidden="false" customHeight="false" outlineLevel="0" collapsed="false">
      <c r="A361" s="43"/>
      <c r="B361" s="183" t="s">
        <v>759</v>
      </c>
      <c r="C361" s="50"/>
      <c r="E361" s="50" t="n">
        <v>0</v>
      </c>
      <c r="F361" s="370"/>
      <c r="G361" s="67"/>
      <c r="H361" s="203" t="n">
        <f aca="false">H348-SUM(H351:H360)</f>
        <v>0</v>
      </c>
      <c r="I361" s="203" t="n">
        <f aca="false">I348-SUM(I351:I360)</f>
        <v>0</v>
      </c>
      <c r="J361" s="203" t="n">
        <f aca="false">J348-SUM(J351:J360)</f>
        <v>0</v>
      </c>
      <c r="K361" s="203" t="n">
        <f aca="false">K348-SUM(K351:K360)</f>
        <v>0</v>
      </c>
      <c r="L361" s="203" t="n">
        <f aca="false">L348-SUM(L351:L360)</f>
        <v>0</v>
      </c>
      <c r="M361" s="203" t="n">
        <f aca="false">M348-SUM(M351:M360)</f>
        <v>0</v>
      </c>
      <c r="N361" s="203" t="n">
        <f aca="false">N348-SUM(N351:N360)</f>
        <v>0</v>
      </c>
      <c r="O361" s="203" t="n">
        <f aca="false">O348-SUM(O351:O360)</f>
        <v>-25.811</v>
      </c>
      <c r="P361" s="203" t="n">
        <f aca="false">P348-SUM(P351:P360)</f>
        <v>-5.512</v>
      </c>
      <c r="Q361" s="203" t="n">
        <f aca="false">Q348-SUM(Q351:Q360)</f>
        <v>-16.2</v>
      </c>
      <c r="R361" s="203" t="n">
        <f aca="false">R348-SUM(R351:R360)</f>
        <v>0</v>
      </c>
      <c r="S361" s="203" t="n">
        <f aca="false">S348-SUM(S351:S360)</f>
        <v>0</v>
      </c>
      <c r="T361" s="448" t="n">
        <f aca="false">E361-SUM(H361:S361)</f>
        <v>47.523</v>
      </c>
    </row>
    <row r="362" customFormat="false" ht="11.25" hidden="false" customHeight="false" outlineLevel="0" collapsed="false">
      <c r="A362" s="43"/>
      <c r="E362" s="417"/>
      <c r="F362" s="370"/>
      <c r="G362" s="67"/>
      <c r="T362" s="448"/>
    </row>
    <row r="363" customFormat="false" ht="11.25" hidden="false" customHeight="false" outlineLevel="0" collapsed="false">
      <c r="A363" s="43"/>
      <c r="B363" s="307" t="s">
        <v>760</v>
      </c>
      <c r="E363" s="417" t="n">
        <f aca="false">SUM(E351:E362)</f>
        <v>0</v>
      </c>
      <c r="F363" s="370"/>
      <c r="G363" s="67"/>
      <c r="H363" s="419" t="n">
        <f aca="false">SUM(H351:H362)</f>
        <v>0</v>
      </c>
      <c r="I363" s="419" t="n">
        <f aca="false">SUM(I351:I362)</f>
        <v>0</v>
      </c>
      <c r="J363" s="419" t="n">
        <f aca="false">SUM(J351:J362)</f>
        <v>0</v>
      </c>
      <c r="K363" s="419" t="n">
        <f aca="false">SUM(K351:K362)</f>
        <v>0</v>
      </c>
      <c r="L363" s="419" t="n">
        <f aca="false">SUM(L351:L362)</f>
        <v>0</v>
      </c>
      <c r="M363" s="419" t="n">
        <f aca="false">SUM(M351:M362)</f>
        <v>0</v>
      </c>
      <c r="N363" s="419" t="n">
        <f aca="false">SUM(N351:N362)</f>
        <v>0</v>
      </c>
      <c r="O363" s="419" t="n">
        <f aca="false">SUM(O351:O362)</f>
        <v>0</v>
      </c>
      <c r="P363" s="419" t="n">
        <f aca="false">SUM(P351:P362)</f>
        <v>0</v>
      </c>
      <c r="Q363" s="419" t="n">
        <f aca="false">SUM(Q351:Q362)</f>
        <v>0</v>
      </c>
      <c r="R363" s="419" t="n">
        <f aca="false">SUM(R351:R362)</f>
        <v>0</v>
      </c>
      <c r="S363" s="419" t="n">
        <f aca="false">SUM(S351:S362)</f>
        <v>0</v>
      </c>
      <c r="T363" s="452" t="n">
        <f aca="false">SUM(T351:T362)</f>
        <v>0</v>
      </c>
    </row>
    <row r="364" customFormat="false" ht="11.25" hidden="false" customHeight="false" outlineLevel="0" collapsed="false">
      <c r="A364" s="43"/>
      <c r="B364" s="67"/>
      <c r="C364" s="465" t="s">
        <v>761</v>
      </c>
      <c r="E364" s="441" t="n">
        <f aca="false">E363-E348</f>
        <v>0</v>
      </c>
      <c r="F364" s="370"/>
      <c r="G364" s="67"/>
      <c r="H364" s="441" t="n">
        <f aca="false">H363-H348</f>
        <v>0</v>
      </c>
      <c r="I364" s="441" t="n">
        <f aca="false">I363-I348</f>
        <v>0</v>
      </c>
      <c r="J364" s="441" t="n">
        <f aca="false">J363-J348</f>
        <v>0</v>
      </c>
      <c r="K364" s="441" t="n">
        <f aca="false">K363-K348</f>
        <v>0</v>
      </c>
      <c r="L364" s="441" t="n">
        <f aca="false">L363-L348</f>
        <v>0</v>
      </c>
      <c r="M364" s="441" t="n">
        <f aca="false">M363-M348</f>
        <v>0</v>
      </c>
      <c r="N364" s="441" t="n">
        <f aca="false">N363-N348</f>
        <v>0</v>
      </c>
      <c r="O364" s="441" t="n">
        <f aca="false">O363-O348</f>
        <v>0</v>
      </c>
      <c r="P364" s="441" t="n">
        <f aca="false">P363-P348</f>
        <v>0</v>
      </c>
      <c r="Q364" s="441" t="n">
        <f aca="false">Q363-Q348</f>
        <v>0</v>
      </c>
      <c r="R364" s="441" t="n">
        <f aca="false">R363-R348</f>
        <v>0</v>
      </c>
      <c r="S364" s="441" t="n">
        <f aca="false">S363-S348</f>
        <v>0</v>
      </c>
      <c r="T364" s="441" t="n">
        <f aca="false">T363-T348</f>
        <v>0</v>
      </c>
    </row>
    <row r="365" customFormat="false" ht="11.25" hidden="false" customHeight="false" outlineLevel="0" collapsed="false">
      <c r="A365" s="43"/>
      <c r="B365" s="67"/>
      <c r="C365" s="67"/>
      <c r="D365" s="67"/>
      <c r="E365" s="67"/>
      <c r="F365" s="370"/>
      <c r="G365" s="67"/>
    </row>
    <row r="366" customFormat="false" ht="12" hidden="false" customHeight="false" outlineLevel="0" collapsed="false">
      <c r="A366" s="43"/>
    </row>
    <row r="367" customFormat="false" ht="12.75" hidden="false" customHeight="false" outlineLevel="0" collapsed="false">
      <c r="A367" s="443"/>
      <c r="B367" s="292"/>
      <c r="C367" s="292"/>
      <c r="D367" s="292"/>
      <c r="E367" s="292"/>
      <c r="F367" s="292"/>
      <c r="G367" s="292"/>
      <c r="H367" s="292"/>
      <c r="I367" s="292"/>
      <c r="J367" s="292"/>
      <c r="K367" s="292"/>
      <c r="L367" s="292"/>
      <c r="M367" s="292"/>
      <c r="N367" s="292"/>
      <c r="O367" s="292"/>
      <c r="P367" s="292"/>
      <c r="Q367" s="292"/>
      <c r="R367" s="292"/>
      <c r="S367" s="292"/>
      <c r="T367" s="292"/>
      <c r="U367" s="292"/>
      <c r="V367" s="292"/>
      <c r="W367" s="292"/>
      <c r="X367" s="292"/>
      <c r="Y367" s="292"/>
      <c r="Z367" s="292"/>
      <c r="AA367" s="292"/>
      <c r="AB367" s="292"/>
      <c r="AC367" s="292"/>
    </row>
    <row r="368" customFormat="false" ht="12.75" hidden="false" customHeight="false" outlineLevel="0" collapsed="false">
      <c r="A368" s="153" t="s">
        <v>762</v>
      </c>
      <c r="C368" s="149"/>
      <c r="E368" s="149"/>
      <c r="F368" s="466" t="s">
        <v>763</v>
      </c>
      <c r="G368" s="466" t="s">
        <v>764</v>
      </c>
      <c r="H368" s="466"/>
    </row>
    <row r="369" customFormat="false" ht="12.75" hidden="false" customHeight="false" outlineLevel="0" collapsed="false">
      <c r="A369" s="43"/>
      <c r="C369" s="467" t="s">
        <v>765</v>
      </c>
      <c r="E369" s="467" t="s">
        <v>766</v>
      </c>
      <c r="F369" s="468" t="s">
        <v>767</v>
      </c>
      <c r="G369" s="468" t="s">
        <v>768</v>
      </c>
      <c r="H369" s="468"/>
      <c r="I369" s="469" t="str">
        <f aca="false">$I$579&amp;"/"&amp;TEXT($I$580,"0")</f>
        <v>6 M/1999</v>
      </c>
      <c r="J369" s="469" t="n">
        <f aca="false">J580</f>
        <v>2000</v>
      </c>
      <c r="K369" s="469" t="n">
        <f aca="false">K580</f>
        <v>2001</v>
      </c>
      <c r="L369" s="469" t="n">
        <f aca="false">L580</f>
        <v>2002</v>
      </c>
      <c r="M369" s="469" t="n">
        <f aca="false">M580</f>
        <v>2003</v>
      </c>
      <c r="N369" s="469" t="n">
        <f aca="false">N580</f>
        <v>2004</v>
      </c>
      <c r="O369" s="469" t="n">
        <f aca="false">O580</f>
        <v>2005</v>
      </c>
      <c r="P369" s="469" t="n">
        <f aca="false">P580</f>
        <v>2006</v>
      </c>
      <c r="Q369" s="469" t="n">
        <f aca="false">Q580</f>
        <v>2007</v>
      </c>
      <c r="R369" s="469" t="n">
        <f aca="false">R580</f>
        <v>2008</v>
      </c>
      <c r="S369" s="469" t="n">
        <f aca="false">S580</f>
        <v>2009</v>
      </c>
    </row>
    <row r="370" customFormat="false" ht="12" hidden="false" customHeight="false" outlineLevel="0" collapsed="false">
      <c r="A370" s="43" t="s">
        <v>769</v>
      </c>
      <c r="E370" s="449" t="n">
        <v>0</v>
      </c>
      <c r="F370" s="65" t="s">
        <v>770</v>
      </c>
      <c r="G370" s="67"/>
      <c r="H370" s="65" t="s">
        <v>771</v>
      </c>
      <c r="I370" s="441" t="n">
        <f aca="false">E370+E371</f>
        <v>0</v>
      </c>
    </row>
    <row r="371" customFormat="false" ht="11.25" hidden="false" customHeight="false" outlineLevel="0" collapsed="false">
      <c r="A371" s="43" t="s">
        <v>772</v>
      </c>
      <c r="E371" s="449" t="n">
        <v>0</v>
      </c>
      <c r="F371" s="65" t="s">
        <v>770</v>
      </c>
      <c r="G371" s="67"/>
      <c r="H371" s="65" t="s">
        <v>773</v>
      </c>
      <c r="I371" s="441" t="n">
        <f aca="false">E383-I370</f>
        <v>0</v>
      </c>
    </row>
    <row r="372" customFormat="false" ht="11.25" hidden="false" customHeight="false" outlineLevel="0" collapsed="false">
      <c r="A372" s="43" t="s">
        <v>774</v>
      </c>
      <c r="G372" s="67"/>
      <c r="H372" s="65" t="s">
        <v>775</v>
      </c>
      <c r="I372" s="35" t="n">
        <f aca="false">IF($C$328&gt;0,I370,0)</f>
        <v>0</v>
      </c>
      <c r="J372" s="35" t="n">
        <f aca="false">IF($C$328=0,I370,0)</f>
        <v>0</v>
      </c>
    </row>
    <row r="373" customFormat="false" ht="11.25" hidden="false" customHeight="false" outlineLevel="0" collapsed="false">
      <c r="A373" s="43" t="str">
        <f aca="false">"    "&amp;B337&amp;"*"</f>
        <v>    Revolving Loan*</v>
      </c>
      <c r="C373" s="470" t="n">
        <v>0</v>
      </c>
      <c r="E373" s="35" t="n">
        <f aca="false">C373*I483</f>
        <v>0</v>
      </c>
      <c r="F373" s="471" t="n">
        <v>7</v>
      </c>
      <c r="I373" s="35" t="n">
        <f aca="false">$E373/$F373*$C$328</f>
        <v>0</v>
      </c>
      <c r="J373" s="35" t="n">
        <f aca="false">$E$373/$F$373</f>
        <v>0</v>
      </c>
      <c r="K373" s="35" t="n">
        <f aca="false">$E$373/$F$373</f>
        <v>0</v>
      </c>
      <c r="L373" s="35" t="n">
        <f aca="false">$E$373/$F$373</f>
        <v>0</v>
      </c>
      <c r="M373" s="35" t="n">
        <f aca="false">$E$373/$F$373</f>
        <v>0</v>
      </c>
      <c r="N373" s="35" t="n">
        <f aca="false">$E$373/$F$373</f>
        <v>0</v>
      </c>
      <c r="O373" s="35" t="n">
        <f aca="false">$E$373/$F$373</f>
        <v>0</v>
      </c>
      <c r="P373" s="35" t="n">
        <f aca="false">$E$373/$F$373*C325</f>
        <v>0</v>
      </c>
    </row>
    <row r="374" customFormat="false" ht="11.25" hidden="false" customHeight="false" outlineLevel="0" collapsed="false">
      <c r="A374" s="43" t="str">
        <f aca="false">"    "&amp;B338</f>
        <v>    Term Loan</v>
      </c>
      <c r="C374" s="470" t="n">
        <v>0</v>
      </c>
      <c r="E374" s="35" t="n">
        <f aca="false">C374*E338</f>
        <v>0</v>
      </c>
      <c r="F374" s="471" t="n">
        <v>7</v>
      </c>
      <c r="I374" s="35" t="n">
        <f aca="false">$E374/$F374*$C$328</f>
        <v>0</v>
      </c>
      <c r="J374" s="35" t="n">
        <f aca="false">$E374/$F374</f>
        <v>0</v>
      </c>
      <c r="K374" s="35" t="n">
        <f aca="false">$E374/$F374</f>
        <v>0</v>
      </c>
      <c r="L374" s="35" t="n">
        <f aca="false">$E374/$F374</f>
        <v>0</v>
      </c>
      <c r="M374" s="35" t="n">
        <f aca="false">$E374/$F374</f>
        <v>0</v>
      </c>
      <c r="N374" s="35" t="n">
        <f aca="false">$E374/$F374</f>
        <v>0</v>
      </c>
      <c r="O374" s="35" t="n">
        <f aca="false">$E374/$F374</f>
        <v>0</v>
      </c>
      <c r="P374" s="35" t="n">
        <f aca="false">$E374/$F374*C325</f>
        <v>0</v>
      </c>
    </row>
    <row r="375" customFormat="false" ht="11.25" hidden="false" customHeight="false" outlineLevel="0" collapsed="false">
      <c r="A375" s="43" t="str">
        <f aca="false">"    "&amp;B339</f>
        <v>    Production Payment</v>
      </c>
      <c r="C375" s="470" t="n">
        <v>0</v>
      </c>
      <c r="E375" s="35" t="n">
        <f aca="false">C375*E339</f>
        <v>0</v>
      </c>
      <c r="F375" s="471" t="n">
        <v>7</v>
      </c>
      <c r="I375" s="35" t="n">
        <f aca="false">$E375/$F375*$C$328</f>
        <v>0</v>
      </c>
      <c r="J375" s="35" t="n">
        <f aca="false">$E375/$F375</f>
        <v>0</v>
      </c>
      <c r="K375" s="35" t="n">
        <f aca="false">$E375/$F375</f>
        <v>0</v>
      </c>
      <c r="L375" s="35" t="n">
        <f aca="false">$E375/$F375</f>
        <v>0</v>
      </c>
      <c r="M375" s="35" t="n">
        <f aca="false">$E375/$F375</f>
        <v>0</v>
      </c>
      <c r="N375" s="35" t="n">
        <f aca="false">$E375/$F375</f>
        <v>0</v>
      </c>
      <c r="O375" s="35" t="n">
        <f aca="false">$E375/$F375</f>
        <v>0</v>
      </c>
      <c r="P375" s="35" t="n">
        <f aca="false">$E375/$F375*C325</f>
        <v>0</v>
      </c>
    </row>
    <row r="376" customFormat="false" ht="11.25" hidden="false" customHeight="false" outlineLevel="0" collapsed="false">
      <c r="A376" s="43" t="str">
        <f aca="false">"    "&amp;B340</f>
        <v>    ESOP Notes</v>
      </c>
      <c r="C376" s="470" t="n">
        <v>0</v>
      </c>
      <c r="E376" s="35" t="n">
        <f aca="false">C376*E340</f>
        <v>0</v>
      </c>
      <c r="F376" s="471" t="n">
        <v>8</v>
      </c>
      <c r="I376" s="35" t="n">
        <f aca="false">$E376/$F376*$C$328</f>
        <v>0</v>
      </c>
      <c r="J376" s="35" t="n">
        <f aca="false">$E376/$F376</f>
        <v>0</v>
      </c>
      <c r="K376" s="35" t="n">
        <f aca="false">$E376/$F376</f>
        <v>0</v>
      </c>
      <c r="L376" s="35" t="n">
        <f aca="false">$E376/$F376</f>
        <v>0</v>
      </c>
      <c r="M376" s="35" t="n">
        <f aca="false">$E376/$F376</f>
        <v>0</v>
      </c>
      <c r="N376" s="35" t="n">
        <f aca="false">$E376/$F376</f>
        <v>0</v>
      </c>
      <c r="O376" s="35" t="n">
        <f aca="false">$E376/$F376</f>
        <v>0</v>
      </c>
      <c r="P376" s="35" t="n">
        <f aca="false">$E376/$F376</f>
        <v>0</v>
      </c>
      <c r="Q376" s="35" t="n">
        <f aca="false">$E376/$F376*C325</f>
        <v>0</v>
      </c>
    </row>
    <row r="377" customFormat="false" ht="11.25" hidden="false" customHeight="false" outlineLevel="0" collapsed="false">
      <c r="A377" s="43" t="str">
        <f aca="false">"    "&amp;B341</f>
        <v>    Placement 1</v>
      </c>
      <c r="C377" s="470" t="n">
        <v>0</v>
      </c>
      <c r="E377" s="35" t="n">
        <f aca="false">C377*E341</f>
        <v>0</v>
      </c>
      <c r="F377" s="471" t="n">
        <v>10</v>
      </c>
      <c r="I377" s="35" t="n">
        <f aca="false">$E377/$F377*$C$328</f>
        <v>0</v>
      </c>
      <c r="J377" s="35" t="n">
        <f aca="false">$E377/$F377</f>
        <v>0</v>
      </c>
      <c r="K377" s="35" t="n">
        <f aca="false">$E377/$F377</f>
        <v>0</v>
      </c>
      <c r="L377" s="35" t="n">
        <f aca="false">$E377/$F377</f>
        <v>0</v>
      </c>
      <c r="M377" s="35" t="n">
        <f aca="false">$E377/$F377</f>
        <v>0</v>
      </c>
      <c r="N377" s="35" t="n">
        <f aca="false">$E377/$F377</f>
        <v>0</v>
      </c>
      <c r="O377" s="35" t="n">
        <f aca="false">$E377/$F377</f>
        <v>0</v>
      </c>
      <c r="P377" s="35" t="n">
        <f aca="false">$E377/$F377</f>
        <v>0</v>
      </c>
      <c r="Q377" s="35" t="n">
        <f aca="false">$E377/$F377</f>
        <v>0</v>
      </c>
      <c r="R377" s="35" t="n">
        <f aca="false">$E377/$F377</f>
        <v>0</v>
      </c>
      <c r="S377" s="35" t="n">
        <f aca="false">$E377/$F377*N323</f>
        <v>0</v>
      </c>
    </row>
    <row r="378" customFormat="false" ht="11.25" hidden="false" customHeight="false" outlineLevel="0" collapsed="false">
      <c r="A378" s="43" t="str">
        <f aca="false">"    "&amp;B342</f>
        <v>    Placement 2</v>
      </c>
      <c r="C378" s="470" t="n">
        <v>0</v>
      </c>
      <c r="E378" s="35" t="n">
        <f aca="false">C378*E342</f>
        <v>0</v>
      </c>
      <c r="F378" s="471" t="n">
        <v>10</v>
      </c>
      <c r="I378" s="35" t="n">
        <f aca="false">$E378/$F378*$C$328</f>
        <v>0</v>
      </c>
      <c r="J378" s="35" t="n">
        <f aca="false">$E378/$F378</f>
        <v>0</v>
      </c>
      <c r="K378" s="35" t="n">
        <f aca="false">$E378/$F378</f>
        <v>0</v>
      </c>
      <c r="L378" s="35" t="n">
        <f aca="false">$E378/$F378</f>
        <v>0</v>
      </c>
      <c r="M378" s="35" t="n">
        <f aca="false">$E378/$F378</f>
        <v>0</v>
      </c>
      <c r="N378" s="35" t="n">
        <f aca="false">$E378/$F378</f>
        <v>0</v>
      </c>
      <c r="O378" s="35" t="n">
        <f aca="false">$E378/$F378</f>
        <v>0</v>
      </c>
      <c r="P378" s="35" t="n">
        <f aca="false">$E378/$F378</f>
        <v>0</v>
      </c>
      <c r="Q378" s="35" t="n">
        <f aca="false">$E378/$F378</f>
        <v>0</v>
      </c>
      <c r="R378" s="35" t="n">
        <f aca="false">$E378/$F378</f>
        <v>0</v>
      </c>
      <c r="S378" s="35" t="n">
        <f aca="false">$E378/$F378*C325</f>
        <v>0</v>
      </c>
    </row>
    <row r="379" customFormat="false" ht="11.25" hidden="false" customHeight="false" outlineLevel="0" collapsed="false">
      <c r="A379" s="43" t="str">
        <f aca="false">"    "&amp;B343</f>
        <v>    Sr Sub Notes</v>
      </c>
      <c r="C379" s="470" t="n">
        <v>0</v>
      </c>
      <c r="E379" s="35" t="n">
        <f aca="false">C379*E343</f>
        <v>0</v>
      </c>
      <c r="F379" s="471" t="n">
        <v>10</v>
      </c>
      <c r="I379" s="35" t="n">
        <f aca="false">$E379/$F379*$C$328</f>
        <v>0</v>
      </c>
      <c r="J379" s="35" t="n">
        <f aca="false">$E379/$F379</f>
        <v>0</v>
      </c>
      <c r="K379" s="35" t="n">
        <f aca="false">$E379/$F379</f>
        <v>0</v>
      </c>
      <c r="L379" s="35" t="n">
        <f aca="false">$E379/$F379</f>
        <v>0</v>
      </c>
      <c r="M379" s="35" t="n">
        <f aca="false">$E379/$F379</f>
        <v>0</v>
      </c>
      <c r="N379" s="35" t="n">
        <f aca="false">$E379/$F379</f>
        <v>0</v>
      </c>
      <c r="O379" s="35" t="n">
        <f aca="false">$E379/$F379</f>
        <v>0</v>
      </c>
      <c r="P379" s="35" t="n">
        <f aca="false">$E379/$F379</f>
        <v>0</v>
      </c>
      <c r="Q379" s="35" t="n">
        <f aca="false">$E379/$F379</f>
        <v>0</v>
      </c>
      <c r="R379" s="35" t="n">
        <f aca="false">$E379/$F379</f>
        <v>0</v>
      </c>
      <c r="S379" s="35" t="n">
        <f aca="false">$E379/$F379*C325</f>
        <v>0</v>
      </c>
    </row>
    <row r="380" customFormat="false" ht="11.25" hidden="false" customHeight="false" outlineLevel="0" collapsed="false">
      <c r="A380" s="43" t="str">
        <f aca="false">"    "&amp;B344</f>
        <v>    Jr. Sub Notes</v>
      </c>
      <c r="C380" s="470" t="n">
        <v>0</v>
      </c>
      <c r="E380" s="35" t="n">
        <f aca="false">C380*E344</f>
        <v>0</v>
      </c>
      <c r="F380" s="471" t="n">
        <v>10</v>
      </c>
      <c r="I380" s="35" t="n">
        <f aca="false">$E380/$F380*$C$328</f>
        <v>0</v>
      </c>
      <c r="J380" s="35" t="n">
        <f aca="false">$E380/$F380</f>
        <v>0</v>
      </c>
      <c r="K380" s="35" t="n">
        <f aca="false">$E380/$F380</f>
        <v>0</v>
      </c>
      <c r="L380" s="35" t="n">
        <f aca="false">$E380/$F380</f>
        <v>0</v>
      </c>
      <c r="M380" s="35" t="n">
        <f aca="false">$E380/$F380</f>
        <v>0</v>
      </c>
      <c r="N380" s="35" t="n">
        <f aca="false">$E380/$F380</f>
        <v>0</v>
      </c>
      <c r="O380" s="35" t="n">
        <f aca="false">$E380/$F380</f>
        <v>0</v>
      </c>
      <c r="P380" s="35" t="n">
        <f aca="false">$E380/$F380</f>
        <v>0</v>
      </c>
      <c r="Q380" s="35" t="n">
        <f aca="false">$E380/$F380</f>
        <v>0</v>
      </c>
      <c r="R380" s="35" t="n">
        <f aca="false">$E380/$F380</f>
        <v>0</v>
      </c>
      <c r="S380" s="35" t="n">
        <f aca="false">$E380/$F380*C325</f>
        <v>0</v>
      </c>
    </row>
    <row r="381" customFormat="false" ht="11.25" hidden="false" customHeight="false" outlineLevel="0" collapsed="false">
      <c r="A381" s="43" t="str">
        <f aca="false">"    "&amp;B345</f>
        <v>    Preferred Stock</v>
      </c>
      <c r="C381" s="470" t="n">
        <v>0</v>
      </c>
      <c r="E381" s="35" t="n">
        <f aca="false">C381*E345</f>
        <v>0</v>
      </c>
      <c r="F381" s="65" t="s">
        <v>770</v>
      </c>
    </row>
    <row r="382" customFormat="false" ht="11.25" hidden="false" customHeight="false" outlineLevel="0" collapsed="false">
      <c r="A382" s="43" t="str">
        <f aca="false">"    "&amp;B346</f>
        <v>    Common Stock</v>
      </c>
      <c r="C382" s="470" t="n">
        <v>0</v>
      </c>
      <c r="E382" s="35" t="n">
        <f aca="false">C382*E346</f>
        <v>0</v>
      </c>
      <c r="F382" s="65" t="s">
        <v>770</v>
      </c>
    </row>
    <row r="383" customFormat="false" ht="12" hidden="false" customHeight="false" outlineLevel="0" collapsed="false">
      <c r="A383" s="43" t="s">
        <v>776</v>
      </c>
      <c r="C383" s="43" t="s">
        <v>341</v>
      </c>
      <c r="E383" s="388" t="n">
        <f aca="false">SUM(E370:E382)</f>
        <v>0</v>
      </c>
      <c r="G383" s="43" t="s">
        <v>777</v>
      </c>
      <c r="I383" s="388" t="n">
        <f aca="false">SUM(I372:I382)</f>
        <v>0</v>
      </c>
      <c r="J383" s="388" t="n">
        <f aca="false">SUM(J372:J382)</f>
        <v>0</v>
      </c>
      <c r="K383" s="388" t="n">
        <f aca="false">SUM(K372:K382)</f>
        <v>0</v>
      </c>
      <c r="L383" s="388" t="n">
        <f aca="false">SUM(L372:L382)</f>
        <v>0</v>
      </c>
      <c r="M383" s="388" t="n">
        <f aca="false">SUM(M372:M382)</f>
        <v>0</v>
      </c>
      <c r="N383" s="388" t="n">
        <f aca="false">SUM(N372:N382)</f>
        <v>0</v>
      </c>
      <c r="O383" s="388" t="n">
        <f aca="false">SUM(O372:O382)</f>
        <v>0</v>
      </c>
      <c r="P383" s="388" t="n">
        <f aca="false">SUM(P372:P382)</f>
        <v>0</v>
      </c>
      <c r="Q383" s="388" t="n">
        <f aca="false">SUM(Q372:Q382)</f>
        <v>0</v>
      </c>
      <c r="R383" s="388" t="n">
        <f aca="false">SUM(R372:R382)</f>
        <v>0</v>
      </c>
      <c r="S383" s="388" t="n">
        <f aca="false">SUM(S372:S382)</f>
        <v>0</v>
      </c>
    </row>
    <row r="384" customFormat="false" ht="12" hidden="false" customHeight="false" outlineLevel="0" collapsed="false">
      <c r="A384" s="43"/>
      <c r="C384" s="43"/>
      <c r="E384" s="149"/>
      <c r="G384" s="43"/>
      <c r="I384" s="149"/>
      <c r="J384" s="149"/>
      <c r="K384" s="149"/>
      <c r="L384" s="149"/>
      <c r="M384" s="149"/>
      <c r="N384" s="149"/>
      <c r="O384" s="149"/>
      <c r="P384" s="149"/>
      <c r="Q384" s="149"/>
      <c r="R384" s="149"/>
      <c r="S384" s="149"/>
    </row>
    <row r="385" customFormat="false" ht="12" hidden="false" customHeight="false" outlineLevel="0" collapsed="false">
      <c r="A385" s="43"/>
      <c r="C385" s="43"/>
      <c r="E385" s="149"/>
      <c r="G385" s="43"/>
      <c r="I385" s="149"/>
      <c r="J385" s="149"/>
      <c r="K385" s="149"/>
      <c r="L385" s="149"/>
      <c r="M385" s="149"/>
      <c r="N385" s="149"/>
      <c r="O385" s="149"/>
      <c r="P385" s="149"/>
      <c r="Q385" s="149"/>
      <c r="R385" s="149"/>
      <c r="S385" s="149"/>
      <c r="T385" s="149"/>
      <c r="U385" s="149"/>
      <c r="V385" s="149"/>
      <c r="W385" s="149"/>
      <c r="X385" s="149"/>
      <c r="Y385" s="149"/>
      <c r="Z385" s="149"/>
      <c r="AA385" s="149"/>
      <c r="AB385" s="149"/>
      <c r="AC385" s="149"/>
    </row>
    <row r="386" customFormat="false" ht="12" hidden="false" customHeight="false" outlineLevel="0" collapsed="false">
      <c r="A386" s="443"/>
      <c r="B386" s="292"/>
      <c r="C386" s="443"/>
      <c r="D386" s="292"/>
      <c r="E386" s="292"/>
      <c r="F386" s="292"/>
      <c r="G386" s="443"/>
      <c r="H386" s="292"/>
      <c r="I386" s="292"/>
      <c r="J386" s="292"/>
      <c r="K386" s="292"/>
      <c r="L386" s="292"/>
      <c r="M386" s="292"/>
      <c r="N386" s="292"/>
      <c r="O386" s="292"/>
      <c r="P386" s="292"/>
      <c r="Q386" s="292"/>
      <c r="R386" s="292"/>
      <c r="S386" s="292"/>
      <c r="T386" s="292"/>
      <c r="U386" s="292"/>
      <c r="V386" s="292"/>
      <c r="W386" s="292"/>
      <c r="X386" s="292"/>
      <c r="Y386" s="292"/>
      <c r="Z386" s="292"/>
      <c r="AA386" s="292"/>
      <c r="AB386" s="292"/>
      <c r="AC386" s="292"/>
    </row>
    <row r="387" customFormat="false" ht="12" hidden="false" customHeight="false" outlineLevel="0" collapsed="false">
      <c r="A387" s="153" t="s">
        <v>778</v>
      </c>
    </row>
    <row r="388" customFormat="false" ht="12.75" hidden="false" customHeight="false" outlineLevel="0" collapsed="false">
      <c r="A388" s="307" t="s">
        <v>779</v>
      </c>
      <c r="E388" s="395" t="n">
        <f aca="false">E580</f>
        <v>1996</v>
      </c>
      <c r="F388" s="395" t="n">
        <f aca="false">E388+1</f>
        <v>1997</v>
      </c>
      <c r="G388" s="395" t="n">
        <f aca="false">F388+1</f>
        <v>1998</v>
      </c>
      <c r="I388" s="472" t="n">
        <f aca="false">C323</f>
        <v>36341</v>
      </c>
      <c r="K388" s="467" t="s">
        <v>780</v>
      </c>
      <c r="L388" s="467" t="s">
        <v>781</v>
      </c>
      <c r="N388" s="472" t="n">
        <f aca="false">I388</f>
        <v>36341</v>
      </c>
      <c r="P388" s="466" t="s">
        <v>782</v>
      </c>
      <c r="Q388" s="466"/>
      <c r="R388" s="67"/>
    </row>
    <row r="389" customFormat="false" ht="12.75" hidden="false" customHeight="false" outlineLevel="0" collapsed="false">
      <c r="A389" s="43" t="s">
        <v>783</v>
      </c>
      <c r="E389" s="449" t="n">
        <v>0</v>
      </c>
      <c r="F389" s="449" t="n">
        <v>0</v>
      </c>
      <c r="G389" s="449" t="n">
        <v>0</v>
      </c>
      <c r="I389" s="449" t="n">
        <v>0</v>
      </c>
      <c r="J389" s="417"/>
      <c r="K389" s="417" t="n">
        <f aca="false">H361</f>
        <v>0</v>
      </c>
      <c r="L389" s="417" t="n">
        <f aca="false">H347</f>
        <v>0</v>
      </c>
      <c r="M389" s="417"/>
      <c r="N389" s="417" t="n">
        <f aca="false">I389+K389-L389</f>
        <v>0</v>
      </c>
      <c r="O389" s="417"/>
      <c r="P389" s="473" t="str">
        <f aca="false">"at "&amp;TEXT(N388,"mm/dd/yy")&amp;":*"</f>
        <v>at 06/30/99:*</v>
      </c>
      <c r="Q389" s="473"/>
      <c r="R389" s="67"/>
    </row>
    <row r="390" customFormat="false" ht="12" hidden="false" customHeight="false" outlineLevel="0" collapsed="false">
      <c r="A390" s="43" t="s">
        <v>784</v>
      </c>
      <c r="E390" s="449" t="n">
        <v>0</v>
      </c>
      <c r="F390" s="449" t="n">
        <v>0</v>
      </c>
      <c r="G390" s="449" t="n">
        <v>0</v>
      </c>
      <c r="I390" s="449" t="n">
        <v>0</v>
      </c>
      <c r="J390" s="417"/>
      <c r="K390" s="172"/>
      <c r="L390" s="172"/>
      <c r="M390" s="417"/>
      <c r="N390" s="417" t="n">
        <f aca="false">I390+K390-L390</f>
        <v>0</v>
      </c>
      <c r="O390" s="417"/>
      <c r="P390" s="474" t="n">
        <v>0</v>
      </c>
      <c r="Q390" s="474"/>
      <c r="R390" s="67"/>
    </row>
    <row r="391" customFormat="false" ht="11.25" hidden="false" customHeight="false" outlineLevel="0" collapsed="false">
      <c r="A391" s="43" t="s">
        <v>785</v>
      </c>
      <c r="E391" s="449" t="n">
        <v>0</v>
      </c>
      <c r="F391" s="449" t="n">
        <v>0</v>
      </c>
      <c r="G391" s="449" t="n">
        <v>0</v>
      </c>
      <c r="I391" s="449" t="n">
        <v>0</v>
      </c>
      <c r="J391" s="417"/>
      <c r="K391" s="172"/>
      <c r="L391" s="172"/>
      <c r="M391" s="417"/>
      <c r="N391" s="417" t="n">
        <f aca="false">I391+K391-L391</f>
        <v>0</v>
      </c>
      <c r="O391" s="417"/>
      <c r="Q391" s="417"/>
      <c r="R391" s="417"/>
    </row>
    <row r="392" customFormat="false" ht="11.25" hidden="false" customHeight="false" outlineLevel="0" collapsed="false">
      <c r="A392" s="43" t="s">
        <v>786</v>
      </c>
      <c r="E392" s="449" t="n">
        <v>0</v>
      </c>
      <c r="F392" s="449" t="n">
        <v>0</v>
      </c>
      <c r="G392" s="449" t="n">
        <v>0</v>
      </c>
      <c r="I392" s="449" t="n">
        <v>0</v>
      </c>
      <c r="J392" s="417"/>
      <c r="K392" s="172"/>
      <c r="L392" s="172"/>
      <c r="M392" s="417"/>
      <c r="N392" s="417" t="n">
        <f aca="false">I392+K392-L392</f>
        <v>0</v>
      </c>
      <c r="O392" s="417"/>
      <c r="Q392" s="417"/>
      <c r="R392" s="417"/>
    </row>
    <row r="393" customFormat="false" ht="11.25" hidden="false" customHeight="false" outlineLevel="0" collapsed="false">
      <c r="A393" s="307" t="s">
        <v>787</v>
      </c>
      <c r="E393" s="419" t="n">
        <f aca="false">SUM(E389:E392)</f>
        <v>0</v>
      </c>
      <c r="F393" s="419" t="n">
        <f aca="false">SUM(F389:F392)</f>
        <v>0</v>
      </c>
      <c r="G393" s="419" t="n">
        <f aca="false">SUM(G389:G392)</f>
        <v>0</v>
      </c>
      <c r="I393" s="419" t="n">
        <f aca="false">SUM(I389:I392)</f>
        <v>0</v>
      </c>
      <c r="J393" s="417"/>
      <c r="K393" s="419" t="n">
        <f aca="false">SUM(K389:K392)</f>
        <v>0</v>
      </c>
      <c r="L393" s="419" t="n">
        <f aca="false">SUM(L389:L392)</f>
        <v>0</v>
      </c>
      <c r="M393" s="417"/>
      <c r="N393" s="419" t="n">
        <f aca="false">SUM(N389:N392)</f>
        <v>0</v>
      </c>
      <c r="O393" s="417"/>
      <c r="Q393" s="417"/>
      <c r="R393" s="417"/>
    </row>
    <row r="394" customFormat="false" ht="11.25" hidden="false" customHeight="false" outlineLevel="0" collapsed="false">
      <c r="E394" s="172"/>
      <c r="F394" s="172"/>
      <c r="G394" s="172"/>
      <c r="I394" s="172"/>
      <c r="J394" s="417"/>
      <c r="K394" s="417"/>
      <c r="L394" s="417"/>
      <c r="M394" s="417"/>
      <c r="N394" s="417"/>
      <c r="O394" s="417"/>
      <c r="Q394" s="417"/>
      <c r="R394" s="417"/>
    </row>
    <row r="395" customFormat="false" ht="11.25" hidden="false" customHeight="false" outlineLevel="0" collapsed="false">
      <c r="A395" s="43" t="s">
        <v>788</v>
      </c>
      <c r="E395" s="449" t="n">
        <v>0</v>
      </c>
      <c r="F395" s="449" t="n">
        <v>0</v>
      </c>
      <c r="G395" s="449" t="n">
        <v>0</v>
      </c>
      <c r="I395" s="449" t="n">
        <v>0</v>
      </c>
      <c r="J395" s="417"/>
      <c r="K395" s="475" t="n">
        <f aca="false">H352</f>
        <v>0</v>
      </c>
      <c r="L395" s="172"/>
      <c r="M395" s="417"/>
      <c r="N395" s="417" t="n">
        <f aca="false">I395+K395-L395</f>
        <v>0</v>
      </c>
      <c r="O395" s="417"/>
      <c r="P395" s="417"/>
      <c r="Q395" s="417"/>
      <c r="R395" s="417"/>
    </row>
    <row r="396" customFormat="false" ht="11.25" hidden="false" customHeight="false" outlineLevel="0" collapsed="false">
      <c r="A396" s="43" t="s">
        <v>789</v>
      </c>
      <c r="E396" s="449" t="n">
        <v>0</v>
      </c>
      <c r="F396" s="449" t="n">
        <v>0</v>
      </c>
      <c r="G396" s="449" t="n">
        <v>0</v>
      </c>
      <c r="I396" s="449" t="n">
        <v>0</v>
      </c>
      <c r="J396" s="417"/>
      <c r="K396" s="475" t="n">
        <f aca="false">H351</f>
        <v>0</v>
      </c>
      <c r="L396" s="172"/>
      <c r="M396" s="417"/>
      <c r="N396" s="417" t="n">
        <f aca="false">I396+K396-L396</f>
        <v>0</v>
      </c>
      <c r="O396" s="417"/>
      <c r="P396" s="417"/>
      <c r="Q396" s="417"/>
      <c r="R396" s="417"/>
    </row>
    <row r="397" customFormat="false" ht="11.25" hidden="false" customHeight="false" outlineLevel="0" collapsed="false">
      <c r="A397" s="43" t="s">
        <v>755</v>
      </c>
      <c r="E397" s="449" t="n">
        <v>0</v>
      </c>
      <c r="F397" s="449" t="n">
        <v>0</v>
      </c>
      <c r="G397" s="449" t="n">
        <v>0</v>
      </c>
      <c r="I397" s="476" t="n">
        <f aca="false">G397</f>
        <v>0</v>
      </c>
      <c r="J397" s="417"/>
      <c r="K397" s="477" t="n">
        <f aca="false">E383</f>
        <v>0</v>
      </c>
      <c r="L397" s="172"/>
      <c r="M397" s="417"/>
      <c r="N397" s="417" t="n">
        <f aca="false">I397+K397-L397</f>
        <v>0</v>
      </c>
      <c r="O397" s="417"/>
      <c r="P397" s="417"/>
      <c r="Q397" s="417"/>
      <c r="R397" s="417"/>
    </row>
    <row r="398" customFormat="false" ht="11.25" hidden="false" customHeight="false" outlineLevel="0" collapsed="false">
      <c r="E398" s="172"/>
      <c r="F398" s="172"/>
      <c r="G398" s="172"/>
      <c r="I398" s="172"/>
      <c r="J398" s="417"/>
      <c r="K398" s="475"/>
      <c r="L398" s="172"/>
      <c r="M398" s="417"/>
      <c r="N398" s="417"/>
      <c r="O398" s="417"/>
      <c r="P398" s="417"/>
      <c r="Q398" s="417"/>
      <c r="R398" s="417"/>
    </row>
    <row r="399" customFormat="false" ht="11.25" hidden="false" customHeight="false" outlineLevel="0" collapsed="false">
      <c r="A399" s="43" t="s">
        <v>790</v>
      </c>
      <c r="E399" s="449" t="n">
        <v>0</v>
      </c>
      <c r="F399" s="449" t="n">
        <v>0</v>
      </c>
      <c r="G399" s="449" t="n">
        <v>0</v>
      </c>
      <c r="I399" s="449" t="n">
        <v>0</v>
      </c>
      <c r="J399" s="417"/>
      <c r="K399" s="475" t="n">
        <f aca="false">H353</f>
        <v>0</v>
      </c>
      <c r="L399" s="172"/>
      <c r="M399" s="417"/>
      <c r="N399" s="417" t="n">
        <f aca="false">I399+K399-L399</f>
        <v>0</v>
      </c>
      <c r="O399" s="417"/>
      <c r="P399" s="417"/>
      <c r="Q399" s="417"/>
      <c r="R399" s="417"/>
    </row>
    <row r="400" customFormat="false" ht="11.25" hidden="false" customHeight="false" outlineLevel="0" collapsed="false">
      <c r="A400" s="43" t="s">
        <v>791</v>
      </c>
      <c r="E400" s="449" t="n">
        <v>0</v>
      </c>
      <c r="F400" s="449" t="n">
        <v>0</v>
      </c>
      <c r="G400" s="449" t="n">
        <v>0</v>
      </c>
      <c r="I400" s="449" t="n">
        <v>0</v>
      </c>
      <c r="J400" s="417"/>
      <c r="K400" s="172"/>
      <c r="L400" s="172"/>
      <c r="M400" s="417"/>
      <c r="N400" s="417" t="n">
        <f aca="false">I400+K400-L400</f>
        <v>0</v>
      </c>
      <c r="O400" s="417"/>
      <c r="P400" s="417"/>
      <c r="Q400" s="417"/>
      <c r="R400" s="417"/>
    </row>
    <row r="401" customFormat="false" ht="11.25" hidden="false" customHeight="false" outlineLevel="0" collapsed="false">
      <c r="A401" s="307" t="s">
        <v>792</v>
      </c>
      <c r="E401" s="419" t="n">
        <f aca="false">E399+E400</f>
        <v>0</v>
      </c>
      <c r="F401" s="419" t="n">
        <f aca="false">F399+F400</f>
        <v>0</v>
      </c>
      <c r="G401" s="419" t="n">
        <f aca="false">G399+G400</f>
        <v>0</v>
      </c>
      <c r="I401" s="419" t="n">
        <f aca="false">I399+I400</f>
        <v>0</v>
      </c>
      <c r="J401" s="417"/>
      <c r="K401" s="417"/>
      <c r="L401" s="417"/>
      <c r="M401" s="417"/>
      <c r="N401" s="419" t="n">
        <f aca="false">N399+N400</f>
        <v>0</v>
      </c>
      <c r="O401" s="417"/>
      <c r="P401" s="417"/>
      <c r="Q401" s="417"/>
      <c r="R401" s="417"/>
    </row>
    <row r="402" customFormat="false" ht="11.25" hidden="false" customHeight="false" outlineLevel="0" collapsed="false">
      <c r="E402" s="417"/>
      <c r="F402" s="417"/>
      <c r="G402" s="417"/>
      <c r="I402" s="417"/>
      <c r="J402" s="417"/>
      <c r="K402" s="417"/>
      <c r="L402" s="417"/>
      <c r="M402" s="417"/>
      <c r="N402" s="417"/>
      <c r="O402" s="417"/>
      <c r="P402" s="417"/>
      <c r="Q402" s="417"/>
      <c r="R402" s="417"/>
    </row>
    <row r="403" customFormat="false" ht="11.25" hidden="false" customHeight="false" outlineLevel="0" collapsed="false">
      <c r="A403" s="43" t="s">
        <v>679</v>
      </c>
      <c r="E403" s="449" t="n">
        <v>0</v>
      </c>
      <c r="F403" s="449" t="n">
        <v>0</v>
      </c>
      <c r="G403" s="449" t="n">
        <v>0</v>
      </c>
      <c r="I403" s="449" t="n">
        <v>0</v>
      </c>
      <c r="J403" s="417"/>
      <c r="K403" s="476" t="n">
        <f aca="false">H354</f>
        <v>0</v>
      </c>
      <c r="L403" s="172"/>
      <c r="M403" s="417"/>
      <c r="N403" s="417" t="n">
        <f aca="false">I403+K403-L403</f>
        <v>0</v>
      </c>
      <c r="O403" s="417"/>
      <c r="P403" s="417"/>
      <c r="Q403" s="417"/>
      <c r="R403" s="417"/>
    </row>
    <row r="404" customFormat="false" ht="11.25" hidden="false" customHeight="false" outlineLevel="0" collapsed="false">
      <c r="A404" s="43" t="s">
        <v>793</v>
      </c>
      <c r="E404" s="449" t="n">
        <v>0</v>
      </c>
      <c r="F404" s="449" t="n">
        <v>0</v>
      </c>
      <c r="G404" s="449" t="n">
        <v>0</v>
      </c>
      <c r="I404" s="449" t="n">
        <v>0</v>
      </c>
      <c r="J404" s="417"/>
      <c r="K404" s="172"/>
      <c r="L404" s="172"/>
      <c r="M404" s="417"/>
      <c r="N404" s="417" t="n">
        <f aca="false">I404+K404-L404</f>
        <v>0</v>
      </c>
      <c r="O404" s="417"/>
      <c r="P404" s="417"/>
      <c r="Q404" s="417"/>
      <c r="R404" s="417"/>
    </row>
    <row r="405" customFormat="false" ht="12" hidden="false" customHeight="false" outlineLevel="0" collapsed="false">
      <c r="A405" s="307" t="s">
        <v>794</v>
      </c>
      <c r="E405" s="425" t="n">
        <f aca="false">E393+E395+E396+E397+E401+E403+E404</f>
        <v>0</v>
      </c>
      <c r="F405" s="425" t="n">
        <f aca="false">F393+F395+F396+F397+F401+F403+F404</f>
        <v>0</v>
      </c>
      <c r="G405" s="425" t="n">
        <f aca="false">G393+G395+G396+G397+G401+G403+G404</f>
        <v>0</v>
      </c>
      <c r="I405" s="425" t="n">
        <f aca="false">I393+I395+I396+I397+I401+I403+I404</f>
        <v>0</v>
      </c>
      <c r="J405" s="417"/>
      <c r="K405" s="425" t="n">
        <f aca="false">SUM(K393:K404)</f>
        <v>0</v>
      </c>
      <c r="L405" s="425" t="n">
        <f aca="false">SUM(L393:L404)</f>
        <v>0</v>
      </c>
      <c r="M405" s="417"/>
      <c r="N405" s="425" t="n">
        <f aca="false">N393+N395+N396+N397+N401+N403+N404</f>
        <v>0</v>
      </c>
      <c r="O405" s="417"/>
    </row>
    <row r="406" customFormat="false" ht="12" hidden="false" customHeight="false" outlineLevel="0" collapsed="false">
      <c r="E406" s="172"/>
      <c r="F406" s="172"/>
      <c r="G406" s="172"/>
      <c r="I406" s="172"/>
      <c r="J406" s="417"/>
      <c r="K406" s="417"/>
      <c r="L406" s="417"/>
      <c r="M406" s="417"/>
      <c r="N406" s="417"/>
      <c r="O406" s="417"/>
    </row>
    <row r="407" customFormat="false" ht="12" hidden="false" customHeight="false" outlineLevel="0" collapsed="false">
      <c r="A407" s="307" t="s">
        <v>795</v>
      </c>
      <c r="E407" s="417"/>
      <c r="F407" s="417"/>
      <c r="G407" s="417"/>
      <c r="I407" s="417"/>
      <c r="J407" s="417"/>
      <c r="K407" s="417"/>
      <c r="L407" s="417"/>
      <c r="M407" s="417"/>
      <c r="N407" s="417"/>
      <c r="O407" s="417"/>
    </row>
    <row r="408" customFormat="false" ht="12" hidden="false" customHeight="false" outlineLevel="0" collapsed="false">
      <c r="A408" s="43" t="s">
        <v>796</v>
      </c>
      <c r="E408" s="449" t="n">
        <v>0</v>
      </c>
      <c r="F408" s="449" t="n">
        <v>0</v>
      </c>
      <c r="G408" s="449" t="n">
        <v>0</v>
      </c>
      <c r="I408" s="449" t="n">
        <v>0</v>
      </c>
      <c r="J408" s="433"/>
      <c r="K408" s="172"/>
      <c r="L408" s="172"/>
      <c r="M408" s="417"/>
      <c r="N408" s="417" t="n">
        <f aca="false">I408+K408-L408</f>
        <v>0</v>
      </c>
      <c r="O408" s="417"/>
      <c r="P408" s="478" t="s">
        <v>341</v>
      </c>
      <c r="Q408" s="478"/>
      <c r="R408" s="478" t="s">
        <v>722</v>
      </c>
      <c r="S408" s="478"/>
    </row>
    <row r="409" customFormat="false" ht="12" hidden="false" customHeight="false" outlineLevel="0" collapsed="false">
      <c r="A409" s="43" t="s">
        <v>797</v>
      </c>
      <c r="E409" s="449" t="n">
        <v>0</v>
      </c>
      <c r="F409" s="449" t="n">
        <v>0</v>
      </c>
      <c r="G409" s="449" t="n">
        <v>0</v>
      </c>
      <c r="I409" s="449" t="n">
        <v>0</v>
      </c>
      <c r="J409" s="417"/>
      <c r="K409" s="172"/>
      <c r="L409" s="172"/>
      <c r="M409" s="417"/>
      <c r="N409" s="417" t="n">
        <f aca="false">I409+K409-L409</f>
        <v>0</v>
      </c>
      <c r="O409" s="417"/>
      <c r="P409" s="479" t="s">
        <v>798</v>
      </c>
      <c r="Q409" s="479"/>
      <c r="R409" s="479" t="s">
        <v>798</v>
      </c>
      <c r="S409" s="479"/>
    </row>
    <row r="410" customFormat="false" ht="12" hidden="false" customHeight="false" outlineLevel="0" collapsed="false">
      <c r="A410" s="43" t="s">
        <v>799</v>
      </c>
      <c r="E410" s="449" t="n">
        <v>0</v>
      </c>
      <c r="F410" s="449" t="n">
        <v>0</v>
      </c>
      <c r="G410" s="449" t="n">
        <v>0</v>
      </c>
      <c r="I410" s="449" t="n">
        <v>0</v>
      </c>
      <c r="J410" s="417"/>
      <c r="K410" s="172"/>
      <c r="L410" s="172"/>
      <c r="M410" s="417"/>
      <c r="N410" s="417" t="n">
        <f aca="false">I410+K410-L410</f>
        <v>0</v>
      </c>
      <c r="O410" s="417"/>
      <c r="P410" s="133" t="s">
        <v>766</v>
      </c>
      <c r="Q410" s="133" t="s">
        <v>765</v>
      </c>
      <c r="R410" s="133" t="s">
        <v>766</v>
      </c>
      <c r="S410" s="133" t="s">
        <v>765</v>
      </c>
    </row>
    <row r="411" customFormat="false" ht="11.25" hidden="false" customHeight="false" outlineLevel="0" collapsed="false">
      <c r="A411" s="43" t="s">
        <v>800</v>
      </c>
      <c r="E411" s="449" t="n">
        <v>0</v>
      </c>
      <c r="F411" s="449" t="n">
        <v>0</v>
      </c>
      <c r="G411" s="449" t="n">
        <v>0</v>
      </c>
      <c r="I411" s="449" t="n">
        <v>0</v>
      </c>
      <c r="J411" s="417"/>
      <c r="K411" s="449" t="n">
        <v>0</v>
      </c>
      <c r="L411" s="449" t="n">
        <v>0</v>
      </c>
      <c r="M411" s="417"/>
      <c r="N411" s="417" t="n">
        <f aca="false">I411+K411-L411</f>
        <v>0</v>
      </c>
      <c r="O411" s="417"/>
      <c r="P411" s="417" t="n">
        <f aca="false">N411</f>
        <v>0</v>
      </c>
      <c r="Q411" s="370" t="n">
        <f aca="false">IF($P$433=0,0,P411/$P$433)</f>
        <v>0</v>
      </c>
      <c r="R411" s="417" t="n">
        <f aca="false">N411</f>
        <v>0</v>
      </c>
      <c r="S411" s="370" t="n">
        <f aca="false">IF($R$433=0,0,R411/$R$433)</f>
        <v>0</v>
      </c>
    </row>
    <row r="412" customFormat="false" ht="11.25" hidden="false" customHeight="false" outlineLevel="0" collapsed="false">
      <c r="A412" s="43" t="s">
        <v>801</v>
      </c>
      <c r="E412" s="449" t="n">
        <v>0</v>
      </c>
      <c r="F412" s="449" t="n">
        <v>0</v>
      </c>
      <c r="G412" s="449" t="n">
        <v>0</v>
      </c>
      <c r="I412" s="449" t="n">
        <v>0</v>
      </c>
      <c r="J412" s="417"/>
      <c r="K412" s="476" t="n">
        <f aca="false">H337</f>
        <v>0</v>
      </c>
      <c r="L412" s="449" t="n">
        <v>0</v>
      </c>
      <c r="M412" s="417"/>
      <c r="N412" s="417" t="n">
        <f aca="false">I412+K412-L412</f>
        <v>0</v>
      </c>
      <c r="O412" s="417"/>
      <c r="P412" s="417" t="n">
        <f aca="false">N412</f>
        <v>0</v>
      </c>
      <c r="Q412" s="370" t="n">
        <f aca="false">IF($P$433=0,0,P412/$P$433)</f>
        <v>0</v>
      </c>
      <c r="R412" s="417"/>
    </row>
    <row r="413" customFormat="false" ht="11.25" hidden="false" customHeight="false" outlineLevel="0" collapsed="false">
      <c r="A413" s="307" t="s">
        <v>802</v>
      </c>
      <c r="E413" s="419" t="n">
        <f aca="false">SUM(E408:E412)</f>
        <v>0</v>
      </c>
      <c r="F413" s="419" t="n">
        <f aca="false">SUM(F408:F412)</f>
        <v>0</v>
      </c>
      <c r="G413" s="419" t="n">
        <f aca="false">SUM(G408:G412)</f>
        <v>0</v>
      </c>
      <c r="I413" s="419" t="n">
        <f aca="false">SUM(I408:I412)</f>
        <v>0</v>
      </c>
      <c r="J413" s="417"/>
      <c r="K413" s="419" t="n">
        <f aca="false">SUM(K407:K412)</f>
        <v>0</v>
      </c>
      <c r="L413" s="419" t="n">
        <f aca="false">SUM(L407:L412)</f>
        <v>0</v>
      </c>
      <c r="M413" s="417"/>
      <c r="N413" s="419" t="n">
        <f aca="false">SUM(N408:N412)</f>
        <v>0</v>
      </c>
      <c r="O413" s="417"/>
      <c r="P413" s="419" t="n">
        <f aca="false">SUM(P411:P412)</f>
        <v>0</v>
      </c>
      <c r="Q413" s="451" t="n">
        <f aca="false">IF($P$433=0,0,P413/$P$433)</f>
        <v>0</v>
      </c>
      <c r="R413" s="419" t="n">
        <f aca="false">SUM(R411:R412)</f>
        <v>0</v>
      </c>
      <c r="S413" s="451" t="n">
        <f aca="false">IF($R$433=0,0,R413/$R$433)</f>
        <v>0</v>
      </c>
    </row>
    <row r="414" customFormat="false" ht="11.25" hidden="false" customHeight="false" outlineLevel="0" collapsed="false">
      <c r="E414" s="172"/>
      <c r="F414" s="172"/>
      <c r="G414" s="172"/>
      <c r="I414" s="172"/>
      <c r="J414" s="417"/>
      <c r="K414" s="417"/>
      <c r="L414" s="417"/>
      <c r="M414" s="417"/>
      <c r="N414" s="417"/>
      <c r="O414" s="417"/>
      <c r="P414" s="417"/>
      <c r="Q414" s="370"/>
      <c r="R414" s="417"/>
    </row>
    <row r="415" customFormat="false" ht="11.25" hidden="false" customHeight="false" outlineLevel="0" collapsed="false">
      <c r="A415" s="43" t="s">
        <v>803</v>
      </c>
      <c r="E415" s="67"/>
      <c r="F415" s="449" t="n">
        <v>0</v>
      </c>
      <c r="G415" s="449" t="n">
        <v>0</v>
      </c>
      <c r="I415" s="449" t="n">
        <v>0</v>
      </c>
      <c r="K415" s="417" t="n">
        <f aca="false">H338+H341+H342-K411</f>
        <v>0</v>
      </c>
      <c r="L415" s="417" t="n">
        <f aca="false">-L411+H358-L412</f>
        <v>0</v>
      </c>
      <c r="N415" s="417" t="n">
        <f aca="false">I415+K415-L415</f>
        <v>0</v>
      </c>
      <c r="P415" s="35" t="n">
        <f aca="false">N415</f>
        <v>0</v>
      </c>
      <c r="Q415" s="370" t="n">
        <f aca="false">IF($P$433=0,0,P415/$P$433)</f>
        <v>0</v>
      </c>
      <c r="R415" s="35" t="n">
        <f aca="false">N415</f>
        <v>0</v>
      </c>
      <c r="S415" s="370" t="n">
        <f aca="false">IF($R$433=0,0,R415/$R$433)</f>
        <v>0</v>
      </c>
    </row>
    <row r="416" customFormat="false" ht="11.25" hidden="false" customHeight="false" outlineLevel="0" collapsed="false">
      <c r="A416" s="43" t="s">
        <v>636</v>
      </c>
      <c r="E416" s="67"/>
      <c r="F416" s="449" t="n">
        <v>0</v>
      </c>
      <c r="G416" s="449" t="n">
        <v>0</v>
      </c>
      <c r="I416" s="449" t="n">
        <v>0</v>
      </c>
      <c r="J416" s="417"/>
      <c r="K416" s="35" t="n">
        <f aca="false">H343+H344</f>
        <v>0</v>
      </c>
      <c r="L416" s="35" t="n">
        <f aca="false">E359</f>
        <v>0</v>
      </c>
      <c r="M416" s="417"/>
      <c r="N416" s="417" t="n">
        <f aca="false">I416+K416-L416</f>
        <v>0</v>
      </c>
      <c r="O416" s="417"/>
      <c r="P416" s="35" t="n">
        <f aca="false">N416</f>
        <v>0</v>
      </c>
      <c r="Q416" s="370" t="n">
        <f aca="false">IF($P$433=0,0,P416/$P$433)</f>
        <v>0</v>
      </c>
      <c r="R416" s="35" t="n">
        <f aca="false">N416</f>
        <v>0</v>
      </c>
      <c r="S416" s="370" t="n">
        <f aca="false">IF($R$433=0,0,R416/$R$433)</f>
        <v>0</v>
      </c>
    </row>
    <row r="417" customFormat="false" ht="11.25" hidden="false" customHeight="false" outlineLevel="0" collapsed="false">
      <c r="A417" s="43" t="s">
        <v>804</v>
      </c>
      <c r="E417" s="67"/>
      <c r="F417" s="449" t="n">
        <v>0</v>
      </c>
      <c r="G417" s="449" t="n">
        <v>0</v>
      </c>
      <c r="I417" s="449" t="n">
        <v>0</v>
      </c>
      <c r="J417" s="417"/>
      <c r="K417" s="172"/>
      <c r="L417" s="172"/>
      <c r="M417" s="417"/>
      <c r="N417" s="417" t="n">
        <f aca="false">I417+K417-L417</f>
        <v>0</v>
      </c>
      <c r="O417" s="417"/>
      <c r="Q417" s="370"/>
      <c r="S417" s="370"/>
    </row>
    <row r="418" customFormat="false" ht="11.25" hidden="false" customHeight="false" outlineLevel="0" collapsed="false">
      <c r="A418" s="43" t="s">
        <v>805</v>
      </c>
      <c r="E418" s="67"/>
      <c r="F418" s="449" t="n">
        <v>0</v>
      </c>
      <c r="G418" s="449" t="n">
        <v>0</v>
      </c>
      <c r="I418" s="449" t="n">
        <v>0</v>
      </c>
      <c r="J418" s="67"/>
      <c r="K418" s="475" t="n">
        <f aca="false">E339</f>
        <v>0</v>
      </c>
      <c r="L418" s="172"/>
      <c r="M418" s="417"/>
      <c r="N418" s="417" t="n">
        <f aca="false">I418+K418-L418</f>
        <v>0</v>
      </c>
      <c r="O418" s="417"/>
      <c r="P418" s="35" t="n">
        <f aca="false">N418</f>
        <v>0</v>
      </c>
      <c r="Q418" s="370" t="n">
        <f aca="false">IF($P$433=0,0,P418/$P$433)</f>
        <v>0</v>
      </c>
      <c r="R418" s="35" t="n">
        <f aca="false">N418</f>
        <v>0</v>
      </c>
      <c r="S418" s="370" t="n">
        <f aca="false">IF($R$433=0,0,R418/$R$433)</f>
        <v>0</v>
      </c>
    </row>
    <row r="419" customFormat="false" ht="11.25" hidden="false" customHeight="false" outlineLevel="0" collapsed="false">
      <c r="A419" s="43" t="s">
        <v>806</v>
      </c>
      <c r="E419" s="67"/>
      <c r="F419" s="449" t="n">
        <v>0</v>
      </c>
      <c r="G419" s="449" t="n">
        <v>0</v>
      </c>
      <c r="I419" s="449" t="n">
        <v>0</v>
      </c>
      <c r="J419" s="67"/>
      <c r="K419" s="480"/>
      <c r="N419" s="417" t="n">
        <f aca="false">I419+K419-L419</f>
        <v>0</v>
      </c>
      <c r="Q419" s="370"/>
      <c r="S419" s="370"/>
    </row>
    <row r="420" customFormat="false" ht="11.25" hidden="false" customHeight="false" outlineLevel="0" collapsed="false">
      <c r="A420" s="307" t="s">
        <v>807</v>
      </c>
      <c r="E420" s="419" t="n">
        <f aca="false">E416+E417+E415+E419+E418</f>
        <v>0</v>
      </c>
      <c r="F420" s="419" t="n">
        <f aca="false">F416+F417+F415+F419+F418</f>
        <v>0</v>
      </c>
      <c r="G420" s="419" t="n">
        <f aca="false">G416+G417+G415+G419+G418</f>
        <v>0</v>
      </c>
      <c r="I420" s="419" t="n">
        <f aca="false">I416+I417+I415+I419+I418</f>
        <v>0</v>
      </c>
      <c r="J420" s="67"/>
      <c r="K420" s="419" t="n">
        <f aca="false">K416+K417+K415+K419+K418</f>
        <v>0</v>
      </c>
      <c r="L420" s="419" t="n">
        <f aca="false">L416+L417+L415+L419+L418</f>
        <v>0</v>
      </c>
      <c r="M420" s="417"/>
      <c r="N420" s="419" t="n">
        <f aca="false">N416+N417+N415+N419+N418</f>
        <v>0</v>
      </c>
      <c r="O420" s="417"/>
      <c r="P420" s="419" t="n">
        <f aca="false">SUM(P415:P419)</f>
        <v>0</v>
      </c>
      <c r="Q420" s="451" t="n">
        <f aca="false">IF($P$433=0,0,P420/$P$433)</f>
        <v>0</v>
      </c>
      <c r="R420" s="419" t="n">
        <f aca="false">SUM(R415:R419)</f>
        <v>0</v>
      </c>
      <c r="S420" s="451" t="n">
        <f aca="false">IF($R$433=0,0,R420/$R$433)</f>
        <v>0</v>
      </c>
    </row>
    <row r="421" customFormat="false" ht="11.25" hidden="false" customHeight="false" outlineLevel="0" collapsed="false">
      <c r="E421" s="417"/>
      <c r="F421" s="417"/>
      <c r="G421" s="417"/>
      <c r="I421" s="417"/>
      <c r="J421" s="417"/>
      <c r="K421" s="417"/>
      <c r="L421" s="417"/>
      <c r="M421" s="417"/>
      <c r="N421" s="417"/>
      <c r="O421" s="417"/>
      <c r="P421" s="417"/>
      <c r="Q421" s="370"/>
      <c r="R421" s="417"/>
      <c r="S421" s="370"/>
    </row>
    <row r="422" customFormat="false" ht="11.25" hidden="false" customHeight="false" outlineLevel="0" collapsed="false">
      <c r="A422" s="307" t="s">
        <v>808</v>
      </c>
      <c r="E422" s="417" t="n">
        <f aca="false">E420+E413</f>
        <v>0</v>
      </c>
      <c r="F422" s="417" t="n">
        <f aca="false">F420+F413</f>
        <v>0</v>
      </c>
      <c r="G422" s="417" t="n">
        <f aca="false">G420+G413</f>
        <v>0</v>
      </c>
      <c r="I422" s="417" t="n">
        <f aca="false">I420+I413</f>
        <v>0</v>
      </c>
      <c r="J422" s="417"/>
      <c r="K422" s="417" t="n">
        <f aca="false">K420+K413</f>
        <v>0</v>
      </c>
      <c r="L422" s="417" t="n">
        <f aca="false">L420+L413</f>
        <v>0</v>
      </c>
      <c r="M422" s="417"/>
      <c r="N422" s="417" t="n">
        <f aca="false">N413+N420</f>
        <v>0</v>
      </c>
      <c r="O422" s="417"/>
      <c r="P422" s="417" t="n">
        <f aca="false">P413+P420</f>
        <v>0</v>
      </c>
      <c r="Q422" s="370" t="n">
        <f aca="false">IF($P$433=0,0,P422/$P$433)</f>
        <v>0</v>
      </c>
      <c r="R422" s="417" t="n">
        <f aca="false">R413+R420</f>
        <v>0</v>
      </c>
      <c r="S422" s="370" t="n">
        <f aca="false">IF($R$433=0,0,R422/$R$433)</f>
        <v>0</v>
      </c>
    </row>
    <row r="423" customFormat="false" ht="11.25" hidden="false" customHeight="false" outlineLevel="0" collapsed="false">
      <c r="E423" s="172"/>
      <c r="F423" s="172"/>
      <c r="G423" s="172"/>
      <c r="I423" s="172"/>
      <c r="J423" s="417"/>
      <c r="K423" s="417"/>
      <c r="L423" s="417"/>
      <c r="M423" s="417"/>
      <c r="N423" s="417"/>
      <c r="O423" s="417"/>
      <c r="P423" s="417"/>
      <c r="Q423" s="370"/>
      <c r="R423" s="417"/>
      <c r="S423" s="370"/>
    </row>
    <row r="424" customFormat="false" ht="11.25" hidden="false" customHeight="false" outlineLevel="0" collapsed="false">
      <c r="A424" s="35" t="str">
        <f aca="false">B345</f>
        <v>Preferred Stock</v>
      </c>
      <c r="E424" s="449" t="n">
        <v>0</v>
      </c>
      <c r="F424" s="449" t="n">
        <v>0</v>
      </c>
      <c r="G424" s="449" t="n">
        <v>0</v>
      </c>
      <c r="I424" s="449" t="n">
        <v>0</v>
      </c>
      <c r="J424" s="417"/>
      <c r="K424" s="417" t="n">
        <f aca="false">H345</f>
        <v>0</v>
      </c>
      <c r="L424" s="475" t="n">
        <f aca="false">H360</f>
        <v>0</v>
      </c>
      <c r="M424" s="417"/>
      <c r="N424" s="417" t="n">
        <f aca="false">I424+K424-L424</f>
        <v>0</v>
      </c>
      <c r="O424" s="417"/>
      <c r="P424" s="417" t="n">
        <f aca="false">N424</f>
        <v>0</v>
      </c>
      <c r="Q424" s="370" t="n">
        <f aca="false">IF($P$433=0,0,P424/$P$433)</f>
        <v>0</v>
      </c>
      <c r="R424" s="417" t="n">
        <f aca="false">N424</f>
        <v>0</v>
      </c>
      <c r="S424" s="370" t="n">
        <f aca="false">IF($R$433=0,0,R424/$R$433)</f>
        <v>0</v>
      </c>
    </row>
    <row r="425" customFormat="false" ht="11.25" hidden="false" customHeight="false" outlineLevel="0" collapsed="false">
      <c r="A425" s="35" t="str">
        <f aca="false">B346</f>
        <v>Common Stock</v>
      </c>
      <c r="E425" s="449" t="n">
        <v>0</v>
      </c>
      <c r="F425" s="449" t="n">
        <v>0</v>
      </c>
      <c r="G425" s="449" t="n">
        <v>0</v>
      </c>
      <c r="I425" s="449" t="n">
        <v>0</v>
      </c>
      <c r="J425" s="417"/>
      <c r="K425" s="417" t="n">
        <f aca="false">H346</f>
        <v>0</v>
      </c>
      <c r="L425" s="449" t="n">
        <v>0</v>
      </c>
      <c r="M425" s="417"/>
      <c r="N425" s="417" t="n">
        <f aca="false">I425+K425-L425</f>
        <v>0</v>
      </c>
      <c r="O425" s="417"/>
      <c r="P425" s="417" t="n">
        <f aca="false">N425</f>
        <v>0</v>
      </c>
      <c r="Q425" s="370" t="n">
        <f aca="false">IF($P$433=0,0,P425/$P$433)</f>
        <v>0</v>
      </c>
      <c r="R425" s="417" t="n">
        <f aca="false">N425</f>
        <v>0</v>
      </c>
      <c r="S425" s="370" t="n">
        <f aca="false">IF($R$433=0,0,R425/$R$433)</f>
        <v>0</v>
      </c>
    </row>
    <row r="426" customFormat="false" ht="11.25" hidden="false" customHeight="false" outlineLevel="0" collapsed="false">
      <c r="A426" s="43" t="s">
        <v>809</v>
      </c>
      <c r="E426" s="449" t="n">
        <v>0</v>
      </c>
      <c r="F426" s="449" t="n">
        <v>0</v>
      </c>
      <c r="G426" s="449" t="n">
        <v>0</v>
      </c>
      <c r="I426" s="449" t="n">
        <v>0</v>
      </c>
      <c r="J426" s="417"/>
      <c r="K426" s="417"/>
      <c r="L426" s="449" t="n">
        <v>0</v>
      </c>
      <c r="M426" s="417"/>
      <c r="N426" s="417" t="n">
        <f aca="false">I426+K426-L426</f>
        <v>0</v>
      </c>
      <c r="O426" s="417"/>
      <c r="P426" s="417" t="n">
        <f aca="false">N426</f>
        <v>0</v>
      </c>
      <c r="Q426" s="370" t="n">
        <f aca="false">IF($P$433=0,0,P426/$P$433)</f>
        <v>0</v>
      </c>
      <c r="R426" s="417" t="n">
        <f aca="false">N426</f>
        <v>0</v>
      </c>
      <c r="S426" s="370" t="n">
        <f aca="false">IF($R$433=0,0,R426/$R$433)</f>
        <v>0</v>
      </c>
    </row>
    <row r="427" customFormat="false" ht="11.25" hidden="false" customHeight="false" outlineLevel="0" collapsed="false">
      <c r="A427" s="43" t="s">
        <v>810</v>
      </c>
      <c r="I427" s="172"/>
      <c r="N427" s="417" t="n">
        <f aca="false">I427+K427-L427</f>
        <v>0</v>
      </c>
      <c r="P427" s="417" t="n">
        <f aca="false">N427</f>
        <v>0</v>
      </c>
      <c r="Q427" s="370" t="n">
        <f aca="false">IF($P$433=0,0,P427/$P$433)</f>
        <v>0</v>
      </c>
      <c r="R427" s="417" t="n">
        <f aca="false">N427</f>
        <v>0</v>
      </c>
      <c r="S427" s="370" t="n">
        <f aca="false">IF($R$433=0,0,R427/$R$433)</f>
        <v>0</v>
      </c>
    </row>
    <row r="428" customFormat="false" ht="11.25" hidden="false" customHeight="false" outlineLevel="0" collapsed="false">
      <c r="A428" s="43" t="s">
        <v>811</v>
      </c>
      <c r="E428" s="449" t="n">
        <v>0</v>
      </c>
      <c r="F428" s="449" t="n">
        <v>0</v>
      </c>
      <c r="G428" s="449" t="n">
        <v>0</v>
      </c>
      <c r="I428" s="449" t="n">
        <v>0</v>
      </c>
      <c r="J428" s="417"/>
      <c r="K428" s="172"/>
      <c r="L428" s="481" t="n">
        <f aca="false">H356</f>
        <v>0</v>
      </c>
      <c r="M428" s="417"/>
      <c r="N428" s="417" t="n">
        <f aca="false">I428+K428-L428</f>
        <v>0</v>
      </c>
      <c r="O428" s="417"/>
      <c r="P428" s="417" t="n">
        <f aca="false">N428</f>
        <v>0</v>
      </c>
      <c r="Q428" s="370" t="n">
        <f aca="false">IF($P$433=0,0,P428/$P$433)</f>
        <v>0</v>
      </c>
      <c r="R428" s="417" t="n">
        <f aca="false">N428</f>
        <v>0</v>
      </c>
      <c r="S428" s="370" t="n">
        <f aca="false">IF($R$433=0,0,R428/$R$433)</f>
        <v>0</v>
      </c>
    </row>
    <row r="429" customFormat="false" ht="11.25" hidden="false" customHeight="false" outlineLevel="0" collapsed="false">
      <c r="A429" s="43" t="s">
        <v>812</v>
      </c>
      <c r="E429" s="449" t="n">
        <v>0</v>
      </c>
      <c r="F429" s="449" t="n">
        <v>0</v>
      </c>
      <c r="G429" s="449" t="n">
        <v>0</v>
      </c>
      <c r="I429" s="449" t="n">
        <v>0</v>
      </c>
      <c r="J429" s="417"/>
      <c r="K429" s="172"/>
      <c r="L429" s="481" t="n">
        <f aca="false">H355-L426-L425</f>
        <v>0</v>
      </c>
      <c r="M429" s="417"/>
      <c r="N429" s="417" t="n">
        <f aca="false">I429+K429-L429</f>
        <v>0</v>
      </c>
      <c r="O429" s="417"/>
      <c r="P429" s="417" t="n">
        <f aca="false">N429</f>
        <v>0</v>
      </c>
      <c r="Q429" s="370" t="n">
        <f aca="false">IF($P$433=0,0,P429/$P$433)</f>
        <v>0</v>
      </c>
      <c r="R429" s="417" t="n">
        <f aca="false">N429</f>
        <v>0</v>
      </c>
      <c r="S429" s="370" t="n">
        <f aca="false">IF($R$433=0,0,R429/$R$433)</f>
        <v>0</v>
      </c>
    </row>
    <row r="430" customFormat="false" ht="11.25" hidden="false" customHeight="false" outlineLevel="0" collapsed="false">
      <c r="A430" s="43" t="s">
        <v>813</v>
      </c>
      <c r="E430" s="449" t="n">
        <v>0</v>
      </c>
      <c r="F430" s="449" t="n">
        <v>0</v>
      </c>
      <c r="G430" s="449" t="n">
        <v>0</v>
      </c>
      <c r="I430" s="449" t="n">
        <v>0</v>
      </c>
      <c r="K430" s="171"/>
      <c r="L430" s="482"/>
      <c r="N430" s="417" t="n">
        <f aca="false">I430+K430-L430</f>
        <v>0</v>
      </c>
      <c r="P430" s="417" t="n">
        <f aca="false">N430</f>
        <v>0</v>
      </c>
      <c r="Q430" s="370" t="n">
        <f aca="false">IF($P$433=0,0,P430/$P$433)</f>
        <v>0</v>
      </c>
      <c r="R430" s="417" t="n">
        <f aca="false">N430</f>
        <v>0</v>
      </c>
      <c r="S430" s="370" t="n">
        <f aca="false">IF($R$433=0,0,R430/$R$433)</f>
        <v>0</v>
      </c>
    </row>
    <row r="431" customFormat="false" ht="11.25" hidden="false" customHeight="false" outlineLevel="0" collapsed="false">
      <c r="A431" s="43" t="s">
        <v>814</v>
      </c>
      <c r="E431" s="449" t="n">
        <v>0</v>
      </c>
      <c r="F431" s="449" t="n">
        <v>0</v>
      </c>
      <c r="G431" s="449" t="n">
        <v>0</v>
      </c>
      <c r="I431" s="449" t="n">
        <v>0</v>
      </c>
      <c r="N431" s="417" t="n">
        <f aca="false">I431+K431-L431</f>
        <v>0</v>
      </c>
      <c r="P431" s="417" t="n">
        <f aca="false">N431</f>
        <v>0</v>
      </c>
      <c r="Q431" s="370" t="n">
        <f aca="false">IF($P$433=0,0,P431/$P$433)</f>
        <v>0</v>
      </c>
      <c r="R431" s="417" t="n">
        <f aca="false">N431</f>
        <v>0</v>
      </c>
      <c r="S431" s="370" t="n">
        <f aca="false">IF($R$433=0,0,R431/$R$433)</f>
        <v>0</v>
      </c>
    </row>
    <row r="432" customFormat="false" ht="11.25" hidden="false" customHeight="false" outlineLevel="0" collapsed="false">
      <c r="A432" s="307" t="s">
        <v>815</v>
      </c>
      <c r="D432" s="417"/>
      <c r="E432" s="419" t="n">
        <f aca="false">SUM(E424:E431)</f>
        <v>0</v>
      </c>
      <c r="F432" s="419" t="n">
        <f aca="false">SUM(F424:F431)</f>
        <v>0</v>
      </c>
      <c r="G432" s="419" t="n">
        <f aca="false">SUM(G424:G431)</f>
        <v>0</v>
      </c>
      <c r="I432" s="419" t="n">
        <f aca="false">SUM(I424:I431)</f>
        <v>0</v>
      </c>
      <c r="J432" s="417"/>
      <c r="K432" s="419" t="n">
        <f aca="false">SUM(K424:K431)</f>
        <v>0</v>
      </c>
      <c r="L432" s="419" t="n">
        <f aca="false">SUM(L424:L431)</f>
        <v>0</v>
      </c>
      <c r="M432" s="417"/>
      <c r="N432" s="419" t="n">
        <f aca="false">SUM(N424:N431)</f>
        <v>0</v>
      </c>
      <c r="O432" s="417"/>
      <c r="P432" s="419" t="n">
        <f aca="false">SUM(P424:P431)</f>
        <v>0</v>
      </c>
      <c r="Q432" s="451" t="n">
        <f aca="false">IF($P$433=0,0,P432/$P$433)</f>
        <v>0</v>
      </c>
      <c r="R432" s="419" t="n">
        <f aca="false">SUM(R424:R431)</f>
        <v>0</v>
      </c>
      <c r="S432" s="451" t="n">
        <f aca="false">IF($R$433=0,0,R432/$R$433)</f>
        <v>0</v>
      </c>
    </row>
    <row r="433" customFormat="false" ht="12" hidden="false" customHeight="false" outlineLevel="0" collapsed="false">
      <c r="A433" s="307" t="s">
        <v>816</v>
      </c>
      <c r="E433" s="425" t="n">
        <f aca="false">E422+E432</f>
        <v>0</v>
      </c>
      <c r="F433" s="425" t="n">
        <f aca="false">F422+F432</f>
        <v>0</v>
      </c>
      <c r="G433" s="425" t="n">
        <f aca="false">G422+G432</f>
        <v>0</v>
      </c>
      <c r="I433" s="425" t="n">
        <f aca="false">I422+I432</f>
        <v>0</v>
      </c>
      <c r="J433" s="417"/>
      <c r="K433" s="425" t="n">
        <f aca="false">K432+K422</f>
        <v>0</v>
      </c>
      <c r="L433" s="425" t="n">
        <f aca="false">L432+L422</f>
        <v>0</v>
      </c>
      <c r="M433" s="417"/>
      <c r="N433" s="425" t="n">
        <f aca="false">N422+N432</f>
        <v>0</v>
      </c>
      <c r="O433" s="417"/>
      <c r="P433" s="425" t="n">
        <f aca="false">P422+P432</f>
        <v>0</v>
      </c>
      <c r="Q433" s="483" t="n">
        <f aca="false">IF($P$433=0,0,P433/$P$433)</f>
        <v>0</v>
      </c>
      <c r="R433" s="425" t="n">
        <f aca="false">R422+R432</f>
        <v>0</v>
      </c>
      <c r="S433" s="483" t="n">
        <f aca="false">IF($R$433=0,0,R433/$R$433)</f>
        <v>0</v>
      </c>
    </row>
    <row r="434" customFormat="false" ht="12" hidden="false" customHeight="false" outlineLevel="0" collapsed="false">
      <c r="A434" s="168"/>
      <c r="J434" s="417"/>
      <c r="K434" s="417"/>
      <c r="L434" s="417"/>
      <c r="M434" s="417"/>
      <c r="N434" s="417"/>
      <c r="O434" s="417"/>
      <c r="P434" s="417"/>
      <c r="Q434" s="370"/>
      <c r="R434" s="417"/>
    </row>
    <row r="435" customFormat="false" ht="11.25" hidden="false" customHeight="false" outlineLevel="0" collapsed="false">
      <c r="A435" s="307" t="s">
        <v>703</v>
      </c>
      <c r="E435" s="417" t="n">
        <f aca="false">E405-E433</f>
        <v>0</v>
      </c>
      <c r="F435" s="417" t="n">
        <f aca="false">F405-F433</f>
        <v>0</v>
      </c>
      <c r="G435" s="417" t="n">
        <f aca="false">G405-G433</f>
        <v>0</v>
      </c>
      <c r="I435" s="417" t="n">
        <f aca="false">I405-I433</f>
        <v>0</v>
      </c>
      <c r="J435" s="417"/>
      <c r="K435" s="417" t="n">
        <f aca="false">K405-K433</f>
        <v>0</v>
      </c>
      <c r="L435" s="417" t="n">
        <f aca="false">L405-L433</f>
        <v>0</v>
      </c>
      <c r="M435" s="417"/>
      <c r="N435" s="417" t="n">
        <f aca="false">N405-N433</f>
        <v>0</v>
      </c>
      <c r="O435" s="417"/>
      <c r="P435" s="417"/>
      <c r="Q435" s="417"/>
      <c r="R435" s="417"/>
    </row>
    <row r="437" customFormat="false" ht="12" hidden="false" customHeight="false" outlineLevel="0" collapsed="false">
      <c r="A437" s="43"/>
      <c r="B437" s="67"/>
      <c r="C437" s="67"/>
      <c r="D437" s="67"/>
      <c r="E437" s="67"/>
      <c r="F437" s="370"/>
    </row>
    <row r="438" customFormat="false" ht="12.75" hidden="false" customHeight="false" outlineLevel="0" collapsed="false">
      <c r="A438" s="79"/>
      <c r="B438" s="79"/>
      <c r="C438" s="79"/>
      <c r="D438" s="79"/>
      <c r="E438" s="79"/>
      <c r="F438" s="484"/>
      <c r="G438" s="292"/>
      <c r="H438" s="292"/>
      <c r="I438" s="292"/>
      <c r="J438" s="292"/>
      <c r="K438" s="292"/>
      <c r="L438" s="292"/>
      <c r="M438" s="292"/>
      <c r="N438" s="292"/>
      <c r="O438" s="292"/>
      <c r="P438" s="292"/>
      <c r="Q438" s="292"/>
      <c r="R438" s="292"/>
      <c r="S438" s="292"/>
      <c r="T438" s="292"/>
      <c r="U438" s="292"/>
      <c r="V438" s="292"/>
      <c r="W438" s="292"/>
      <c r="X438" s="292"/>
      <c r="Y438" s="292"/>
    </row>
    <row r="439" customFormat="false" ht="12.75" hidden="false" customHeight="false" outlineLevel="0" collapsed="false">
      <c r="A439" s="153" t="s">
        <v>817</v>
      </c>
      <c r="D439" s="260"/>
      <c r="E439" s="395" t="n">
        <f aca="false">E580</f>
        <v>1996</v>
      </c>
      <c r="F439" s="395" t="n">
        <f aca="false">F580</f>
        <v>1997</v>
      </c>
      <c r="G439" s="395" t="n">
        <f aca="false">G580</f>
        <v>1998</v>
      </c>
      <c r="H439" s="81" t="str">
        <f aca="false">$H$579&amp;"/"&amp;TEXT($H$580,"0")</f>
        <v>6 M/1999</v>
      </c>
      <c r="I439" s="469" t="str">
        <f aca="false">$I$579&amp;"/"&amp;TEXT($I$580,"0")</f>
        <v>6 M/1999</v>
      </c>
      <c r="J439" s="469" t="n">
        <f aca="false">J580</f>
        <v>2000</v>
      </c>
      <c r="K439" s="469" t="n">
        <f aca="false">K580</f>
        <v>2001</v>
      </c>
      <c r="L439" s="469" t="n">
        <f aca="false">L580</f>
        <v>2002</v>
      </c>
      <c r="M439" s="469" t="n">
        <f aca="false">M580</f>
        <v>2003</v>
      </c>
      <c r="N439" s="469" t="n">
        <f aca="false">N580</f>
        <v>2004</v>
      </c>
      <c r="O439" s="469" t="n">
        <f aca="false">O580</f>
        <v>2005</v>
      </c>
      <c r="P439" s="469" t="n">
        <f aca="false">P580</f>
        <v>2006</v>
      </c>
      <c r="Q439" s="469" t="n">
        <f aca="false">Q580</f>
        <v>2007</v>
      </c>
      <c r="R439" s="469" t="n">
        <f aca="false">R580</f>
        <v>2008</v>
      </c>
      <c r="S439" s="469" t="n">
        <f aca="false">S580</f>
        <v>2009</v>
      </c>
      <c r="T439" s="469" t="n">
        <f aca="false">T580</f>
        <v>2010</v>
      </c>
      <c r="U439" s="469" t="n">
        <f aca="false">U580</f>
        <v>2011</v>
      </c>
      <c r="V439" s="469" t="n">
        <f aca="false">V580</f>
        <v>2012</v>
      </c>
      <c r="W439" s="469" t="n">
        <f aca="false">W580</f>
        <v>2013</v>
      </c>
      <c r="X439" s="469" t="n">
        <f aca="false">X580</f>
        <v>2014</v>
      </c>
      <c r="Y439" s="469" t="n">
        <f aca="false">Y580</f>
        <v>2015</v>
      </c>
      <c r="Z439" s="469" t="n">
        <f aca="false">Z580</f>
        <v>2016</v>
      </c>
      <c r="AA439" s="469" t="n">
        <f aca="false">AA580</f>
        <v>2017</v>
      </c>
      <c r="AB439" s="469" t="n">
        <f aca="false">AB580</f>
        <v>2018</v>
      </c>
      <c r="AC439" s="469" t="n">
        <f aca="false">AC580</f>
        <v>2019</v>
      </c>
    </row>
    <row r="440" customFormat="false" ht="12" hidden="false" customHeight="false" outlineLevel="0" collapsed="false">
      <c r="A440" s="485" t="str">
        <f aca="false">A450&amp;"  (Days)"</f>
        <v>Operating Cash Balance  (Days)</v>
      </c>
      <c r="E440" s="486" t="n">
        <f aca="false">IF(E584&lt;1,0,E450/(E$584)*365)</f>
        <v>0</v>
      </c>
      <c r="F440" s="486" t="n">
        <f aca="false">IF(F584&lt;1,0,F450/(F$584)*365)</f>
        <v>0</v>
      </c>
      <c r="G440" s="486" t="n">
        <f aca="false">IF(G584&lt;1,0,G450/(G$584)*365)</f>
        <v>0</v>
      </c>
      <c r="H440" s="486" t="n">
        <f aca="false">IF(H584&lt;1,0,H450/(H$584/$C$325)*365)</f>
        <v>0</v>
      </c>
      <c r="I440" s="487" t="n">
        <f aca="false">+H440</f>
        <v>0</v>
      </c>
      <c r="J440" s="487" t="n">
        <f aca="false">I440</f>
        <v>0</v>
      </c>
      <c r="K440" s="487" t="n">
        <f aca="false">J440</f>
        <v>0</v>
      </c>
      <c r="L440" s="487" t="n">
        <f aca="false">K440</f>
        <v>0</v>
      </c>
      <c r="M440" s="487" t="n">
        <f aca="false">L440</f>
        <v>0</v>
      </c>
      <c r="N440" s="487" t="n">
        <f aca="false">M440</f>
        <v>0</v>
      </c>
      <c r="O440" s="487" t="n">
        <f aca="false">N440</f>
        <v>0</v>
      </c>
      <c r="P440" s="487" t="n">
        <f aca="false">O440</f>
        <v>0</v>
      </c>
      <c r="Q440" s="487" t="n">
        <f aca="false">P440</f>
        <v>0</v>
      </c>
      <c r="R440" s="487" t="n">
        <f aca="false">Q440</f>
        <v>0</v>
      </c>
      <c r="S440" s="487" t="n">
        <f aca="false">R440</f>
        <v>0</v>
      </c>
      <c r="T440" s="487" t="n">
        <f aca="false">S440</f>
        <v>0</v>
      </c>
      <c r="U440" s="487" t="n">
        <f aca="false">T440</f>
        <v>0</v>
      </c>
      <c r="V440" s="487" t="n">
        <f aca="false">U440</f>
        <v>0</v>
      </c>
      <c r="W440" s="487" t="n">
        <f aca="false">V440</f>
        <v>0</v>
      </c>
      <c r="X440" s="487" t="n">
        <f aca="false">W440</f>
        <v>0</v>
      </c>
      <c r="Y440" s="487" t="n">
        <f aca="false">X440</f>
        <v>0</v>
      </c>
      <c r="Z440" s="487" t="n">
        <f aca="false">Y440</f>
        <v>0</v>
      </c>
      <c r="AA440" s="487" t="n">
        <f aca="false">Z440</f>
        <v>0</v>
      </c>
      <c r="AB440" s="487" t="n">
        <f aca="false">AA440</f>
        <v>0</v>
      </c>
      <c r="AC440" s="487" t="n">
        <f aca="false">AB440</f>
        <v>0</v>
      </c>
    </row>
    <row r="441" customFormat="false" ht="11.25" hidden="false" customHeight="false" outlineLevel="0" collapsed="false">
      <c r="A441" s="485" t="str">
        <f aca="false">A451&amp;"  (Days)"</f>
        <v>Accounts Receivable  (Days)</v>
      </c>
      <c r="E441" s="486" t="n">
        <f aca="false">IF(E584&lt;1,0,E451/(E$584)*365)</f>
        <v>0</v>
      </c>
      <c r="F441" s="486" t="n">
        <f aca="false">IF(F584&lt;1,0,F451/(F$584)*365)</f>
        <v>0</v>
      </c>
      <c r="G441" s="486" t="n">
        <f aca="false">IF(G584&lt;1,0,G451/(G$584)*365)</f>
        <v>0</v>
      </c>
      <c r="H441" s="486" t="n">
        <f aca="false">IF(H584&lt;1,0,H451/(H$584/$C$325)*365)</f>
        <v>0</v>
      </c>
      <c r="I441" s="487" t="n">
        <f aca="false">H441</f>
        <v>0</v>
      </c>
      <c r="J441" s="487" t="n">
        <f aca="false">I441</f>
        <v>0</v>
      </c>
      <c r="K441" s="487" t="n">
        <f aca="false">J441</f>
        <v>0</v>
      </c>
      <c r="L441" s="487" t="n">
        <f aca="false">K441</f>
        <v>0</v>
      </c>
      <c r="M441" s="487" t="n">
        <f aca="false">L441</f>
        <v>0</v>
      </c>
      <c r="N441" s="487" t="n">
        <f aca="false">M441</f>
        <v>0</v>
      </c>
      <c r="O441" s="487" t="n">
        <f aca="false">N441</f>
        <v>0</v>
      </c>
      <c r="P441" s="487" t="n">
        <f aca="false">O441</f>
        <v>0</v>
      </c>
      <c r="Q441" s="487" t="n">
        <f aca="false">P441</f>
        <v>0</v>
      </c>
      <c r="R441" s="487" t="n">
        <f aca="false">Q441</f>
        <v>0</v>
      </c>
      <c r="S441" s="487" t="n">
        <f aca="false">R441</f>
        <v>0</v>
      </c>
      <c r="T441" s="487" t="n">
        <f aca="false">S441</f>
        <v>0</v>
      </c>
      <c r="U441" s="487" t="n">
        <f aca="false">T441</f>
        <v>0</v>
      </c>
      <c r="V441" s="487" t="n">
        <f aca="false">U441</f>
        <v>0</v>
      </c>
      <c r="W441" s="487" t="n">
        <f aca="false">V441</f>
        <v>0</v>
      </c>
      <c r="X441" s="487" t="n">
        <f aca="false">W441</f>
        <v>0</v>
      </c>
      <c r="Y441" s="487" t="n">
        <f aca="false">X441</f>
        <v>0</v>
      </c>
      <c r="Z441" s="487" t="n">
        <f aca="false">Y441</f>
        <v>0</v>
      </c>
      <c r="AA441" s="487" t="n">
        <f aca="false">Z441</f>
        <v>0</v>
      </c>
      <c r="AB441" s="487" t="n">
        <f aca="false">AA441</f>
        <v>0</v>
      </c>
      <c r="AC441" s="487" t="n">
        <f aca="false">AB441</f>
        <v>0</v>
      </c>
    </row>
    <row r="442" customFormat="false" ht="11.25" hidden="false" customHeight="false" outlineLevel="0" collapsed="false">
      <c r="A442" s="485" t="str">
        <f aca="false">A452&amp;"  (x)"</f>
        <v>Inventories  (x)</v>
      </c>
      <c r="E442" s="486" t="n">
        <f aca="false">IF(E452&lt;1,0,E$70/E452)</f>
        <v>0</v>
      </c>
      <c r="F442" s="486" t="n">
        <f aca="false">IF(F452&lt;1,0,F$70/F452)</f>
        <v>0</v>
      </c>
      <c r="G442" s="486" t="n">
        <f aca="false">IF(G452&lt;1,0,G$70/G452)</f>
        <v>0</v>
      </c>
      <c r="H442" s="486" t="n">
        <f aca="false">IF(H452&lt;1,0,(H$70/$C$325)/H452)</f>
        <v>0</v>
      </c>
      <c r="I442" s="487" t="n">
        <f aca="false">H442</f>
        <v>0</v>
      </c>
      <c r="J442" s="487" t="n">
        <f aca="false">I442</f>
        <v>0</v>
      </c>
      <c r="K442" s="487" t="n">
        <f aca="false">J442</f>
        <v>0</v>
      </c>
      <c r="L442" s="487" t="n">
        <f aca="false">K442</f>
        <v>0</v>
      </c>
      <c r="M442" s="487" t="n">
        <f aca="false">L442</f>
        <v>0</v>
      </c>
      <c r="N442" s="487" t="n">
        <f aca="false">M442</f>
        <v>0</v>
      </c>
      <c r="O442" s="487" t="n">
        <f aca="false">N442</f>
        <v>0</v>
      </c>
      <c r="P442" s="487" t="n">
        <f aca="false">O442</f>
        <v>0</v>
      </c>
      <c r="Q442" s="487" t="n">
        <f aca="false">P442</f>
        <v>0</v>
      </c>
      <c r="R442" s="487" t="n">
        <f aca="false">Q442</f>
        <v>0</v>
      </c>
      <c r="S442" s="487" t="n">
        <f aca="false">R442</f>
        <v>0</v>
      </c>
      <c r="T442" s="487" t="n">
        <f aca="false">S442</f>
        <v>0</v>
      </c>
      <c r="U442" s="487" t="n">
        <f aca="false">T442</f>
        <v>0</v>
      </c>
      <c r="V442" s="487" t="n">
        <f aca="false">U442</f>
        <v>0</v>
      </c>
      <c r="W442" s="487" t="n">
        <f aca="false">V442</f>
        <v>0</v>
      </c>
      <c r="X442" s="487" t="n">
        <f aca="false">W442</f>
        <v>0</v>
      </c>
      <c r="Y442" s="487" t="n">
        <f aca="false">X442</f>
        <v>0</v>
      </c>
      <c r="Z442" s="487" t="n">
        <f aca="false">Y442</f>
        <v>0</v>
      </c>
      <c r="AA442" s="487" t="n">
        <f aca="false">Z442</f>
        <v>0</v>
      </c>
      <c r="AB442" s="487" t="n">
        <f aca="false">AA442</f>
        <v>0</v>
      </c>
      <c r="AC442" s="487" t="n">
        <f aca="false">AB442</f>
        <v>0</v>
      </c>
    </row>
    <row r="443" customFormat="false" ht="11.25" hidden="false" customHeight="false" outlineLevel="0" collapsed="false">
      <c r="A443" s="485" t="str">
        <f aca="false">A453&amp;"  ($)"</f>
        <v>Other Current Assets  ($)</v>
      </c>
      <c r="E443" s="488" t="n">
        <f aca="false">E453</f>
        <v>0</v>
      </c>
      <c r="F443" s="488" t="n">
        <f aca="false">F453</f>
        <v>0</v>
      </c>
      <c r="G443" s="488" t="n">
        <f aca="false">G453</f>
        <v>0</v>
      </c>
      <c r="H443" s="488" t="n">
        <f aca="false">H453</f>
        <v>0</v>
      </c>
      <c r="I443" s="290" t="n">
        <f aca="false">H443</f>
        <v>0</v>
      </c>
      <c r="J443" s="290" t="n">
        <f aca="false">I443</f>
        <v>0</v>
      </c>
      <c r="K443" s="290" t="n">
        <f aca="false">J443</f>
        <v>0</v>
      </c>
      <c r="L443" s="290" t="n">
        <f aca="false">K443</f>
        <v>0</v>
      </c>
      <c r="M443" s="290" t="n">
        <f aca="false">L443</f>
        <v>0</v>
      </c>
      <c r="N443" s="290" t="n">
        <f aca="false">M443</f>
        <v>0</v>
      </c>
      <c r="O443" s="290" t="n">
        <f aca="false">N443</f>
        <v>0</v>
      </c>
      <c r="P443" s="290" t="n">
        <f aca="false">O443</f>
        <v>0</v>
      </c>
      <c r="Q443" s="290" t="n">
        <f aca="false">P443</f>
        <v>0</v>
      </c>
      <c r="R443" s="290" t="n">
        <f aca="false">Q443</f>
        <v>0</v>
      </c>
      <c r="S443" s="290" t="n">
        <f aca="false">R443</f>
        <v>0</v>
      </c>
      <c r="T443" s="290" t="n">
        <f aca="false">S443</f>
        <v>0</v>
      </c>
      <c r="U443" s="290" t="n">
        <f aca="false">T443</f>
        <v>0</v>
      </c>
      <c r="V443" s="290" t="n">
        <f aca="false">U443</f>
        <v>0</v>
      </c>
      <c r="W443" s="290" t="n">
        <f aca="false">V443</f>
        <v>0</v>
      </c>
      <c r="X443" s="290" t="n">
        <f aca="false">W443</f>
        <v>0</v>
      </c>
      <c r="Y443" s="290" t="n">
        <f aca="false">X443</f>
        <v>0</v>
      </c>
      <c r="Z443" s="290" t="n">
        <f aca="false">Y443</f>
        <v>0</v>
      </c>
      <c r="AA443" s="290" t="n">
        <f aca="false">Z443</f>
        <v>0</v>
      </c>
      <c r="AB443" s="290" t="n">
        <f aca="false">AA443</f>
        <v>0</v>
      </c>
      <c r="AC443" s="290" t="n">
        <f aca="false">AB443</f>
        <v>0</v>
      </c>
    </row>
    <row r="444" customFormat="false" ht="11.25" hidden="false" customHeight="false" outlineLevel="0" collapsed="false">
      <c r="A444" s="485" t="str">
        <f aca="false">A454&amp;"  (Days)"</f>
        <v>Accounts Payable  (Days)</v>
      </c>
      <c r="E444" s="486" t="n">
        <f aca="false">IF(E70&lt;1,0,E454/(E$70)*365)</f>
        <v>0</v>
      </c>
      <c r="F444" s="486" t="n">
        <f aca="false">IF(F70&lt;1,0,F454/(F$70)*365)</f>
        <v>0</v>
      </c>
      <c r="G444" s="486" t="n">
        <f aca="false">IF(G70&lt;1,0,G454/(G$70)*365)</f>
        <v>0</v>
      </c>
      <c r="H444" s="486" t="n">
        <f aca="false">IF(H70&lt;1,0,H454/(H$70/$C$325)*365)</f>
        <v>0</v>
      </c>
      <c r="I444" s="487" t="n">
        <f aca="false">H444</f>
        <v>0</v>
      </c>
      <c r="J444" s="487" t="n">
        <f aca="false">I444</f>
        <v>0</v>
      </c>
      <c r="K444" s="487" t="n">
        <f aca="false">J444</f>
        <v>0</v>
      </c>
      <c r="L444" s="487" t="n">
        <f aca="false">K444</f>
        <v>0</v>
      </c>
      <c r="M444" s="487" t="n">
        <f aca="false">L444</f>
        <v>0</v>
      </c>
      <c r="N444" s="487" t="n">
        <f aca="false">M444</f>
        <v>0</v>
      </c>
      <c r="O444" s="487" t="n">
        <f aca="false">N444</f>
        <v>0</v>
      </c>
      <c r="P444" s="487" t="n">
        <f aca="false">O444</f>
        <v>0</v>
      </c>
      <c r="Q444" s="487" t="n">
        <f aca="false">P444</f>
        <v>0</v>
      </c>
      <c r="R444" s="487" t="n">
        <f aca="false">Q444</f>
        <v>0</v>
      </c>
      <c r="S444" s="487" t="n">
        <f aca="false">R444</f>
        <v>0</v>
      </c>
      <c r="T444" s="487" t="n">
        <f aca="false">S444</f>
        <v>0</v>
      </c>
      <c r="U444" s="487" t="n">
        <f aca="false">T444</f>
        <v>0</v>
      </c>
      <c r="V444" s="487" t="n">
        <f aca="false">U444</f>
        <v>0</v>
      </c>
      <c r="W444" s="487" t="n">
        <f aca="false">V444</f>
        <v>0</v>
      </c>
      <c r="X444" s="487" t="n">
        <f aca="false">W444</f>
        <v>0</v>
      </c>
      <c r="Y444" s="487" t="n">
        <f aca="false">X444</f>
        <v>0</v>
      </c>
      <c r="Z444" s="487" t="n">
        <f aca="false">Y444</f>
        <v>0</v>
      </c>
      <c r="AA444" s="487" t="n">
        <f aca="false">Z444</f>
        <v>0</v>
      </c>
      <c r="AB444" s="487" t="n">
        <f aca="false">AA444</f>
        <v>0</v>
      </c>
      <c r="AC444" s="487" t="n">
        <f aca="false">AB444</f>
        <v>0</v>
      </c>
    </row>
    <row r="445" customFormat="false" ht="11.25" hidden="false" customHeight="false" outlineLevel="0" collapsed="false">
      <c r="A445" s="485" t="str">
        <f aca="false">A455&amp;"  (Days)"</f>
        <v>Accrued Liabilities  (Days)</v>
      </c>
      <c r="E445" s="486" t="n">
        <f aca="false">IF(E584&lt;1,0,E455/(E$584)*365)</f>
        <v>0</v>
      </c>
      <c r="F445" s="486" t="n">
        <f aca="false">IF(F584&lt;1,0,F455/(F$584)*365)</f>
        <v>0</v>
      </c>
      <c r="G445" s="486" t="n">
        <f aca="false">IF(G584&lt;1,0,G455/(G$584)*365)</f>
        <v>0</v>
      </c>
      <c r="H445" s="486" t="n">
        <f aca="false">IF(H584&lt;1,0,H455/(H$584/$C$325)*365)</f>
        <v>0</v>
      </c>
      <c r="I445" s="487" t="n">
        <f aca="false">H445</f>
        <v>0</v>
      </c>
      <c r="J445" s="487" t="n">
        <f aca="false">I445</f>
        <v>0</v>
      </c>
      <c r="K445" s="487" t="n">
        <f aca="false">J445</f>
        <v>0</v>
      </c>
      <c r="L445" s="487" t="n">
        <f aca="false">K445</f>
        <v>0</v>
      </c>
      <c r="M445" s="487" t="n">
        <f aca="false">L445</f>
        <v>0</v>
      </c>
      <c r="N445" s="487" t="n">
        <f aca="false">M445</f>
        <v>0</v>
      </c>
      <c r="O445" s="487" t="n">
        <f aca="false">N445</f>
        <v>0</v>
      </c>
      <c r="P445" s="487" t="n">
        <f aca="false">O445</f>
        <v>0</v>
      </c>
      <c r="Q445" s="487" t="n">
        <f aca="false">P445</f>
        <v>0</v>
      </c>
      <c r="R445" s="487" t="n">
        <f aca="false">Q445</f>
        <v>0</v>
      </c>
      <c r="S445" s="487" t="n">
        <f aca="false">R445</f>
        <v>0</v>
      </c>
      <c r="T445" s="487" t="n">
        <f aca="false">S445</f>
        <v>0</v>
      </c>
      <c r="U445" s="487" t="n">
        <f aca="false">T445</f>
        <v>0</v>
      </c>
      <c r="V445" s="487" t="n">
        <f aca="false">U445</f>
        <v>0</v>
      </c>
      <c r="W445" s="487" t="n">
        <f aca="false">V445</f>
        <v>0</v>
      </c>
      <c r="X445" s="487" t="n">
        <f aca="false">W445</f>
        <v>0</v>
      </c>
      <c r="Y445" s="487" t="n">
        <f aca="false">X445</f>
        <v>0</v>
      </c>
      <c r="Z445" s="487" t="n">
        <f aca="false">Y445</f>
        <v>0</v>
      </c>
      <c r="AA445" s="487" t="n">
        <f aca="false">Z445</f>
        <v>0</v>
      </c>
      <c r="AB445" s="487" t="n">
        <f aca="false">AA445</f>
        <v>0</v>
      </c>
      <c r="AC445" s="487" t="n">
        <f aca="false">AB445</f>
        <v>0</v>
      </c>
    </row>
    <row r="446" customFormat="false" ht="11.25" hidden="false" customHeight="false" outlineLevel="0" collapsed="false">
      <c r="A446" s="485" t="str">
        <f aca="false">A456&amp;"  ($)"</f>
        <v>Other Payables  ($)</v>
      </c>
      <c r="E446" s="488" t="n">
        <f aca="false">E456</f>
        <v>0</v>
      </c>
      <c r="F446" s="488" t="n">
        <f aca="false">F456</f>
        <v>0</v>
      </c>
      <c r="G446" s="488" t="n">
        <f aca="false">G456</f>
        <v>0</v>
      </c>
      <c r="H446" s="488" t="n">
        <f aca="false">H456</f>
        <v>0</v>
      </c>
      <c r="I446" s="290" t="n">
        <f aca="false">H446</f>
        <v>0</v>
      </c>
      <c r="J446" s="290" t="n">
        <f aca="false">I446</f>
        <v>0</v>
      </c>
      <c r="K446" s="290" t="n">
        <f aca="false">J446</f>
        <v>0</v>
      </c>
      <c r="L446" s="290" t="n">
        <f aca="false">K446</f>
        <v>0</v>
      </c>
      <c r="M446" s="290" t="n">
        <f aca="false">L446</f>
        <v>0</v>
      </c>
      <c r="N446" s="290" t="n">
        <f aca="false">M446</f>
        <v>0</v>
      </c>
      <c r="O446" s="290" t="n">
        <f aca="false">N446</f>
        <v>0</v>
      </c>
      <c r="P446" s="290" t="n">
        <f aca="false">O446</f>
        <v>0</v>
      </c>
      <c r="Q446" s="290" t="n">
        <f aca="false">P446</f>
        <v>0</v>
      </c>
      <c r="R446" s="290" t="n">
        <f aca="false">Q446</f>
        <v>0</v>
      </c>
      <c r="S446" s="290" t="n">
        <f aca="false">R446</f>
        <v>0</v>
      </c>
      <c r="T446" s="290" t="n">
        <f aca="false">S446</f>
        <v>0</v>
      </c>
      <c r="U446" s="290" t="n">
        <f aca="false">T446</f>
        <v>0</v>
      </c>
      <c r="V446" s="290" t="n">
        <f aca="false">U446</f>
        <v>0</v>
      </c>
      <c r="W446" s="290" t="n">
        <f aca="false">V446</f>
        <v>0</v>
      </c>
      <c r="X446" s="290" t="n">
        <f aca="false">W446</f>
        <v>0</v>
      </c>
      <c r="Y446" s="290" t="n">
        <f aca="false">X446</f>
        <v>0</v>
      </c>
      <c r="Z446" s="290" t="n">
        <f aca="false">Y446</f>
        <v>0</v>
      </c>
      <c r="AA446" s="290" t="n">
        <f aca="false">Z446</f>
        <v>0</v>
      </c>
      <c r="AB446" s="290" t="n">
        <f aca="false">AA446</f>
        <v>0</v>
      </c>
      <c r="AC446" s="290" t="n">
        <f aca="false">AB446</f>
        <v>0</v>
      </c>
    </row>
    <row r="448" customFormat="false" ht="12" hidden="false" customHeight="false" outlineLevel="0" collapsed="false"/>
    <row r="449" customFormat="false" ht="12.75" hidden="false" customHeight="false" outlineLevel="0" collapsed="false">
      <c r="A449" s="153" t="s">
        <v>818</v>
      </c>
      <c r="E449" s="395" t="n">
        <f aca="false">E580</f>
        <v>1996</v>
      </c>
      <c r="F449" s="395" t="n">
        <f aca="false">F580</f>
        <v>1997</v>
      </c>
      <c r="G449" s="395" t="n">
        <f aca="false">G580</f>
        <v>1998</v>
      </c>
      <c r="H449" s="429" t="n">
        <f aca="false">H170</f>
        <v>36341</v>
      </c>
      <c r="I449" s="429" t="n">
        <f aca="false">I170</f>
        <v>36525</v>
      </c>
      <c r="J449" s="81" t="n">
        <f aca="false">J580</f>
        <v>2000</v>
      </c>
      <c r="K449" s="81" t="n">
        <f aca="false">K580</f>
        <v>2001</v>
      </c>
      <c r="L449" s="81" t="n">
        <f aca="false">L580</f>
        <v>2002</v>
      </c>
      <c r="M449" s="81" t="n">
        <f aca="false">M580</f>
        <v>2003</v>
      </c>
      <c r="N449" s="81" t="n">
        <f aca="false">N580</f>
        <v>2004</v>
      </c>
      <c r="O449" s="81" t="n">
        <f aca="false">O580</f>
        <v>2005</v>
      </c>
      <c r="P449" s="81" t="n">
        <f aca="false">P580</f>
        <v>2006</v>
      </c>
      <c r="Q449" s="81" t="n">
        <f aca="false">Q580</f>
        <v>2007</v>
      </c>
      <c r="R449" s="81" t="n">
        <f aca="false">R580</f>
        <v>2008</v>
      </c>
      <c r="S449" s="81" t="n">
        <f aca="false">S580</f>
        <v>2009</v>
      </c>
      <c r="T449" s="81" t="n">
        <f aca="false">T580</f>
        <v>2010</v>
      </c>
      <c r="U449" s="81" t="n">
        <f aca="false">U580</f>
        <v>2011</v>
      </c>
      <c r="V449" s="81" t="n">
        <f aca="false">V580</f>
        <v>2012</v>
      </c>
      <c r="W449" s="81" t="n">
        <f aca="false">W580</f>
        <v>2013</v>
      </c>
      <c r="X449" s="81" t="n">
        <f aca="false">X580</f>
        <v>2014</v>
      </c>
      <c r="Y449" s="81" t="n">
        <f aca="false">Y580</f>
        <v>2015</v>
      </c>
      <c r="Z449" s="81" t="n">
        <f aca="false">Z580</f>
        <v>2016</v>
      </c>
      <c r="AA449" s="81" t="n">
        <f aca="false">AA580</f>
        <v>2017</v>
      </c>
      <c r="AB449" s="81" t="n">
        <f aca="false">AB580</f>
        <v>2018</v>
      </c>
      <c r="AC449" s="81" t="n">
        <f aca="false">AC580</f>
        <v>2019</v>
      </c>
    </row>
    <row r="450" customFormat="false" ht="12" hidden="false" customHeight="false" outlineLevel="0" collapsed="false">
      <c r="A450" s="43" t="s">
        <v>819</v>
      </c>
      <c r="E450" s="417" t="n">
        <f aca="false">E389</f>
        <v>0</v>
      </c>
      <c r="F450" s="417" t="n">
        <f aca="false">F389</f>
        <v>0</v>
      </c>
      <c r="G450" s="417" t="n">
        <f aca="false">G389</f>
        <v>0</v>
      </c>
      <c r="H450" s="417" t="n">
        <f aca="false">P390</f>
        <v>0</v>
      </c>
      <c r="I450" s="489" t="n">
        <f aca="false">IF(I69+H69=0,0,I440/365*(I$69+H69))</f>
        <v>-0</v>
      </c>
      <c r="J450" s="490" t="n">
        <f aca="false">IF(J69=0,0,J440/365*(J$69))</f>
        <v>-0</v>
      </c>
      <c r="K450" s="489" t="n">
        <f aca="false">IF(K69=0,0,K440/365*(K$69))</f>
        <v>-0</v>
      </c>
      <c r="L450" s="489" t="n">
        <f aca="false">IF(L69=0,0,L440/365*(L$69))</f>
        <v>-0</v>
      </c>
      <c r="M450" s="489" t="n">
        <f aca="false">IF(M69=0,0,M440/365*(M$69))</f>
        <v>-0</v>
      </c>
      <c r="N450" s="489" t="n">
        <f aca="false">IF(N69=0,0,N440/365*(N$69))</f>
        <v>-0</v>
      </c>
      <c r="O450" s="489" t="n">
        <f aca="false">IF(O69=0,0,O440/365*(O$69))</f>
        <v>-0</v>
      </c>
      <c r="P450" s="489" t="n">
        <f aca="false">IF(P69=0,0,P440/365*(P$69))</f>
        <v>-0</v>
      </c>
      <c r="Q450" s="489" t="n">
        <f aca="false">IF(Q69=0,0,Q440/365*(Q$69))</f>
        <v>-0</v>
      </c>
      <c r="R450" s="489" t="n">
        <f aca="false">IF(R69=0,0,R440/365*(R$69))</f>
        <v>-0</v>
      </c>
      <c r="S450" s="489" t="n">
        <f aca="false">IF(S69=0,0,S440/365*(S$69))</f>
        <v>-0</v>
      </c>
      <c r="T450" s="489" t="n">
        <f aca="false">IF(T69=0,0,T440/365*(T$69))</f>
        <v>-0</v>
      </c>
      <c r="U450" s="489" t="n">
        <f aca="false">IF(U69=0,0,U440/365*(U$69))</f>
        <v>-0</v>
      </c>
      <c r="V450" s="489" t="n">
        <f aca="false">IF(V69=0,0,V440/365*(V$69))</f>
        <v>-0</v>
      </c>
      <c r="W450" s="489" t="n">
        <f aca="false">IF(W69=0,0,W440/365*(W$69))</f>
        <v>-0</v>
      </c>
      <c r="X450" s="489" t="n">
        <f aca="false">IF(X69=0,0,X440/365*(X$69))</f>
        <v>-0</v>
      </c>
      <c r="Y450" s="489" t="n">
        <f aca="false">IF(Y69=0,0,Y440/365*(Y$69))</f>
        <v>-0</v>
      </c>
      <c r="Z450" s="489" t="n">
        <f aca="false">IF(Z69=0,0,Z440/365*(Z$69))</f>
        <v>-0</v>
      </c>
      <c r="AA450" s="489" t="n">
        <f aca="false">IF(AA69=0,0,AA440/365*(AA$69))</f>
        <v>-0</v>
      </c>
      <c r="AB450" s="489" t="n">
        <f aca="false">IF(AB69=0,0,AB440/365*(AB$69))</f>
        <v>-0</v>
      </c>
      <c r="AC450" s="489" t="n">
        <f aca="false">IF(AC69=0,0,AC440/365*(AC$69))</f>
        <v>-0</v>
      </c>
    </row>
    <row r="451" customFormat="false" ht="11.25" hidden="false" customHeight="false" outlineLevel="0" collapsed="false">
      <c r="A451" s="43" t="str">
        <f aca="false">A173</f>
        <v>Accounts Receivable</v>
      </c>
      <c r="C451" s="172"/>
      <c r="D451" s="417"/>
      <c r="E451" s="417" t="n">
        <f aca="false">E390</f>
        <v>0</v>
      </c>
      <c r="F451" s="417" t="n">
        <f aca="false">F390</f>
        <v>0</v>
      </c>
      <c r="G451" s="417" t="n">
        <f aca="false">G390</f>
        <v>0</v>
      </c>
      <c r="H451" s="417" t="n">
        <f aca="false">N390</f>
        <v>0</v>
      </c>
      <c r="I451" s="489" t="n">
        <f aca="false">I441/365*(I$69+H69)</f>
        <v>-0</v>
      </c>
      <c r="J451" s="490" t="n">
        <f aca="false">J441/365*(J$69)</f>
        <v>-0</v>
      </c>
      <c r="K451" s="489" t="n">
        <f aca="false">K441/365*(K$69)</f>
        <v>-0</v>
      </c>
      <c r="L451" s="489" t="n">
        <f aca="false">L441/365*(L$69)</f>
        <v>-0</v>
      </c>
      <c r="M451" s="489" t="n">
        <f aca="false">M441/365*(M$69)</f>
        <v>-0</v>
      </c>
      <c r="N451" s="489" t="n">
        <f aca="false">N441/365*(N$69)</f>
        <v>-0</v>
      </c>
      <c r="O451" s="489" t="n">
        <f aca="false">O441/365*(O$69)</f>
        <v>-0</v>
      </c>
      <c r="P451" s="489" t="n">
        <f aca="false">P441/365*(P$69)</f>
        <v>-0</v>
      </c>
      <c r="Q451" s="489" t="n">
        <f aca="false">Q441/365*(Q$69)</f>
        <v>-0</v>
      </c>
      <c r="R451" s="489" t="n">
        <f aca="false">R441/365*(R$69)</f>
        <v>-0</v>
      </c>
      <c r="S451" s="489" t="n">
        <f aca="false">S441/365*(S$69)</f>
        <v>-0</v>
      </c>
      <c r="T451" s="489" t="n">
        <f aca="false">T441/365*(T$69)</f>
        <v>-0</v>
      </c>
      <c r="U451" s="489" t="n">
        <f aca="false">U441/365*(U$69)</f>
        <v>-0</v>
      </c>
      <c r="V451" s="489" t="n">
        <f aca="false">V441/365*(V$69)</f>
        <v>-0</v>
      </c>
      <c r="W451" s="489" t="n">
        <f aca="false">W441/365*(W$69)</f>
        <v>-0</v>
      </c>
      <c r="X451" s="489" t="n">
        <f aca="false">X441/365*(X$69)</f>
        <v>-0</v>
      </c>
      <c r="Y451" s="489" t="n">
        <f aca="false">Y441/365*(Y$69)</f>
        <v>-0</v>
      </c>
      <c r="Z451" s="489" t="n">
        <f aca="false">Z441/365*(Z$69)</f>
        <v>-0</v>
      </c>
      <c r="AA451" s="489" t="n">
        <f aca="false">AA441/365*(AA$69)</f>
        <v>-0</v>
      </c>
      <c r="AB451" s="489" t="n">
        <f aca="false">AB441/365*(AB$69)</f>
        <v>-0</v>
      </c>
      <c r="AC451" s="489" t="n">
        <f aca="false">AC441/365*(AC$69)</f>
        <v>-0</v>
      </c>
    </row>
    <row r="452" customFormat="false" ht="11.25" hidden="false" customHeight="false" outlineLevel="0" collapsed="false">
      <c r="A452" s="43" t="str">
        <f aca="false">A174</f>
        <v>Inventories</v>
      </c>
      <c r="C452" s="172"/>
      <c r="D452" s="417"/>
      <c r="E452" s="417" t="n">
        <f aca="false">E391</f>
        <v>0</v>
      </c>
      <c r="F452" s="417" t="n">
        <f aca="false">F391</f>
        <v>0</v>
      </c>
      <c r="G452" s="417" t="n">
        <f aca="false">G391</f>
        <v>0</v>
      </c>
      <c r="H452" s="417" t="n">
        <f aca="false">N391</f>
        <v>0</v>
      </c>
      <c r="I452" s="489" t="n">
        <f aca="false">IF(I442=0,0,(I$70+H70)/I442)</f>
        <v>0</v>
      </c>
      <c r="J452" s="490" t="n">
        <f aca="false">IF(J442=0,0,(J$70)/J442)</f>
        <v>0</v>
      </c>
      <c r="K452" s="489" t="n">
        <f aca="false">IF(K442=0,0,(K$70)/K442)</f>
        <v>0</v>
      </c>
      <c r="L452" s="489" t="n">
        <f aca="false">IF(L442=0,0,(L$70)/L442)</f>
        <v>0</v>
      </c>
      <c r="M452" s="489" t="n">
        <f aca="false">IF(M442=0,0,(M$70)/M442)</f>
        <v>0</v>
      </c>
      <c r="N452" s="489" t="n">
        <f aca="false">IF(N442=0,0,(N$70)/N442)</f>
        <v>0</v>
      </c>
      <c r="O452" s="489" t="n">
        <f aca="false">IF(O442=0,0,(O$70)/O442)</f>
        <v>0</v>
      </c>
      <c r="P452" s="489" t="n">
        <f aca="false">IF(P442=0,0,(P$70)/P442)</f>
        <v>0</v>
      </c>
      <c r="Q452" s="489" t="n">
        <f aca="false">IF(Q442=0,0,(Q$70)/Q442)</f>
        <v>0</v>
      </c>
      <c r="R452" s="489" t="n">
        <f aca="false">IF(R442=0,0,(R$70)/R442)</f>
        <v>0</v>
      </c>
      <c r="S452" s="489" t="n">
        <f aca="false">IF(S442=0,0,(S$70)/S442)</f>
        <v>0</v>
      </c>
      <c r="T452" s="489" t="n">
        <f aca="false">IF(T442=0,0,(T$70)/T442)</f>
        <v>0</v>
      </c>
      <c r="U452" s="489" t="n">
        <f aca="false">IF(U442=0,0,(U$70)/U442)</f>
        <v>0</v>
      </c>
      <c r="V452" s="489" t="n">
        <f aca="false">IF(V442=0,0,(V$70)/V442)</f>
        <v>0</v>
      </c>
      <c r="W452" s="489" t="n">
        <f aca="false">IF(W442=0,0,(W$70)/W442)</f>
        <v>0</v>
      </c>
      <c r="X452" s="489" t="n">
        <f aca="false">IF(X442=0,0,(X$70)/X442)</f>
        <v>0</v>
      </c>
      <c r="Y452" s="489" t="n">
        <f aca="false">IF(Y442=0,0,(Y$70)/Y442)</f>
        <v>0</v>
      </c>
      <c r="Z452" s="489" t="n">
        <f aca="false">IF(Z442=0,0,(Z$70)/Z442)</f>
        <v>0</v>
      </c>
      <c r="AA452" s="489" t="n">
        <f aca="false">IF(AA442=0,0,(AA$70)/AA442)</f>
        <v>0</v>
      </c>
      <c r="AB452" s="489" t="n">
        <f aca="false">IF(AB442=0,0,(AB$70)/AB442)</f>
        <v>0</v>
      </c>
      <c r="AC452" s="489" t="n">
        <f aca="false">IF(AC442=0,0,(AC$70)/AC442)</f>
        <v>0</v>
      </c>
    </row>
    <row r="453" customFormat="false" ht="11.25" hidden="false" customHeight="false" outlineLevel="0" collapsed="false">
      <c r="A453" s="43" t="str">
        <f aca="false">A175</f>
        <v>Other Current Assets</v>
      </c>
      <c r="C453" s="172"/>
      <c r="D453" s="417"/>
      <c r="E453" s="417" t="n">
        <f aca="false">E392</f>
        <v>0</v>
      </c>
      <c r="F453" s="417" t="n">
        <f aca="false">F392</f>
        <v>0</v>
      </c>
      <c r="G453" s="417" t="n">
        <f aca="false">G392</f>
        <v>0</v>
      </c>
      <c r="H453" s="417" t="n">
        <f aca="false">N392</f>
        <v>0</v>
      </c>
      <c r="I453" s="489" t="n">
        <f aca="false">I443</f>
        <v>0</v>
      </c>
      <c r="J453" s="490" t="n">
        <f aca="false">J443</f>
        <v>0</v>
      </c>
      <c r="K453" s="489" t="n">
        <f aca="false">K443</f>
        <v>0</v>
      </c>
      <c r="L453" s="489" t="n">
        <f aca="false">L443</f>
        <v>0</v>
      </c>
      <c r="M453" s="489" t="n">
        <f aca="false">M443</f>
        <v>0</v>
      </c>
      <c r="N453" s="489" t="n">
        <f aca="false">N443</f>
        <v>0</v>
      </c>
      <c r="O453" s="489" t="n">
        <f aca="false">O443</f>
        <v>0</v>
      </c>
      <c r="P453" s="489" t="n">
        <f aca="false">P443</f>
        <v>0</v>
      </c>
      <c r="Q453" s="489" t="n">
        <f aca="false">Q443</f>
        <v>0</v>
      </c>
      <c r="R453" s="489" t="n">
        <f aca="false">R443</f>
        <v>0</v>
      </c>
      <c r="S453" s="489" t="n">
        <f aca="false">S443</f>
        <v>0</v>
      </c>
      <c r="T453" s="489" t="n">
        <f aca="false">T443</f>
        <v>0</v>
      </c>
      <c r="U453" s="489" t="n">
        <f aca="false">U443</f>
        <v>0</v>
      </c>
      <c r="V453" s="489" t="n">
        <f aca="false">V443</f>
        <v>0</v>
      </c>
      <c r="W453" s="489" t="n">
        <f aca="false">W443</f>
        <v>0</v>
      </c>
      <c r="X453" s="489" t="n">
        <f aca="false">X443</f>
        <v>0</v>
      </c>
      <c r="Y453" s="489" t="n">
        <f aca="false">Y443</f>
        <v>0</v>
      </c>
      <c r="Z453" s="489" t="n">
        <f aca="false">Z443</f>
        <v>0</v>
      </c>
      <c r="AA453" s="489" t="n">
        <f aca="false">AA443</f>
        <v>0</v>
      </c>
      <c r="AB453" s="489" t="n">
        <f aca="false">AB443</f>
        <v>0</v>
      </c>
      <c r="AC453" s="489" t="n">
        <f aca="false">AC443</f>
        <v>0</v>
      </c>
    </row>
    <row r="454" customFormat="false" ht="11.25" hidden="false" customHeight="false" outlineLevel="0" collapsed="false">
      <c r="A454" s="43" t="str">
        <f aca="false">A192</f>
        <v>Accounts Payable</v>
      </c>
      <c r="C454" s="172"/>
      <c r="D454" s="417"/>
      <c r="E454" s="417" t="n">
        <f aca="false">E408</f>
        <v>0</v>
      </c>
      <c r="F454" s="417" t="n">
        <f aca="false">F408</f>
        <v>0</v>
      </c>
      <c r="G454" s="417" t="n">
        <f aca="false">G408</f>
        <v>0</v>
      </c>
      <c r="H454" s="417" t="n">
        <f aca="false">N408</f>
        <v>0</v>
      </c>
      <c r="I454" s="489" t="n">
        <f aca="false">I444/365*(I$70+H70)</f>
        <v>-0</v>
      </c>
      <c r="J454" s="490" t="n">
        <f aca="false">J444/365*(J$70)</f>
        <v>-0</v>
      </c>
      <c r="K454" s="489" t="n">
        <f aca="false">K444/365*(K$70)</f>
        <v>-0</v>
      </c>
      <c r="L454" s="489" t="n">
        <f aca="false">L444/365*(L$70)</f>
        <v>-0</v>
      </c>
      <c r="M454" s="489" t="n">
        <f aca="false">M444/365*(M$70)</f>
        <v>-0</v>
      </c>
      <c r="N454" s="489" t="n">
        <f aca="false">N444/365*(N$70)</f>
        <v>-0</v>
      </c>
      <c r="O454" s="489" t="n">
        <f aca="false">O444/365*(O$70)</f>
        <v>-0</v>
      </c>
      <c r="P454" s="489" t="n">
        <f aca="false">P444/365*(P$70)</f>
        <v>-0</v>
      </c>
      <c r="Q454" s="489" t="n">
        <f aca="false">Q444/365*(Q$70)</f>
        <v>0</v>
      </c>
      <c r="R454" s="489" t="n">
        <f aca="false">R444/365*(R$70)</f>
        <v>0</v>
      </c>
      <c r="S454" s="489" t="n">
        <f aca="false">S444/365*(S$70)</f>
        <v>0</v>
      </c>
      <c r="T454" s="489" t="n">
        <f aca="false">T444/365*(T$70)</f>
        <v>0</v>
      </c>
      <c r="U454" s="489" t="n">
        <f aca="false">U444/365*(U$70)</f>
        <v>0</v>
      </c>
      <c r="V454" s="489" t="n">
        <f aca="false">V444/365*(V$70)</f>
        <v>0</v>
      </c>
      <c r="W454" s="489" t="n">
        <f aca="false">W444/365*(W$70)</f>
        <v>0</v>
      </c>
      <c r="X454" s="489" t="n">
        <f aca="false">X444/365*(X$70)</f>
        <v>0</v>
      </c>
      <c r="Y454" s="489" t="n">
        <f aca="false">Y444/365*(Y$70)</f>
        <v>-0</v>
      </c>
      <c r="Z454" s="489" t="n">
        <f aca="false">Z444/365*(Z$70)</f>
        <v>-0</v>
      </c>
      <c r="AA454" s="489" t="n">
        <f aca="false">AA444/365*(AA$70)</f>
        <v>-0</v>
      </c>
      <c r="AB454" s="489" t="n">
        <f aca="false">AB444/365*(AB$70)</f>
        <v>-0</v>
      </c>
      <c r="AC454" s="489" t="n">
        <f aca="false">AC444/365*(AC$70)</f>
        <v>-0</v>
      </c>
    </row>
    <row r="455" customFormat="false" ht="11.25" hidden="false" customHeight="false" outlineLevel="0" collapsed="false">
      <c r="A455" s="43" t="str">
        <f aca="false">A193</f>
        <v>Accrued Liabilities</v>
      </c>
      <c r="C455" s="172"/>
      <c r="D455" s="417"/>
      <c r="E455" s="417" t="n">
        <f aca="false">E409</f>
        <v>0</v>
      </c>
      <c r="F455" s="417" t="n">
        <f aca="false">F409</f>
        <v>0</v>
      </c>
      <c r="G455" s="417" t="n">
        <f aca="false">G409</f>
        <v>0</v>
      </c>
      <c r="H455" s="417" t="n">
        <f aca="false">N409</f>
        <v>0</v>
      </c>
      <c r="I455" s="489" t="n">
        <f aca="false">I445/365*(I$69+H69)</f>
        <v>-0</v>
      </c>
      <c r="J455" s="490" t="n">
        <f aca="false">J445/365*(J$69)</f>
        <v>-0</v>
      </c>
      <c r="K455" s="489" t="n">
        <f aca="false">K445/365*(K$69)</f>
        <v>-0</v>
      </c>
      <c r="L455" s="489" t="n">
        <f aca="false">L445/365*(L$69)</f>
        <v>-0</v>
      </c>
      <c r="M455" s="489" t="n">
        <f aca="false">M445/365*(M$69)</f>
        <v>-0</v>
      </c>
      <c r="N455" s="489" t="n">
        <f aca="false">N445/365*(N$69)</f>
        <v>-0</v>
      </c>
      <c r="O455" s="489" t="n">
        <f aca="false">O445/365*(O$69)</f>
        <v>-0</v>
      </c>
      <c r="P455" s="489" t="n">
        <f aca="false">P445/365*(P$69)</f>
        <v>-0</v>
      </c>
      <c r="Q455" s="489" t="n">
        <f aca="false">Q445/365*(Q$69)</f>
        <v>-0</v>
      </c>
      <c r="R455" s="489" t="n">
        <f aca="false">R445/365*(R$69)</f>
        <v>-0</v>
      </c>
      <c r="S455" s="489" t="n">
        <f aca="false">S445/365*(S$69)</f>
        <v>-0</v>
      </c>
      <c r="T455" s="489" t="n">
        <f aca="false">T445/365*(T$69)</f>
        <v>-0</v>
      </c>
      <c r="U455" s="489" t="n">
        <f aca="false">U445/365*(U$69)</f>
        <v>-0</v>
      </c>
      <c r="V455" s="489" t="n">
        <f aca="false">V445/365*(V$69)</f>
        <v>-0</v>
      </c>
      <c r="W455" s="489" t="n">
        <f aca="false">W445/365*(W$69)</f>
        <v>-0</v>
      </c>
      <c r="X455" s="489" t="n">
        <f aca="false">X445/365*(X$69)</f>
        <v>-0</v>
      </c>
      <c r="Y455" s="489" t="n">
        <f aca="false">Y445/365*(Y$69)</f>
        <v>-0</v>
      </c>
      <c r="Z455" s="489" t="n">
        <f aca="false">Z445/365*(Z$69)</f>
        <v>-0</v>
      </c>
      <c r="AA455" s="489" t="n">
        <f aca="false">AA445/365*(AA$69)</f>
        <v>-0</v>
      </c>
      <c r="AB455" s="489" t="n">
        <f aca="false">AB445/365*(AB$69)</f>
        <v>-0</v>
      </c>
      <c r="AC455" s="489" t="n">
        <f aca="false">AC445/365*(AC$69)</f>
        <v>-0</v>
      </c>
    </row>
    <row r="456" customFormat="false" ht="11.25" hidden="false" customHeight="false" outlineLevel="0" collapsed="false">
      <c r="A456" s="43" t="str">
        <f aca="false">A194</f>
        <v>Other Payables</v>
      </c>
      <c r="C456" s="417"/>
      <c r="D456" s="417"/>
      <c r="E456" s="417" t="n">
        <f aca="false">E410</f>
        <v>0</v>
      </c>
      <c r="F456" s="417" t="n">
        <f aca="false">F410</f>
        <v>0</v>
      </c>
      <c r="G456" s="417" t="n">
        <f aca="false">G410</f>
        <v>0</v>
      </c>
      <c r="H456" s="417" t="n">
        <f aca="false">N410</f>
        <v>0</v>
      </c>
      <c r="I456" s="489" t="n">
        <f aca="false">I446</f>
        <v>0</v>
      </c>
      <c r="J456" s="490" t="n">
        <f aca="false">J446</f>
        <v>0</v>
      </c>
      <c r="K456" s="489" t="n">
        <f aca="false">K446</f>
        <v>0</v>
      </c>
      <c r="L456" s="489" t="n">
        <f aca="false">L446</f>
        <v>0</v>
      </c>
      <c r="M456" s="489" t="n">
        <f aca="false">M446</f>
        <v>0</v>
      </c>
      <c r="N456" s="489" t="n">
        <f aca="false">N446</f>
        <v>0</v>
      </c>
      <c r="O456" s="489" t="n">
        <f aca="false">O446</f>
        <v>0</v>
      </c>
      <c r="P456" s="489" t="n">
        <f aca="false">P446</f>
        <v>0</v>
      </c>
      <c r="Q456" s="489" t="n">
        <f aca="false">Q446</f>
        <v>0</v>
      </c>
      <c r="R456" s="489" t="n">
        <f aca="false">R446</f>
        <v>0</v>
      </c>
      <c r="S456" s="489" t="n">
        <f aca="false">S446</f>
        <v>0</v>
      </c>
      <c r="T456" s="489" t="n">
        <f aca="false">T446</f>
        <v>0</v>
      </c>
      <c r="U456" s="489" t="n">
        <f aca="false">U446</f>
        <v>0</v>
      </c>
      <c r="V456" s="489" t="n">
        <f aca="false">V446</f>
        <v>0</v>
      </c>
      <c r="W456" s="489" t="n">
        <f aca="false">W446</f>
        <v>0</v>
      </c>
      <c r="X456" s="489" t="n">
        <f aca="false">X446</f>
        <v>0</v>
      </c>
      <c r="Y456" s="489" t="n">
        <f aca="false">Y446</f>
        <v>0</v>
      </c>
      <c r="Z456" s="489" t="n">
        <f aca="false">Z446</f>
        <v>0</v>
      </c>
      <c r="AA456" s="489" t="n">
        <f aca="false">AA446</f>
        <v>0</v>
      </c>
      <c r="AB456" s="489" t="n">
        <f aca="false">AB446</f>
        <v>0</v>
      </c>
      <c r="AC456" s="489" t="n">
        <f aca="false">AC446</f>
        <v>0</v>
      </c>
    </row>
    <row r="457" customFormat="false" ht="12" hidden="false" customHeight="false" outlineLevel="0" collapsed="false">
      <c r="A457" s="43" t="s">
        <v>820</v>
      </c>
      <c r="C457" s="417"/>
      <c r="D457" s="491" t="n">
        <f aca="false">E457</f>
        <v>0</v>
      </c>
      <c r="E457" s="425" t="n">
        <f aca="false">E450+E451+E452+E453-E454-E455-E456</f>
        <v>0</v>
      </c>
      <c r="F457" s="425" t="n">
        <f aca="false">F450+F451+F452+F453-F454-F455-F456</f>
        <v>0</v>
      </c>
      <c r="G457" s="425" t="n">
        <f aca="false">G450+G451+G452+G453-G454-G455-G456</f>
        <v>0</v>
      </c>
      <c r="H457" s="425" t="n">
        <f aca="false">H450+H451+H452+H453-H454-H455-H456</f>
        <v>0</v>
      </c>
      <c r="I457" s="425" t="n">
        <f aca="false">I450+I451+I452+I453-I454-I455-I456</f>
        <v>0</v>
      </c>
      <c r="J457" s="492" t="n">
        <f aca="false">J450+J451+J452+J453-J454-J455-J456</f>
        <v>0</v>
      </c>
      <c r="K457" s="425" t="n">
        <f aca="false">K450+K451+K452+K453-K454-K455-K456</f>
        <v>0</v>
      </c>
      <c r="L457" s="425" t="n">
        <f aca="false">L450+L451+L452+L453-L454-L455-L456</f>
        <v>0</v>
      </c>
      <c r="M457" s="425" t="n">
        <f aca="false">M450+M451+M452+M453-M454-M455-M456</f>
        <v>0</v>
      </c>
      <c r="N457" s="425" t="n">
        <f aca="false">N450+N451+N452+N453-N454-N455-N456</f>
        <v>0</v>
      </c>
      <c r="O457" s="425" t="n">
        <f aca="false">O450+O451+O452+O453-O454-O455-O456</f>
        <v>0</v>
      </c>
      <c r="P457" s="425" t="n">
        <f aca="false">P450+P451+P452+P453-P454-P455-P456</f>
        <v>0</v>
      </c>
      <c r="Q457" s="425" t="n">
        <f aca="false">Q450+Q451+Q452+Q453-Q454-Q455-Q456</f>
        <v>0</v>
      </c>
      <c r="R457" s="425" t="n">
        <f aca="false">R450+R451+R452+R453-R454-R455-R456</f>
        <v>0</v>
      </c>
      <c r="S457" s="425" t="n">
        <f aca="false">S450+S451+S452+S453-S454-S455-S456</f>
        <v>0</v>
      </c>
      <c r="T457" s="425" t="n">
        <f aca="false">T450+T451+T452+T453-T454-T455-T456</f>
        <v>0</v>
      </c>
      <c r="U457" s="425" t="n">
        <f aca="false">U450+U451+U452+U453-U454-U455-U456</f>
        <v>0</v>
      </c>
      <c r="V457" s="425" t="n">
        <f aca="false">V450+V451+V452+V453-V454-V455-V456</f>
        <v>0</v>
      </c>
      <c r="W457" s="425" t="n">
        <f aca="false">W450+W451+W452+W453-W454-W455-W456</f>
        <v>0</v>
      </c>
      <c r="X457" s="425" t="n">
        <f aca="false">X450+X451+X452+X453-X454-X455-X456</f>
        <v>0</v>
      </c>
      <c r="Y457" s="425" t="n">
        <f aca="false">Y450+Y451+Y452+Y453-Y454-Y455-Y456</f>
        <v>0</v>
      </c>
      <c r="Z457" s="425" t="n">
        <f aca="false">Z450+Z451+Z452+Z453-Z454-Z455-Z456</f>
        <v>0</v>
      </c>
      <c r="AA457" s="425" t="n">
        <f aca="false">AA450+AA451+AA452+AA453-AA454-AA455-AA456</f>
        <v>0</v>
      </c>
      <c r="AB457" s="425" t="n">
        <f aca="false">AB450+AB451+AB452+AB453-AB454-AB455-AB456</f>
        <v>0</v>
      </c>
      <c r="AC457" s="425" t="n">
        <f aca="false">AC450+AC451+AC452+AC453-AC454-AC455-AC456</f>
        <v>0</v>
      </c>
    </row>
    <row r="458" customFormat="false" ht="12" hidden="false" customHeight="false" outlineLevel="0" collapsed="false">
      <c r="A458" s="43"/>
      <c r="J458" s="396"/>
    </row>
    <row r="459" customFormat="false" ht="11.25" hidden="false" customHeight="false" outlineLevel="0" collapsed="false">
      <c r="A459" s="43" t="s">
        <v>684</v>
      </c>
      <c r="E459" s="35" t="n">
        <f aca="false">E457-D457</f>
        <v>0</v>
      </c>
      <c r="F459" s="35" t="n">
        <f aca="false">F457-E457</f>
        <v>0</v>
      </c>
      <c r="G459" s="35" t="n">
        <f aca="false">G457-F457</f>
        <v>0</v>
      </c>
      <c r="H459" s="35" t="n">
        <f aca="false">H457-G457</f>
        <v>0</v>
      </c>
      <c r="I459" s="35" t="n">
        <f aca="false">I457-H457</f>
        <v>0</v>
      </c>
      <c r="J459" s="396" t="n">
        <f aca="false">J457-I457</f>
        <v>0</v>
      </c>
      <c r="K459" s="35" t="n">
        <f aca="false">K457-J457</f>
        <v>0</v>
      </c>
      <c r="L459" s="35" t="n">
        <f aca="false">L457-K457</f>
        <v>0</v>
      </c>
      <c r="M459" s="35" t="n">
        <f aca="false">M457-L457</f>
        <v>0</v>
      </c>
      <c r="N459" s="35" t="n">
        <f aca="false">N457-M457</f>
        <v>0</v>
      </c>
      <c r="O459" s="35" t="n">
        <f aca="false">O457-N457</f>
        <v>0</v>
      </c>
      <c r="P459" s="35" t="n">
        <f aca="false">P457-O457</f>
        <v>0</v>
      </c>
      <c r="Q459" s="35" t="n">
        <f aca="false">Q457-P457</f>
        <v>0</v>
      </c>
      <c r="R459" s="35" t="n">
        <f aca="false">R457-Q457</f>
        <v>0</v>
      </c>
      <c r="S459" s="35" t="n">
        <f aca="false">S457-R457</f>
        <v>0</v>
      </c>
      <c r="T459" s="35" t="n">
        <f aca="false">T457-S457</f>
        <v>0</v>
      </c>
      <c r="U459" s="35" t="n">
        <f aca="false">U457-T457</f>
        <v>0</v>
      </c>
      <c r="V459" s="35" t="n">
        <f aca="false">V457-U457</f>
        <v>0</v>
      </c>
      <c r="W459" s="35" t="n">
        <f aca="false">W457-V457</f>
        <v>0</v>
      </c>
      <c r="X459" s="35" t="n">
        <f aca="false">X457-W457</f>
        <v>0</v>
      </c>
      <c r="Y459" s="35" t="n">
        <f aca="false">Y457-X457</f>
        <v>0</v>
      </c>
      <c r="Z459" s="35" t="n">
        <f aca="false">Z457-Y457</f>
        <v>0</v>
      </c>
      <c r="AA459" s="35" t="n">
        <f aca="false">AA457-Z457</f>
        <v>0</v>
      </c>
      <c r="AB459" s="35" t="n">
        <f aca="false">AB457-AA457</f>
        <v>0</v>
      </c>
      <c r="AC459" s="35" t="n">
        <f aca="false">AC457-AB457</f>
        <v>0</v>
      </c>
    </row>
    <row r="460" customFormat="false" ht="11.25" hidden="false" customHeight="false" outlineLevel="0" collapsed="false">
      <c r="A460" s="43"/>
      <c r="J460" s="396"/>
    </row>
    <row r="461" customFormat="false" ht="11.25" hidden="false" customHeight="false" outlineLevel="0" collapsed="false">
      <c r="A461" s="43"/>
      <c r="J461" s="396"/>
    </row>
    <row r="462" customFormat="false" ht="11.25" hidden="false" customHeight="false" outlineLevel="0" collapsed="false">
      <c r="A462" s="153" t="s">
        <v>821</v>
      </c>
      <c r="J462" s="396"/>
    </row>
    <row r="463" customFormat="false" ht="11.25" hidden="false" customHeight="false" outlineLevel="0" collapsed="false">
      <c r="A463" s="43" t="s">
        <v>822</v>
      </c>
      <c r="E463" s="171"/>
      <c r="F463" s="171"/>
      <c r="G463" s="171"/>
      <c r="H463" s="171"/>
      <c r="I463" s="449" t="n">
        <v>0</v>
      </c>
      <c r="J463" s="493" t="n">
        <v>0</v>
      </c>
      <c r="K463" s="449" t="n">
        <v>0</v>
      </c>
      <c r="L463" s="449" t="n">
        <v>0</v>
      </c>
      <c r="M463" s="449" t="n">
        <v>0</v>
      </c>
      <c r="N463" s="449" t="n">
        <v>0</v>
      </c>
      <c r="O463" s="449" t="n">
        <v>0</v>
      </c>
      <c r="P463" s="449" t="n">
        <v>0</v>
      </c>
      <c r="Q463" s="449" t="n">
        <v>0</v>
      </c>
      <c r="R463" s="449" t="n">
        <v>0</v>
      </c>
      <c r="S463" s="449" t="n">
        <v>0</v>
      </c>
      <c r="T463" s="449" t="n">
        <v>0</v>
      </c>
      <c r="U463" s="449" t="n">
        <v>0</v>
      </c>
      <c r="V463" s="449" t="n">
        <v>0</v>
      </c>
      <c r="W463" s="449" t="n">
        <v>0</v>
      </c>
      <c r="X463" s="449" t="n">
        <v>0</v>
      </c>
      <c r="Y463" s="449" t="n">
        <v>0</v>
      </c>
      <c r="Z463" s="449" t="n">
        <v>0</v>
      </c>
      <c r="AA463" s="449" t="n">
        <v>0</v>
      </c>
      <c r="AB463" s="449" t="n">
        <v>0</v>
      </c>
      <c r="AC463" s="449" t="n">
        <v>0</v>
      </c>
    </row>
    <row r="464" customFormat="false" ht="11.25" hidden="false" customHeight="false" outlineLevel="0" collapsed="false">
      <c r="A464" s="43" t="s">
        <v>823</v>
      </c>
      <c r="I464" s="449" t="n">
        <v>0</v>
      </c>
      <c r="J464" s="493" t="n">
        <v>0</v>
      </c>
      <c r="K464" s="449" t="n">
        <v>0</v>
      </c>
      <c r="L464" s="449" t="n">
        <v>0</v>
      </c>
      <c r="M464" s="449" t="n">
        <v>0</v>
      </c>
      <c r="N464" s="449" t="n">
        <v>0</v>
      </c>
      <c r="O464" s="449" t="n">
        <v>0</v>
      </c>
      <c r="P464" s="449" t="n">
        <v>0</v>
      </c>
      <c r="Q464" s="449" t="n">
        <v>0</v>
      </c>
      <c r="R464" s="449" t="n">
        <v>0</v>
      </c>
      <c r="S464" s="449" t="n">
        <v>0</v>
      </c>
      <c r="T464" s="449" t="n">
        <v>0</v>
      </c>
      <c r="U464" s="449" t="n">
        <v>0</v>
      </c>
      <c r="V464" s="449" t="n">
        <v>0</v>
      </c>
      <c r="W464" s="449" t="n">
        <v>0</v>
      </c>
      <c r="X464" s="449" t="n">
        <v>0</v>
      </c>
      <c r="Y464" s="449" t="n">
        <v>0</v>
      </c>
      <c r="Z464" s="449" t="n">
        <v>0</v>
      </c>
      <c r="AA464" s="449" t="n">
        <v>0</v>
      </c>
      <c r="AB464" s="449" t="n">
        <v>0</v>
      </c>
      <c r="AC464" s="449" t="n">
        <v>0</v>
      </c>
    </row>
    <row r="465" customFormat="false" ht="11.25" hidden="false" customHeight="false" outlineLevel="0" collapsed="false">
      <c r="A465" s="43"/>
      <c r="J465" s="396"/>
    </row>
    <row r="466" customFormat="false" ht="12" hidden="false" customHeight="false" outlineLevel="0" collapsed="false">
      <c r="A466" s="43"/>
      <c r="J466" s="396"/>
    </row>
    <row r="467" customFormat="false" ht="12.75" hidden="false" customHeight="false" outlineLevel="0" collapsed="false">
      <c r="A467" s="443"/>
      <c r="B467" s="292"/>
      <c r="C467" s="292"/>
      <c r="D467" s="292"/>
      <c r="E467" s="292"/>
      <c r="F467" s="292"/>
      <c r="G467" s="292"/>
      <c r="H467" s="79"/>
      <c r="I467" s="292"/>
      <c r="J467" s="494"/>
      <c r="K467" s="292"/>
      <c r="L467" s="292"/>
      <c r="M467" s="292"/>
      <c r="N467" s="292"/>
      <c r="O467" s="292"/>
      <c r="P467" s="292"/>
      <c r="Q467" s="292"/>
      <c r="R467" s="292"/>
      <c r="S467" s="292"/>
      <c r="T467" s="292"/>
      <c r="U467" s="292"/>
      <c r="V467" s="292"/>
      <c r="W467" s="292"/>
      <c r="X467" s="292"/>
      <c r="Y467" s="292"/>
      <c r="Z467" s="292"/>
      <c r="AA467" s="292"/>
      <c r="AB467" s="292"/>
      <c r="AC467" s="292"/>
    </row>
    <row r="468" customFormat="false" ht="12.75" hidden="false" customHeight="false" outlineLevel="0" collapsed="false">
      <c r="A468" s="153" t="s">
        <v>824</v>
      </c>
      <c r="E468" s="395" t="n">
        <f aca="false">E580</f>
        <v>1996</v>
      </c>
      <c r="F468" s="395" t="n">
        <f aca="false">F580</f>
        <v>1997</v>
      </c>
      <c r="G468" s="395" t="n">
        <f aca="false">G580</f>
        <v>1998</v>
      </c>
      <c r="H468" s="81" t="str">
        <f aca="false">$H$579&amp;"/"&amp;TEXT($H$580,"0")</f>
        <v>6 M/1999</v>
      </c>
      <c r="I468" s="469" t="str">
        <f aca="false">$I$579&amp;"/"&amp;TEXT($I$580,"0")</f>
        <v>6 M/1999</v>
      </c>
      <c r="J468" s="469" t="n">
        <f aca="false">J580</f>
        <v>2000</v>
      </c>
      <c r="K468" s="469" t="n">
        <f aca="false">K580</f>
        <v>2001</v>
      </c>
      <c r="L468" s="469" t="n">
        <f aca="false">L580</f>
        <v>2002</v>
      </c>
      <c r="M468" s="469" t="n">
        <f aca="false">M580</f>
        <v>2003</v>
      </c>
      <c r="N468" s="469" t="n">
        <f aca="false">N580</f>
        <v>2004</v>
      </c>
      <c r="O468" s="469" t="n">
        <f aca="false">O580</f>
        <v>2005</v>
      </c>
      <c r="P468" s="469" t="n">
        <f aca="false">P580</f>
        <v>2006</v>
      </c>
      <c r="Q468" s="469" t="n">
        <f aca="false">Q580</f>
        <v>2007</v>
      </c>
      <c r="R468" s="469" t="n">
        <f aca="false">R580</f>
        <v>2008</v>
      </c>
      <c r="S468" s="469" t="n">
        <f aca="false">S580</f>
        <v>2009</v>
      </c>
      <c r="T468" s="469" t="n">
        <f aca="false">T580</f>
        <v>2010</v>
      </c>
      <c r="U468" s="469" t="n">
        <f aca="false">U580</f>
        <v>2011</v>
      </c>
      <c r="V468" s="469" t="n">
        <f aca="false">V580</f>
        <v>2012</v>
      </c>
      <c r="W468" s="469" t="n">
        <f aca="false">W580</f>
        <v>2013</v>
      </c>
      <c r="X468" s="469" t="n">
        <f aca="false">X580</f>
        <v>2014</v>
      </c>
      <c r="Y468" s="469" t="n">
        <f aca="false">Y580</f>
        <v>2015</v>
      </c>
      <c r="Z468" s="469" t="n">
        <f aca="false">Z580</f>
        <v>2016</v>
      </c>
      <c r="AA468" s="469" t="n">
        <f aca="false">AA580</f>
        <v>2017</v>
      </c>
      <c r="AB468" s="469" t="n">
        <f aca="false">AB580</f>
        <v>2018</v>
      </c>
      <c r="AC468" s="469" t="n">
        <f aca="false">AC580</f>
        <v>2019</v>
      </c>
    </row>
    <row r="469" customFormat="false" ht="12" hidden="false" customHeight="false" outlineLevel="0" collapsed="false">
      <c r="A469" s="43" t="s">
        <v>825</v>
      </c>
      <c r="G469" s="495" t="s">
        <v>826</v>
      </c>
      <c r="J469" s="171"/>
      <c r="K469" s="171"/>
      <c r="L469" s="171"/>
      <c r="M469" s="171"/>
      <c r="N469" s="171"/>
      <c r="O469" s="171"/>
      <c r="P469" s="171"/>
      <c r="Q469" s="171"/>
      <c r="R469" s="171"/>
      <c r="S469" s="171"/>
      <c r="T469" s="171"/>
      <c r="U469" s="171"/>
      <c r="V469" s="171"/>
      <c r="W469" s="171"/>
      <c r="X469" s="171"/>
      <c r="Y469" s="171"/>
      <c r="Z469" s="171"/>
      <c r="AA469" s="171"/>
      <c r="AB469" s="171"/>
      <c r="AC469" s="171"/>
    </row>
    <row r="470" customFormat="false" ht="11.25" hidden="false" customHeight="false" outlineLevel="0" collapsed="false">
      <c r="A470" s="43" t="s">
        <v>827</v>
      </c>
      <c r="C470" s="67"/>
      <c r="F470" s="65" t="str">
        <f aca="false">A390</f>
        <v>Accounts Receivable</v>
      </c>
      <c r="G470" s="496" t="n">
        <v>0.4</v>
      </c>
      <c r="H470" s="491"/>
    </row>
    <row r="471" customFormat="false" ht="11.25" hidden="false" customHeight="false" outlineLevel="0" collapsed="false">
      <c r="A471" s="43"/>
      <c r="C471" s="67"/>
      <c r="F471" s="65" t="str">
        <f aca="false">A391</f>
        <v>Inventories</v>
      </c>
      <c r="G471" s="496" t="n">
        <v>0</v>
      </c>
    </row>
    <row r="472" customFormat="false" ht="11.25" hidden="false" customHeight="false" outlineLevel="0" collapsed="false">
      <c r="A472" s="43"/>
      <c r="C472" s="67"/>
      <c r="F472" s="65" t="s">
        <v>828</v>
      </c>
      <c r="G472" s="497" t="n">
        <v>0.75</v>
      </c>
    </row>
    <row r="473" customFormat="false" ht="11.25" hidden="false" customHeight="false" outlineLevel="0" collapsed="false">
      <c r="A473" s="43"/>
    </row>
    <row r="474" customFormat="false" ht="11.25" hidden="false" customHeight="false" outlineLevel="0" collapsed="false">
      <c r="A474" s="43" t="s">
        <v>829</v>
      </c>
      <c r="E474" s="50" t="n">
        <v>0</v>
      </c>
      <c r="F474" s="50" t="n">
        <v>0</v>
      </c>
      <c r="G474" s="50" t="n">
        <v>0</v>
      </c>
      <c r="H474" s="50" t="n">
        <v>0</v>
      </c>
      <c r="I474" s="67" t="e">
        <f aca="false">IF($G$469="YES",IF(I451*$G$470+I452*$G$471+I962*$G$472&gt;=I483,I483,I451*$G$470+I452*$G$471+I962*$G$472),+I483)</f>
        <v>#N/A</v>
      </c>
      <c r="J474" s="67" t="e">
        <f aca="false">IF($G$469="YES",IF(J451*$G$470+J452*$G$471+J962*$G$472&gt;=J483,J483,J451*$G$470+J452*$G$471+J962*$G$472),+J483)</f>
        <v>#N/A</v>
      </c>
      <c r="K474" s="67" t="e">
        <f aca="false">IF($G$469="YES",IF(K451*$G$470+K452*$G$471+K962*$G$472&gt;=K483,K483,K451*$G$470+K452*$G$471+K962*$G$472),+K483)</f>
        <v>#N/A</v>
      </c>
      <c r="L474" s="67" t="e">
        <f aca="false">IF($G$469="YES",IF(L451*$G$470+L452*$G$471+L962*$G$472&gt;=L483,L483,L451*$G$470+L452*$G$471+L962*$G$472),+L483)</f>
        <v>#N/A</v>
      </c>
      <c r="M474" s="67" t="e">
        <f aca="false">IF($G$469="YES",IF(M451*$G$470+M452*$G$471+M962*$G$472&gt;=M483,M483,M451*$G$470+M452*$G$471+M962*$G$472),+M483)</f>
        <v>#N/A</v>
      </c>
      <c r="N474" s="67" t="e">
        <f aca="false">IF($G$469="YES",IF(N451*$G$470+N452*$G$471+N962*$G$472&gt;=N483,N483,N451*$G$470+N452*$G$471+N962*$G$472),+N483)</f>
        <v>#N/A</v>
      </c>
      <c r="O474" s="67" t="e">
        <f aca="false">IF($G$469="YES",IF(O451*$G$470+O452*$G$471+O962*$G$472&gt;=O483,O483,O451*$G$470+O452*$G$471+O962*$G$472),+O483)</f>
        <v>#N/A</v>
      </c>
      <c r="P474" s="67" t="e">
        <f aca="false">IF($G$469="YES",IF(P451*$G$470+P452*$G$471+P962*$G$472&gt;=P483,P483,P451*$G$470+P452*$G$471+P962*$G$472),+P483)</f>
        <v>#N/A</v>
      </c>
      <c r="Q474" s="67" t="e">
        <f aca="false">IF($G$469="YES",IF(Q451*$G$470+Q452*$G$471+Q962*$G$472&gt;=Q483,Q483,Q451*$G$470+Q452*$G$471+Q962*$G$472),+Q483)</f>
        <v>#N/A</v>
      </c>
      <c r="R474" s="67" t="e">
        <f aca="false">IF($G$469="YES",IF(R451*$G$470+R452*$G$471+R962*$G$472&gt;=R483,R483,R451*$G$470+R452*$G$471+R962*$G$472),+R483)</f>
        <v>#N/A</v>
      </c>
      <c r="S474" s="67" t="e">
        <f aca="false">IF($G$469="YES",IF(S451*$G$470+S452*$G$471+S962*$G$472&gt;=S483,S483,S451*$G$470+S452*$G$471+S962*$G$472),+S483)</f>
        <v>#N/A</v>
      </c>
      <c r="T474" s="67" t="e">
        <f aca="false">IF($G$469="YES",IF(T451*$G$470+T452*$G$471+T962*$G$472&gt;=T483,T483,T451*$G$470+T452*$G$471+T962*$G$472),+T483)</f>
        <v>#N/A</v>
      </c>
      <c r="U474" s="67" t="e">
        <f aca="false">IF($G$469="YES",IF(U451*$G$470+U452*$G$471+U962*$G$472&gt;=U483,U483,U451*$G$470+U452*$G$471+U962*$G$472),+U483)</f>
        <v>#N/A</v>
      </c>
      <c r="V474" s="67" t="e">
        <f aca="false">IF($G$469="YES",IF(V451*$G$470+V452*$G$471+V962*$G$472&gt;=V483,V483,V451*$G$470+V452*$G$471+V962*$G$472),+V483)</f>
        <v>#N/A</v>
      </c>
      <c r="W474" s="67" t="e">
        <f aca="false">IF($G$469="YES",IF(W451*$G$470+W452*$G$471+W962*$G$472&gt;=W483,W483,W451*$G$470+W452*$G$471+W962*$G$472),+W483)</f>
        <v>#N/A</v>
      </c>
      <c r="X474" s="67" t="e">
        <f aca="false">IF($G$469="YES",IF(X451*$G$470+X452*$G$471+X962*$G$472&gt;=X483,X483,X451*$G$470+X452*$G$471+X962*$G$472),+X483)</f>
        <v>#N/A</v>
      </c>
      <c r="Y474" s="67" t="e">
        <f aca="false">IF($G$469="YES",IF(Y451*$G$470+Y452*$G$471+Y962*$G$472&gt;=Y483,Y483,Y451*$G$470+Y452*$G$471+Y962*$G$472),+Y483)</f>
        <v>#N/A</v>
      </c>
      <c r="Z474" s="67" t="e">
        <f aca="false">IF($G$469="YES",IF(Z451*$G$470+Z452*$G$471+Z962*$G$472&gt;=Z483,Z483,Z451*$G$470+Z452*$G$471+Z962*$G$472),+Z483)</f>
        <v>#N/A</v>
      </c>
      <c r="AA474" s="67" t="e">
        <f aca="false">IF($G$469="YES",IF(AA451*$G$470+AA452*$G$471+AA962*$G$472&gt;=AA483,AA483,AA451*$G$470+AA452*$G$471+AA962*$G$472),+AA483)</f>
        <v>#N/A</v>
      </c>
      <c r="AB474" s="67" t="e">
        <f aca="false">IF($G$469="YES",IF(AB451*$G$470+AB452*$G$471+AB962*$G$472&gt;=AB483,AB483,AB451*$G$470+AB452*$G$471+AB962*$G$472),+AB483)</f>
        <v>#N/A</v>
      </c>
      <c r="AC474" s="67" t="e">
        <f aca="false">IF($G$469="YES",IF(AC451*$G$470+AC452*$G$471+AC962*$G$472&gt;=AC483,AC483,AC451*$G$470+AC452*$G$471+AC962*$G$472),+AC483)</f>
        <v>#N/A</v>
      </c>
    </row>
    <row r="475" customFormat="false" ht="11.25" hidden="false" customHeight="false" outlineLevel="0" collapsed="false">
      <c r="A475" s="43"/>
      <c r="J475" s="149"/>
    </row>
    <row r="476" customFormat="false" ht="12" hidden="false" customHeight="false" outlineLevel="0" collapsed="false">
      <c r="A476" s="43"/>
    </row>
    <row r="477" customFormat="false" ht="12" hidden="false" customHeight="false" outlineLevel="0" collapsed="false">
      <c r="A477" s="443"/>
      <c r="B477" s="292"/>
      <c r="C477" s="292"/>
      <c r="D477" s="292"/>
      <c r="E477" s="292"/>
      <c r="F477" s="292"/>
      <c r="G477" s="292"/>
      <c r="H477" s="292"/>
      <c r="I477" s="292"/>
      <c r="J477" s="292"/>
      <c r="K477" s="292"/>
      <c r="L477" s="292"/>
      <c r="M477" s="292"/>
      <c r="N477" s="292"/>
      <c r="O477" s="292"/>
      <c r="P477" s="292"/>
      <c r="Q477" s="292"/>
      <c r="R477" s="292"/>
      <c r="S477" s="292"/>
      <c r="T477" s="292"/>
      <c r="U477" s="292"/>
      <c r="V477" s="292"/>
      <c r="W477" s="292"/>
      <c r="X477" s="292"/>
      <c r="Y477" s="292"/>
      <c r="Z477" s="292"/>
      <c r="AA477" s="292"/>
      <c r="AB477" s="292"/>
      <c r="AC477" s="292"/>
    </row>
    <row r="478" customFormat="false" ht="12" hidden="false" customHeight="false" outlineLevel="0" collapsed="false">
      <c r="A478" s="153" t="s">
        <v>830</v>
      </c>
    </row>
    <row r="479" customFormat="false" ht="12.75" hidden="false" customHeight="false" outlineLevel="0" collapsed="false">
      <c r="A479" s="153" t="s">
        <v>831</v>
      </c>
      <c r="D479" s="260"/>
      <c r="E479" s="395" t="n">
        <f aca="false">E580</f>
        <v>1996</v>
      </c>
      <c r="F479" s="395" t="n">
        <f aca="false">F580</f>
        <v>1997</v>
      </c>
      <c r="G479" s="395" t="n">
        <f aca="false">G580</f>
        <v>1998</v>
      </c>
      <c r="H479" s="81" t="str">
        <f aca="false">$H$579&amp;"/"&amp;TEXT($H$580,"0")</f>
        <v>6 M/1999</v>
      </c>
      <c r="I479" s="469" t="str">
        <f aca="false">$I$579&amp;"/"&amp;TEXT($I$580,"0")</f>
        <v>6 M/1999</v>
      </c>
      <c r="J479" s="469" t="n">
        <f aca="false">J580</f>
        <v>2000</v>
      </c>
      <c r="K479" s="469" t="n">
        <f aca="false">K580</f>
        <v>2001</v>
      </c>
      <c r="L479" s="469" t="n">
        <f aca="false">L580</f>
        <v>2002</v>
      </c>
      <c r="M479" s="469" t="n">
        <f aca="false">M580</f>
        <v>2003</v>
      </c>
      <c r="N479" s="469" t="n">
        <f aca="false">N580</f>
        <v>2004</v>
      </c>
      <c r="O479" s="469" t="n">
        <f aca="false">O580</f>
        <v>2005</v>
      </c>
      <c r="P479" s="469" t="n">
        <f aca="false">P580</f>
        <v>2006</v>
      </c>
      <c r="Q479" s="469" t="n">
        <f aca="false">Q580</f>
        <v>2007</v>
      </c>
      <c r="R479" s="469" t="n">
        <f aca="false">R580</f>
        <v>2008</v>
      </c>
      <c r="S479" s="469" t="n">
        <f aca="false">S580</f>
        <v>2009</v>
      </c>
      <c r="T479" s="469" t="n">
        <f aca="false">T580</f>
        <v>2010</v>
      </c>
      <c r="U479" s="469" t="n">
        <f aca="false">U580</f>
        <v>2011</v>
      </c>
      <c r="V479" s="469" t="n">
        <f aca="false">V580</f>
        <v>2012</v>
      </c>
      <c r="W479" s="469" t="n">
        <f aca="false">W580</f>
        <v>2013</v>
      </c>
      <c r="X479" s="469" t="n">
        <f aca="false">X580</f>
        <v>2014</v>
      </c>
      <c r="Y479" s="469" t="n">
        <f aca="false">Y580</f>
        <v>2015</v>
      </c>
      <c r="Z479" s="469" t="n">
        <f aca="false">Z580</f>
        <v>2016</v>
      </c>
      <c r="AA479" s="469" t="n">
        <f aca="false">AA580</f>
        <v>2017</v>
      </c>
      <c r="AB479" s="469" t="n">
        <f aca="false">AB580</f>
        <v>2018</v>
      </c>
      <c r="AC479" s="469" t="n">
        <f aca="false">AC580</f>
        <v>2019</v>
      </c>
    </row>
    <row r="480" customFormat="false" ht="12" hidden="false" customHeight="false" outlineLevel="0" collapsed="false">
      <c r="A480" s="153"/>
      <c r="D480" s="260"/>
      <c r="E480" s="110"/>
      <c r="F480" s="110"/>
      <c r="G480" s="110"/>
      <c r="H480" s="498"/>
      <c r="I480" s="110"/>
      <c r="J480" s="110"/>
      <c r="K480" s="110"/>
      <c r="L480" s="110"/>
      <c r="M480" s="110"/>
      <c r="N480" s="110"/>
      <c r="O480" s="110"/>
      <c r="P480" s="110"/>
      <c r="Q480" s="110"/>
      <c r="R480" s="110"/>
      <c r="S480" s="110"/>
      <c r="T480" s="110"/>
      <c r="U480" s="110"/>
      <c r="V480" s="110"/>
      <c r="W480" s="110"/>
      <c r="X480" s="110"/>
      <c r="Y480" s="110"/>
      <c r="Z480" s="110"/>
      <c r="AA480" s="110"/>
      <c r="AB480" s="110"/>
      <c r="AC480" s="110"/>
      <c r="AD480" s="67"/>
      <c r="AE480" s="67"/>
      <c r="AF480" s="67"/>
      <c r="AG480" s="67"/>
    </row>
    <row r="481" customFormat="false" ht="11.25" hidden="false" customHeight="false" outlineLevel="0" collapsed="false">
      <c r="A481" s="307" t="str">
        <f aca="false">B337</f>
        <v>Revolving Loan</v>
      </c>
      <c r="B481" s="67"/>
      <c r="C481" s="67"/>
      <c r="E481" s="171"/>
      <c r="F481" s="171"/>
      <c r="G481" s="65" t="s">
        <v>708</v>
      </c>
      <c r="H481" s="171"/>
      <c r="I481" s="449" t="n">
        <v>0</v>
      </c>
      <c r="J481" s="449" t="n">
        <v>0</v>
      </c>
      <c r="K481" s="449" t="n">
        <v>0</v>
      </c>
      <c r="L481" s="449" t="n">
        <v>0</v>
      </c>
      <c r="M481" s="449" t="n">
        <v>0</v>
      </c>
      <c r="N481" s="449" t="n">
        <v>0</v>
      </c>
      <c r="O481" s="449" t="n">
        <v>0</v>
      </c>
      <c r="P481" s="449" t="n">
        <v>0</v>
      </c>
      <c r="Q481" s="449" t="n">
        <v>0</v>
      </c>
      <c r="R481" s="449" t="n">
        <v>0</v>
      </c>
      <c r="S481" s="449" t="n">
        <v>0</v>
      </c>
      <c r="T481" s="449" t="n">
        <v>0</v>
      </c>
      <c r="U481" s="449" t="n">
        <v>0</v>
      </c>
      <c r="V481" s="449" t="n">
        <v>0</v>
      </c>
      <c r="W481" s="449" t="n">
        <v>0</v>
      </c>
      <c r="X481" s="449" t="n">
        <v>0</v>
      </c>
      <c r="Y481" s="449" t="n">
        <v>0</v>
      </c>
      <c r="Z481" s="449" t="n">
        <v>0</v>
      </c>
      <c r="AA481" s="449" t="n">
        <v>0</v>
      </c>
      <c r="AB481" s="449" t="n">
        <v>0</v>
      </c>
      <c r="AC481" s="449" t="n">
        <v>0</v>
      </c>
      <c r="AD481" s="67"/>
      <c r="AE481" s="67"/>
      <c r="AF481" s="67"/>
      <c r="AG481" s="67"/>
    </row>
    <row r="482" customFormat="false" ht="11.25" hidden="false" customHeight="false" outlineLevel="0" collapsed="false">
      <c r="A482" s="43"/>
      <c r="B482" s="67"/>
      <c r="C482" s="67"/>
      <c r="G482" s="65" t="s">
        <v>711</v>
      </c>
      <c r="I482" s="449" t="n">
        <v>0</v>
      </c>
      <c r="J482" s="449" t="n">
        <v>0</v>
      </c>
      <c r="K482" s="449" t="n">
        <v>0</v>
      </c>
      <c r="L482" s="449" t="n">
        <v>0</v>
      </c>
      <c r="M482" s="449" t="n">
        <v>0</v>
      </c>
      <c r="N482" s="449" t="n">
        <v>0</v>
      </c>
      <c r="O482" s="449" t="n">
        <v>0</v>
      </c>
      <c r="P482" s="449" t="n">
        <v>0</v>
      </c>
      <c r="Q482" s="449" t="n">
        <v>0</v>
      </c>
      <c r="R482" s="449" t="n">
        <v>0</v>
      </c>
      <c r="S482" s="449" t="n">
        <v>0</v>
      </c>
      <c r="T482" s="449" t="n">
        <v>0</v>
      </c>
      <c r="U482" s="449" t="n">
        <v>0</v>
      </c>
      <c r="V482" s="449" t="n">
        <v>0</v>
      </c>
      <c r="W482" s="449" t="n">
        <v>0</v>
      </c>
      <c r="X482" s="449" t="n">
        <v>0</v>
      </c>
      <c r="Y482" s="449" t="n">
        <v>0</v>
      </c>
      <c r="Z482" s="449" t="n">
        <v>0</v>
      </c>
      <c r="AA482" s="449" t="n">
        <v>0</v>
      </c>
      <c r="AB482" s="449" t="n">
        <v>0</v>
      </c>
      <c r="AC482" s="449" t="n">
        <v>0</v>
      </c>
      <c r="AD482" s="67"/>
      <c r="AE482" s="67"/>
      <c r="AF482" s="67"/>
      <c r="AG482" s="67"/>
    </row>
    <row r="483" customFormat="false" ht="11.25" hidden="false" customHeight="false" outlineLevel="0" collapsed="false">
      <c r="A483" s="43"/>
      <c r="B483" s="67"/>
      <c r="C483" s="67"/>
      <c r="G483" s="65" t="s">
        <v>832</v>
      </c>
      <c r="I483" s="449" t="n">
        <v>100000</v>
      </c>
      <c r="J483" s="449" t="n">
        <v>100000</v>
      </c>
      <c r="K483" s="449" t="n">
        <v>100000</v>
      </c>
      <c r="L483" s="449" t="n">
        <v>100000</v>
      </c>
      <c r="M483" s="449" t="n">
        <v>100000</v>
      </c>
      <c r="N483" s="449" t="n">
        <v>100000</v>
      </c>
      <c r="O483" s="449" t="n">
        <v>100000</v>
      </c>
      <c r="P483" s="449" t="n">
        <v>100000</v>
      </c>
      <c r="Q483" s="449" t="n">
        <v>100000</v>
      </c>
      <c r="R483" s="449" t="n">
        <v>100000</v>
      </c>
      <c r="S483" s="449" t="n">
        <v>100000</v>
      </c>
      <c r="T483" s="449" t="n">
        <v>100000</v>
      </c>
      <c r="U483" s="449" t="n">
        <v>100000</v>
      </c>
      <c r="V483" s="449" t="n">
        <v>100000</v>
      </c>
      <c r="W483" s="449" t="n">
        <v>100000</v>
      </c>
      <c r="X483" s="449" t="n">
        <v>100000</v>
      </c>
      <c r="Y483" s="449" t="n">
        <v>100000</v>
      </c>
      <c r="Z483" s="449" t="n">
        <v>100000</v>
      </c>
      <c r="AA483" s="449" t="n">
        <v>100000</v>
      </c>
      <c r="AB483" s="449" t="n">
        <v>100000</v>
      </c>
      <c r="AC483" s="449" t="n">
        <v>100000</v>
      </c>
      <c r="AD483" s="67"/>
      <c r="AE483" s="67"/>
      <c r="AF483" s="67"/>
      <c r="AG483" s="67"/>
    </row>
    <row r="484" customFormat="false" ht="11.25" hidden="false" customHeight="false" outlineLevel="0" collapsed="false">
      <c r="A484" s="43"/>
      <c r="B484" s="67"/>
      <c r="C484" s="67"/>
      <c r="G484" s="65" t="s">
        <v>833</v>
      </c>
      <c r="I484" s="236" t="n">
        <v>1</v>
      </c>
      <c r="J484" s="236" t="n">
        <f aca="false">I484</f>
        <v>1</v>
      </c>
      <c r="K484" s="236" t="n">
        <f aca="false">J484</f>
        <v>1</v>
      </c>
      <c r="L484" s="236" t="n">
        <f aca="false">K484</f>
        <v>1</v>
      </c>
      <c r="M484" s="236" t="n">
        <f aca="false">L484</f>
        <v>1</v>
      </c>
      <c r="N484" s="236" t="n">
        <f aca="false">M484</f>
        <v>1</v>
      </c>
      <c r="O484" s="236" t="n">
        <f aca="false">N484</f>
        <v>1</v>
      </c>
      <c r="P484" s="236" t="n">
        <f aca="false">O484</f>
        <v>1</v>
      </c>
      <c r="Q484" s="236" t="n">
        <f aca="false">P484</f>
        <v>1</v>
      </c>
      <c r="R484" s="236" t="n">
        <f aca="false">Q484</f>
        <v>1</v>
      </c>
      <c r="S484" s="236" t="n">
        <f aca="false">R484</f>
        <v>1</v>
      </c>
      <c r="T484" s="236" t="n">
        <f aca="false">S484</f>
        <v>1</v>
      </c>
      <c r="U484" s="236" t="n">
        <f aca="false">T484</f>
        <v>1</v>
      </c>
      <c r="V484" s="236" t="n">
        <f aca="false">U484</f>
        <v>1</v>
      </c>
      <c r="W484" s="236" t="n">
        <f aca="false">V484</f>
        <v>1</v>
      </c>
      <c r="X484" s="236" t="n">
        <f aca="false">W484</f>
        <v>1</v>
      </c>
      <c r="Y484" s="236" t="n">
        <f aca="false">X484</f>
        <v>1</v>
      </c>
      <c r="Z484" s="236" t="n">
        <f aca="false">Y484</f>
        <v>1</v>
      </c>
      <c r="AA484" s="236" t="n">
        <f aca="false">Z484</f>
        <v>1</v>
      </c>
      <c r="AB484" s="236" t="n">
        <f aca="false">AA484</f>
        <v>1</v>
      </c>
      <c r="AC484" s="236" t="n">
        <f aca="false">AB484</f>
        <v>1</v>
      </c>
      <c r="AD484" s="67"/>
      <c r="AE484" s="67"/>
      <c r="AF484" s="67"/>
      <c r="AG484" s="67"/>
    </row>
    <row r="485" customFormat="false" ht="11.25" hidden="false" customHeight="false" outlineLevel="0" collapsed="false">
      <c r="A485" s="43"/>
      <c r="B485" s="67"/>
      <c r="C485" s="67"/>
      <c r="G485" s="65"/>
      <c r="O485" s="4"/>
      <c r="AD485" s="67"/>
      <c r="AE485" s="67"/>
      <c r="AF485" s="67"/>
      <c r="AG485" s="67"/>
    </row>
    <row r="486" customFormat="false" ht="11.25" hidden="false" customHeight="false" outlineLevel="0" collapsed="false">
      <c r="A486" s="307" t="str">
        <f aca="false">B338</f>
        <v>Term Loan</v>
      </c>
      <c r="B486" s="67"/>
      <c r="C486" s="67"/>
      <c r="D486" s="172"/>
      <c r="E486" s="172"/>
      <c r="F486" s="172"/>
      <c r="G486" s="65" t="s">
        <v>708</v>
      </c>
      <c r="H486" s="172"/>
      <c r="I486" s="449" t="n">
        <v>0</v>
      </c>
      <c r="J486" s="449" t="n">
        <v>0</v>
      </c>
      <c r="K486" s="449" t="n">
        <v>0</v>
      </c>
      <c r="L486" s="449" t="n">
        <v>0</v>
      </c>
      <c r="M486" s="449" t="n">
        <v>0</v>
      </c>
      <c r="N486" s="449" t="n">
        <v>0</v>
      </c>
      <c r="O486" s="449" t="n">
        <v>0</v>
      </c>
      <c r="P486" s="449" t="n">
        <v>0</v>
      </c>
      <c r="Q486" s="449" t="n">
        <v>0</v>
      </c>
      <c r="R486" s="449" t="n">
        <v>0</v>
      </c>
      <c r="S486" s="449" t="n">
        <v>0</v>
      </c>
      <c r="T486" s="449" t="n">
        <v>0</v>
      </c>
      <c r="U486" s="449" t="n">
        <v>0</v>
      </c>
      <c r="V486" s="449" t="n">
        <v>0</v>
      </c>
      <c r="W486" s="449" t="n">
        <v>0</v>
      </c>
      <c r="X486" s="449" t="n">
        <v>0</v>
      </c>
      <c r="Y486" s="449" t="n">
        <v>0</v>
      </c>
      <c r="Z486" s="449" t="n">
        <v>0</v>
      </c>
      <c r="AA486" s="449" t="n">
        <v>0</v>
      </c>
      <c r="AB486" s="449" t="n">
        <v>0</v>
      </c>
      <c r="AC486" s="449" t="n">
        <v>0</v>
      </c>
    </row>
    <row r="487" customFormat="false" ht="11.25" hidden="false" customHeight="false" outlineLevel="0" collapsed="false">
      <c r="A487" s="43"/>
      <c r="B487" s="67"/>
      <c r="C487" s="67"/>
      <c r="G487" s="65" t="s">
        <v>711</v>
      </c>
      <c r="I487" s="449" t="n">
        <v>0</v>
      </c>
      <c r="J487" s="449" t="n">
        <v>0</v>
      </c>
      <c r="K487" s="449" t="n">
        <v>0</v>
      </c>
      <c r="L487" s="449" t="n">
        <v>0</v>
      </c>
      <c r="M487" s="449" t="n">
        <v>0</v>
      </c>
      <c r="N487" s="449" t="n">
        <v>0</v>
      </c>
      <c r="O487" s="449" t="n">
        <v>0</v>
      </c>
      <c r="P487" s="449" t="n">
        <v>0</v>
      </c>
      <c r="Q487" s="449" t="n">
        <v>0</v>
      </c>
      <c r="R487" s="449" t="n">
        <v>0</v>
      </c>
      <c r="S487" s="449" t="n">
        <v>0</v>
      </c>
      <c r="T487" s="449" t="n">
        <v>0</v>
      </c>
      <c r="U487" s="449" t="n">
        <v>0</v>
      </c>
      <c r="V487" s="449" t="n">
        <v>0</v>
      </c>
      <c r="W487" s="449" t="n">
        <v>0</v>
      </c>
      <c r="X487" s="449" t="n">
        <v>0</v>
      </c>
      <c r="Y487" s="449" t="n">
        <v>0</v>
      </c>
      <c r="Z487" s="449" t="n">
        <v>0</v>
      </c>
      <c r="AA487" s="449" t="n">
        <v>0</v>
      </c>
      <c r="AB487" s="449" t="n">
        <v>0</v>
      </c>
      <c r="AC487" s="449" t="n">
        <v>0</v>
      </c>
    </row>
    <row r="488" customFormat="false" ht="11.25" hidden="false" customHeight="false" outlineLevel="0" collapsed="false">
      <c r="A488" s="43"/>
      <c r="B488" s="67"/>
      <c r="C488" s="67"/>
      <c r="G488" s="65" t="s">
        <v>833</v>
      </c>
      <c r="I488" s="496" t="n">
        <v>0.75</v>
      </c>
      <c r="J488" s="496" t="n">
        <f aca="false">I488</f>
        <v>0.75</v>
      </c>
      <c r="K488" s="496" t="n">
        <f aca="false">J488</f>
        <v>0.75</v>
      </c>
      <c r="L488" s="496" t="n">
        <f aca="false">K488</f>
        <v>0.75</v>
      </c>
      <c r="M488" s="496" t="n">
        <f aca="false">L488</f>
        <v>0.75</v>
      </c>
      <c r="N488" s="496" t="n">
        <f aca="false">M488</f>
        <v>0.75</v>
      </c>
      <c r="O488" s="496" t="n">
        <f aca="false">N488</f>
        <v>0.75</v>
      </c>
      <c r="P488" s="496" t="n">
        <f aca="false">O488</f>
        <v>0.75</v>
      </c>
      <c r="Q488" s="496" t="n">
        <f aca="false">P488</f>
        <v>0.75</v>
      </c>
      <c r="R488" s="496" t="n">
        <f aca="false">Q488</f>
        <v>0.75</v>
      </c>
      <c r="S488" s="496" t="n">
        <f aca="false">R488</f>
        <v>0.75</v>
      </c>
      <c r="T488" s="496" t="n">
        <f aca="false">S488</f>
        <v>0.75</v>
      </c>
      <c r="U488" s="496" t="n">
        <f aca="false">T488</f>
        <v>0.75</v>
      </c>
      <c r="V488" s="496" t="n">
        <f aca="false">U488</f>
        <v>0.75</v>
      </c>
      <c r="W488" s="496" t="n">
        <f aca="false">V488</f>
        <v>0.75</v>
      </c>
      <c r="X488" s="496" t="n">
        <f aca="false">W488</f>
        <v>0.75</v>
      </c>
      <c r="Y488" s="496" t="n">
        <f aca="false">X488</f>
        <v>0.75</v>
      </c>
      <c r="Z488" s="496" t="n">
        <f aca="false">Y488</f>
        <v>0.75</v>
      </c>
      <c r="AA488" s="496" t="n">
        <f aca="false">Z488</f>
        <v>0.75</v>
      </c>
      <c r="AB488" s="496" t="n">
        <f aca="false">AA488</f>
        <v>0.75</v>
      </c>
      <c r="AC488" s="496" t="n">
        <f aca="false">AB488</f>
        <v>0.75</v>
      </c>
    </row>
    <row r="489" customFormat="false" ht="11.25" hidden="false" customHeight="false" outlineLevel="0" collapsed="false">
      <c r="A489" s="43"/>
      <c r="B489" s="43"/>
      <c r="C489" s="67"/>
      <c r="G489" s="65"/>
      <c r="I489" s="499"/>
      <c r="J489" s="500"/>
      <c r="K489" s="500"/>
      <c r="L489" s="500"/>
      <c r="M489" s="500"/>
      <c r="N489" s="500"/>
      <c r="O489" s="500"/>
      <c r="P489" s="500"/>
      <c r="Q489" s="500"/>
      <c r="R489" s="500"/>
      <c r="S489" s="500"/>
      <c r="T489" s="500"/>
      <c r="U489" s="500"/>
      <c r="V489" s="500"/>
      <c r="W489" s="500"/>
      <c r="X489" s="500"/>
      <c r="Y489" s="500"/>
      <c r="Z489" s="500"/>
      <c r="AA489" s="500"/>
      <c r="AB489" s="500"/>
      <c r="AC489" s="500"/>
    </row>
    <row r="490" customFormat="false" ht="11.25" hidden="false" customHeight="false" outlineLevel="0" collapsed="false">
      <c r="A490" s="67"/>
      <c r="C490" s="67"/>
      <c r="G490" s="65"/>
    </row>
    <row r="491" customFormat="false" ht="11.25" hidden="false" customHeight="false" outlineLevel="0" collapsed="false">
      <c r="A491" s="307" t="s">
        <v>834</v>
      </c>
      <c r="B491" s="12" t="s">
        <v>835</v>
      </c>
      <c r="C491" s="67"/>
      <c r="G491" s="501" t="s">
        <v>836</v>
      </c>
      <c r="I491" s="449" t="n">
        <v>0</v>
      </c>
      <c r="J491" s="449" t="n">
        <v>0</v>
      </c>
      <c r="K491" s="449" t="n">
        <v>0</v>
      </c>
      <c r="L491" s="449" t="n">
        <v>0</v>
      </c>
      <c r="M491" s="449" t="n">
        <v>0</v>
      </c>
      <c r="N491" s="449" t="n">
        <v>0</v>
      </c>
      <c r="O491" s="449" t="n">
        <v>0</v>
      </c>
      <c r="P491" s="449" t="n">
        <v>0</v>
      </c>
      <c r="Q491" s="449" t="n">
        <v>0</v>
      </c>
      <c r="R491" s="449" t="n">
        <v>0</v>
      </c>
      <c r="S491" s="449" t="n">
        <v>0</v>
      </c>
      <c r="T491" s="449" t="n">
        <v>0</v>
      </c>
      <c r="U491" s="449" t="n">
        <v>0</v>
      </c>
      <c r="V491" s="449" t="n">
        <v>0</v>
      </c>
      <c r="W491" s="449" t="n">
        <v>0</v>
      </c>
      <c r="X491" s="449" t="n">
        <v>0</v>
      </c>
      <c r="Y491" s="449" t="n">
        <v>0</v>
      </c>
      <c r="Z491" s="449" t="n">
        <v>0</v>
      </c>
      <c r="AA491" s="449" t="n">
        <v>0</v>
      </c>
      <c r="AB491" s="449" t="n">
        <v>0</v>
      </c>
      <c r="AC491" s="449" t="n">
        <v>0</v>
      </c>
    </row>
    <row r="492" customFormat="false" ht="11.25" hidden="false" customHeight="false" outlineLevel="0" collapsed="false">
      <c r="A492" s="43"/>
      <c r="C492" s="67"/>
      <c r="G492" s="65"/>
    </row>
    <row r="493" customFormat="false" ht="11.25" hidden="false" customHeight="false" outlineLevel="0" collapsed="false">
      <c r="A493" s="502" t="str">
        <f aca="false">B339</f>
        <v>Production Payment</v>
      </c>
      <c r="B493" s="5"/>
      <c r="C493" s="5"/>
      <c r="D493" s="5"/>
      <c r="E493" s="5"/>
      <c r="F493" s="5"/>
      <c r="G493" s="7" t="s">
        <v>708</v>
      </c>
      <c r="H493" s="151"/>
      <c r="I493" s="35" t="n">
        <f aca="false">I495*$I$498+I496*$I$499</f>
        <v>0</v>
      </c>
      <c r="J493" s="35" t="n">
        <f aca="false">J495*$I$498+J496*$I$499</f>
        <v>0</v>
      </c>
      <c r="K493" s="35" t="n">
        <f aca="false">K495*$I$498+K496*$I$499</f>
        <v>0</v>
      </c>
      <c r="L493" s="35" t="n">
        <f aca="false">L495*$I$498+L496*$I$499</f>
        <v>0</v>
      </c>
      <c r="M493" s="35" t="n">
        <f aca="false">M495*$I$498+M496*$I$499</f>
        <v>0</v>
      </c>
      <c r="N493" s="35" t="n">
        <f aca="false">N495*$I$498+N496*$I$499</f>
        <v>0</v>
      </c>
      <c r="O493" s="35" t="n">
        <f aca="false">O495*$I$498+O496*$I$499</f>
        <v>0</v>
      </c>
      <c r="P493" s="35" t="n">
        <f aca="false">P495*$I$498+P496*$I$499</f>
        <v>0</v>
      </c>
      <c r="Q493" s="35" t="n">
        <f aca="false">Q495*$I$498+Q496*$I$499</f>
        <v>0</v>
      </c>
      <c r="R493" s="35" t="n">
        <f aca="false">R495*$I$498+R496*$I$499</f>
        <v>0</v>
      </c>
      <c r="S493" s="35" t="n">
        <f aca="false">S495*$I$498+S496*$I$499</f>
        <v>0</v>
      </c>
      <c r="T493" s="35" t="n">
        <f aca="false">T495*$I$498+T496*$I$499</f>
        <v>0</v>
      </c>
      <c r="U493" s="35" t="n">
        <f aca="false">U495*$I$498+U496*$I$499</f>
        <v>0</v>
      </c>
      <c r="V493" s="35" t="n">
        <f aca="false">V495*$I$498+V496*$I$499</f>
        <v>0</v>
      </c>
      <c r="W493" s="35" t="n">
        <f aca="false">W495*$I$498+W496*$I$499</f>
        <v>0</v>
      </c>
      <c r="X493" s="35" t="n">
        <f aca="false">X495*$I$498+X496*$I$499</f>
        <v>0</v>
      </c>
      <c r="Y493" s="35" t="n">
        <f aca="false">Y495*$I$498+Y496*$I$499</f>
        <v>0</v>
      </c>
      <c r="Z493" s="35" t="n">
        <f aca="false">Z495*$I$498+Z496*$I$499</f>
        <v>0</v>
      </c>
      <c r="AA493" s="35" t="n">
        <f aca="false">AA495*$I$498+AA496*$I$499</f>
        <v>0</v>
      </c>
      <c r="AB493" s="35" t="n">
        <f aca="false">AB495*$I$498+AB496*$I$499</f>
        <v>0</v>
      </c>
      <c r="AC493" s="35" t="n">
        <f aca="false">AC495*$I$498+AC496*$I$499</f>
        <v>0</v>
      </c>
    </row>
    <row r="494" customFormat="false" ht="11.25" hidden="false" customHeight="false" outlineLevel="0" collapsed="false">
      <c r="A494" s="502"/>
      <c r="B494" s="5"/>
      <c r="C494" s="5"/>
      <c r="D494" s="5"/>
      <c r="E494" s="5"/>
      <c r="F494" s="5"/>
      <c r="G494" s="7" t="s">
        <v>837</v>
      </c>
      <c r="H494" s="149"/>
      <c r="I494" s="50" t="n">
        <v>0</v>
      </c>
      <c r="J494" s="50" t="n">
        <v>0</v>
      </c>
      <c r="K494" s="50" t="n">
        <v>0</v>
      </c>
      <c r="L494" s="50" t="n">
        <v>0</v>
      </c>
      <c r="M494" s="50" t="n">
        <v>0</v>
      </c>
      <c r="N494" s="50" t="n">
        <v>0</v>
      </c>
      <c r="O494" s="50" t="n">
        <v>0</v>
      </c>
      <c r="P494" s="50" t="n">
        <v>0</v>
      </c>
      <c r="Q494" s="50" t="n">
        <v>0</v>
      </c>
      <c r="R494" s="50" t="n">
        <v>0</v>
      </c>
      <c r="S494" s="50" t="n">
        <v>0</v>
      </c>
      <c r="T494" s="50" t="n">
        <v>0</v>
      </c>
      <c r="U494" s="50" t="n">
        <v>0</v>
      </c>
      <c r="V494" s="50" t="n">
        <v>0</v>
      </c>
      <c r="W494" s="50" t="n">
        <v>0</v>
      </c>
      <c r="X494" s="50" t="n">
        <v>0</v>
      </c>
      <c r="Y494" s="50" t="n">
        <v>0</v>
      </c>
      <c r="Z494" s="50" t="n">
        <v>0</v>
      </c>
      <c r="AA494" s="50" t="n">
        <v>0</v>
      </c>
      <c r="AB494" s="50" t="n">
        <v>0</v>
      </c>
      <c r="AC494" s="50" t="n">
        <v>0</v>
      </c>
    </row>
    <row r="495" customFormat="false" ht="11.25" hidden="false" customHeight="false" outlineLevel="0" collapsed="false">
      <c r="A495" s="44"/>
      <c r="B495" s="5"/>
      <c r="C495" s="5"/>
      <c r="D495" s="5"/>
      <c r="E495" s="5"/>
      <c r="F495" s="503"/>
      <c r="G495" s="131" t="s">
        <v>838</v>
      </c>
      <c r="H495" s="67"/>
      <c r="I495" s="503" t="n">
        <f aca="false">+I957</f>
        <v>0</v>
      </c>
      <c r="J495" s="503" t="n">
        <f aca="false">+J957</f>
        <v>0</v>
      </c>
      <c r="K495" s="503" t="n">
        <f aca="false">+K957</f>
        <v>0</v>
      </c>
      <c r="L495" s="503" t="n">
        <f aca="false">+L957</f>
        <v>0</v>
      </c>
      <c r="M495" s="503" t="n">
        <f aca="false">+M957</f>
        <v>0</v>
      </c>
      <c r="N495" s="503" t="n">
        <f aca="false">+N957</f>
        <v>0</v>
      </c>
      <c r="O495" s="503" t="n">
        <f aca="false">+O957</f>
        <v>0</v>
      </c>
      <c r="P495" s="503" t="n">
        <f aca="false">+P957</f>
        <v>0</v>
      </c>
      <c r="Q495" s="503" t="n">
        <f aca="false">+Q957</f>
        <v>0</v>
      </c>
      <c r="R495" s="503" t="n">
        <f aca="false">+R957</f>
        <v>0</v>
      </c>
      <c r="S495" s="503" t="n">
        <f aca="false">+S957</f>
        <v>0</v>
      </c>
      <c r="T495" s="503" t="n">
        <f aca="false">+T957</f>
        <v>0</v>
      </c>
      <c r="U495" s="503" t="n">
        <f aca="false">+U957</f>
        <v>0</v>
      </c>
      <c r="V495" s="503" t="n">
        <f aca="false">+V957</f>
        <v>0</v>
      </c>
      <c r="W495" s="503" t="n">
        <f aca="false">+W957</f>
        <v>0</v>
      </c>
      <c r="X495" s="503" t="n">
        <f aca="false">+X957</f>
        <v>0</v>
      </c>
      <c r="Y495" s="503" t="n">
        <f aca="false">+Y957</f>
        <v>0</v>
      </c>
      <c r="Z495" s="503" t="n">
        <f aca="false">+Z957</f>
        <v>0</v>
      </c>
      <c r="AA495" s="503" t="n">
        <f aca="false">+AA957</f>
        <v>0</v>
      </c>
      <c r="AB495" s="503" t="n">
        <f aca="false">+AB957</f>
        <v>0</v>
      </c>
      <c r="AC495" s="503" t="n">
        <f aca="false">+AC957</f>
        <v>0</v>
      </c>
    </row>
    <row r="496" customFormat="false" ht="11.25" hidden="false" customHeight="false" outlineLevel="0" collapsed="false">
      <c r="A496" s="44"/>
      <c r="B496" s="5"/>
      <c r="C496" s="5"/>
      <c r="D496" s="5"/>
      <c r="E496" s="5"/>
      <c r="F496" s="5"/>
      <c r="G496" s="131" t="s">
        <v>839</v>
      </c>
      <c r="H496" s="67"/>
      <c r="I496" s="503" t="n">
        <f aca="false">+I958</f>
        <v>0</v>
      </c>
      <c r="J496" s="503" t="n">
        <f aca="false">+J958</f>
        <v>0</v>
      </c>
      <c r="K496" s="503" t="n">
        <f aca="false">+K958</f>
        <v>0</v>
      </c>
      <c r="L496" s="503" t="n">
        <f aca="false">+L958</f>
        <v>0</v>
      </c>
      <c r="M496" s="503" t="n">
        <f aca="false">+M958</f>
        <v>0</v>
      </c>
      <c r="N496" s="503" t="n">
        <f aca="false">+N958</f>
        <v>0</v>
      </c>
      <c r="O496" s="503" t="n">
        <f aca="false">+O958</f>
        <v>0</v>
      </c>
      <c r="P496" s="503" t="n">
        <f aca="false">+P958</f>
        <v>0</v>
      </c>
      <c r="Q496" s="503" t="n">
        <f aca="false">+Q958</f>
        <v>0</v>
      </c>
      <c r="R496" s="503" t="n">
        <f aca="false">+R958</f>
        <v>0</v>
      </c>
      <c r="S496" s="503" t="n">
        <f aca="false">+S958</f>
        <v>0</v>
      </c>
      <c r="T496" s="503" t="n">
        <f aca="false">+T958</f>
        <v>0</v>
      </c>
      <c r="U496" s="503" t="n">
        <f aca="false">+U958</f>
        <v>0</v>
      </c>
      <c r="V496" s="503" t="n">
        <f aca="false">+V958</f>
        <v>0</v>
      </c>
      <c r="W496" s="503" t="n">
        <f aca="false">+W958</f>
        <v>0</v>
      </c>
      <c r="X496" s="503" t="n">
        <f aca="false">+X958</f>
        <v>0</v>
      </c>
      <c r="Y496" s="503" t="n">
        <f aca="false">+Y958</f>
        <v>0</v>
      </c>
      <c r="Z496" s="503" t="n">
        <f aca="false">+Z958</f>
        <v>0</v>
      </c>
      <c r="AA496" s="503" t="n">
        <f aca="false">+AA958</f>
        <v>0</v>
      </c>
      <c r="AB496" s="503" t="n">
        <f aca="false">+AB958</f>
        <v>0</v>
      </c>
      <c r="AC496" s="503" t="n">
        <f aca="false">+AC958</f>
        <v>0</v>
      </c>
    </row>
    <row r="497" customFormat="false" ht="11.25" hidden="false" customHeight="false" outlineLevel="0" collapsed="false">
      <c r="A497" s="43"/>
      <c r="G497" s="67"/>
      <c r="AA497" s="67"/>
    </row>
    <row r="498" customFormat="false" ht="11.25" hidden="false" customHeight="false" outlineLevel="0" collapsed="false">
      <c r="A498" s="43"/>
      <c r="F498" s="67"/>
      <c r="G498" s="67"/>
      <c r="H498" s="65" t="s">
        <v>840</v>
      </c>
      <c r="I498" s="95" t="n">
        <v>0</v>
      </c>
      <c r="J498" s="67"/>
      <c r="AA498" s="67"/>
    </row>
    <row r="499" customFormat="false" ht="11.25" hidden="false" customHeight="false" outlineLevel="0" collapsed="false">
      <c r="A499" s="43"/>
      <c r="B499" s="43"/>
      <c r="F499" s="67"/>
      <c r="G499" s="67"/>
      <c r="H499" s="65" t="s">
        <v>841</v>
      </c>
      <c r="I499" s="504" t="n">
        <v>0</v>
      </c>
      <c r="J499" s="67"/>
      <c r="K499" s="171"/>
      <c r="L499" s="171"/>
      <c r="M499" s="171"/>
      <c r="N499" s="171"/>
      <c r="O499" s="171"/>
      <c r="P499" s="171"/>
      <c r="Q499" s="171"/>
      <c r="R499" s="171"/>
      <c r="S499" s="171"/>
      <c r="AA499" s="67"/>
    </row>
    <row r="500" customFormat="false" ht="11.25" hidden="false" customHeight="false" outlineLevel="0" collapsed="false">
      <c r="A500" s="43"/>
      <c r="C500" s="67"/>
      <c r="G500" s="65"/>
    </row>
    <row r="501" customFormat="false" ht="11.25" hidden="false" customHeight="false" outlineLevel="0" collapsed="false">
      <c r="A501" s="307" t="str">
        <f aca="false">B340</f>
        <v>ESOP Notes</v>
      </c>
      <c r="B501" s="67"/>
      <c r="C501" s="67"/>
      <c r="G501" s="65" t="s">
        <v>708</v>
      </c>
      <c r="I501" s="35" t="n">
        <f aca="false">I631</f>
        <v>0</v>
      </c>
      <c r="J501" s="35" t="n">
        <f aca="false">J631</f>
        <v>0</v>
      </c>
      <c r="K501" s="35" t="n">
        <f aca="false">K631</f>
        <v>0</v>
      </c>
      <c r="L501" s="35" t="n">
        <f aca="false">L631</f>
        <v>0</v>
      </c>
      <c r="M501" s="35" t="n">
        <f aca="false">M631</f>
        <v>0</v>
      </c>
      <c r="N501" s="35" t="n">
        <f aca="false">N631</f>
        <v>0</v>
      </c>
      <c r="O501" s="35" t="n">
        <f aca="false">O631</f>
        <v>0</v>
      </c>
      <c r="P501" s="35" t="n">
        <f aca="false">P631</f>
        <v>0</v>
      </c>
      <c r="Q501" s="35" t="n">
        <f aca="false">Q631</f>
        <v>0</v>
      </c>
      <c r="R501" s="35" t="n">
        <f aca="false">R631</f>
        <v>0</v>
      </c>
      <c r="S501" s="35" t="n">
        <f aca="false">S631</f>
        <v>0</v>
      </c>
      <c r="T501" s="35" t="n">
        <f aca="false">T631</f>
        <v>0</v>
      </c>
      <c r="U501" s="35" t="n">
        <f aca="false">U631</f>
        <v>0</v>
      </c>
      <c r="V501" s="35" t="n">
        <f aca="false">V631</f>
        <v>0</v>
      </c>
      <c r="W501" s="35" t="n">
        <f aca="false">W631</f>
        <v>0</v>
      </c>
      <c r="X501" s="35" t="n">
        <f aca="false">X631</f>
        <v>0</v>
      </c>
      <c r="Y501" s="35" t="n">
        <f aca="false">Y631</f>
        <v>0</v>
      </c>
      <c r="Z501" s="35" t="n">
        <f aca="false">Z631</f>
        <v>0</v>
      </c>
      <c r="AA501" s="35" t="n">
        <f aca="false">AA631</f>
        <v>0</v>
      </c>
      <c r="AB501" s="35" t="n">
        <f aca="false">AB631</f>
        <v>0</v>
      </c>
      <c r="AC501" s="35" t="n">
        <f aca="false">AC631</f>
        <v>0</v>
      </c>
    </row>
    <row r="502" customFormat="false" ht="11.25" hidden="false" customHeight="false" outlineLevel="0" collapsed="false">
      <c r="A502" s="43"/>
      <c r="B502" s="67"/>
      <c r="C502" s="67"/>
      <c r="G502" s="65" t="s">
        <v>837</v>
      </c>
      <c r="I502" s="449" t="n">
        <v>0</v>
      </c>
      <c r="J502" s="449" t="n">
        <v>0</v>
      </c>
      <c r="K502" s="449" t="n">
        <v>0</v>
      </c>
      <c r="L502" s="449" t="n">
        <v>0</v>
      </c>
      <c r="M502" s="449" t="n">
        <v>0</v>
      </c>
      <c r="N502" s="449" t="n">
        <v>0</v>
      </c>
      <c r="O502" s="449" t="n">
        <v>0</v>
      </c>
      <c r="P502" s="449" t="n">
        <v>0</v>
      </c>
      <c r="Q502" s="449" t="n">
        <v>0</v>
      </c>
      <c r="R502" s="449" t="n">
        <v>0</v>
      </c>
      <c r="S502" s="449" t="n">
        <v>0</v>
      </c>
      <c r="T502" s="449" t="n">
        <v>0</v>
      </c>
      <c r="U502" s="449" t="n">
        <v>0</v>
      </c>
      <c r="V502" s="449" t="n">
        <v>0</v>
      </c>
      <c r="W502" s="449" t="n">
        <v>0</v>
      </c>
      <c r="X502" s="449" t="n">
        <v>0</v>
      </c>
      <c r="Y502" s="449" t="n">
        <v>0</v>
      </c>
      <c r="Z502" s="449" t="n">
        <v>0</v>
      </c>
      <c r="AA502" s="449" t="n">
        <v>0</v>
      </c>
      <c r="AB502" s="449" t="n">
        <v>0</v>
      </c>
      <c r="AC502" s="449" t="n">
        <v>0</v>
      </c>
    </row>
    <row r="503" customFormat="false" ht="11.25" hidden="false" customHeight="false" outlineLevel="0" collapsed="false">
      <c r="A503" s="43"/>
      <c r="B503" s="67"/>
      <c r="C503" s="67"/>
      <c r="G503" s="65"/>
    </row>
    <row r="504" customFormat="false" ht="11.25" hidden="false" customHeight="false" outlineLevel="0" collapsed="false">
      <c r="A504" s="307" t="str">
        <f aca="false">B341</f>
        <v>Placement 1</v>
      </c>
      <c r="B504" s="67"/>
      <c r="C504" s="67"/>
      <c r="D504" s="172"/>
      <c r="E504" s="172"/>
      <c r="F504" s="172"/>
      <c r="G504" s="65" t="s">
        <v>708</v>
      </c>
      <c r="H504" s="172"/>
      <c r="I504" s="449" t="n">
        <v>0</v>
      </c>
      <c r="J504" s="449" t="n">
        <v>0</v>
      </c>
      <c r="K504" s="449" t="n">
        <v>0</v>
      </c>
      <c r="L504" s="449" t="n">
        <v>0</v>
      </c>
      <c r="M504" s="449" t="n">
        <v>0</v>
      </c>
      <c r="N504" s="449" t="n">
        <v>0</v>
      </c>
      <c r="O504" s="449" t="n">
        <v>0</v>
      </c>
      <c r="P504" s="449" t="n">
        <v>0</v>
      </c>
      <c r="Q504" s="449" t="n">
        <v>0</v>
      </c>
      <c r="R504" s="449" t="n">
        <v>0</v>
      </c>
      <c r="S504" s="449" t="n">
        <v>0</v>
      </c>
      <c r="T504" s="449" t="n">
        <v>0</v>
      </c>
      <c r="U504" s="449" t="n">
        <v>0</v>
      </c>
      <c r="V504" s="449" t="n">
        <v>0</v>
      </c>
      <c r="W504" s="449" t="n">
        <v>0</v>
      </c>
      <c r="X504" s="449" t="n">
        <v>0</v>
      </c>
      <c r="Y504" s="449" t="n">
        <v>0</v>
      </c>
      <c r="Z504" s="449" t="n">
        <v>0</v>
      </c>
      <c r="AA504" s="449" t="n">
        <v>0</v>
      </c>
      <c r="AB504" s="449" t="n">
        <v>0</v>
      </c>
      <c r="AC504" s="449" t="n">
        <v>0</v>
      </c>
    </row>
    <row r="505" customFormat="false" ht="11.25" hidden="false" customHeight="false" outlineLevel="0" collapsed="false">
      <c r="A505" s="307"/>
      <c r="B505" s="67"/>
      <c r="C505" s="67"/>
      <c r="G505" s="65" t="s">
        <v>711</v>
      </c>
      <c r="I505" s="449" t="n">
        <v>0</v>
      </c>
      <c r="J505" s="449" t="n">
        <v>0</v>
      </c>
      <c r="K505" s="449" t="n">
        <v>0</v>
      </c>
      <c r="L505" s="449" t="n">
        <v>0</v>
      </c>
      <c r="M505" s="449" t="n">
        <v>0</v>
      </c>
      <c r="N505" s="449" t="n">
        <v>0</v>
      </c>
      <c r="O505" s="449" t="n">
        <v>0</v>
      </c>
      <c r="P505" s="449" t="n">
        <v>0</v>
      </c>
      <c r="Q505" s="449" t="n">
        <v>0</v>
      </c>
      <c r="R505" s="449" t="n">
        <v>0</v>
      </c>
      <c r="S505" s="449" t="n">
        <v>0</v>
      </c>
      <c r="T505" s="449" t="n">
        <v>0</v>
      </c>
      <c r="U505" s="449" t="n">
        <v>0</v>
      </c>
      <c r="V505" s="449" t="n">
        <v>0</v>
      </c>
      <c r="W505" s="449" t="n">
        <v>0</v>
      </c>
      <c r="X505" s="449" t="n">
        <v>0</v>
      </c>
      <c r="Y505" s="449" t="n">
        <v>0</v>
      </c>
      <c r="Z505" s="449" t="n">
        <v>0</v>
      </c>
      <c r="AA505" s="449" t="n">
        <v>0</v>
      </c>
      <c r="AB505" s="449" t="n">
        <v>0</v>
      </c>
      <c r="AC505" s="449" t="n">
        <v>0</v>
      </c>
    </row>
    <row r="506" customFormat="false" ht="11.25" hidden="false" customHeight="false" outlineLevel="0" collapsed="false">
      <c r="A506" s="307"/>
    </row>
    <row r="507" customFormat="false" ht="11.25" hidden="false" customHeight="false" outlineLevel="0" collapsed="false">
      <c r="A507" s="307" t="str">
        <f aca="false">B342</f>
        <v>Placement 2</v>
      </c>
      <c r="B507" s="67"/>
      <c r="G507" s="65" t="str">
        <f aca="false">"Cash Flow for Repayment (CLASS B Reserves Income before NPI)*"</f>
        <v>Cash Flow for Repayment (CLASS B Reserves Income before NPI)*</v>
      </c>
      <c r="H507" s="151"/>
      <c r="I507" s="505" t="n">
        <f aca="false">+I956</f>
        <v>-15.5721785</v>
      </c>
      <c r="J507" s="505" t="n">
        <f aca="false">+J956</f>
        <v>-61.1626925</v>
      </c>
      <c r="K507" s="505" t="n">
        <f aca="false">+K956</f>
        <v>-54.3481525</v>
      </c>
      <c r="L507" s="505" t="n">
        <f aca="false">+L956</f>
        <v>-59.534535</v>
      </c>
      <c r="M507" s="505" t="n">
        <f aca="false">+M956</f>
        <v>-74.487706</v>
      </c>
      <c r="N507" s="505" t="n">
        <f aca="false">+N956</f>
        <v>-60.177172</v>
      </c>
      <c r="O507" s="505" t="n">
        <f aca="false">+O956</f>
        <v>-53.957826</v>
      </c>
      <c r="P507" s="505" t="n">
        <f aca="false">+P956</f>
        <v>-46.3863545</v>
      </c>
      <c r="Q507" s="505" t="n">
        <f aca="false">+Q956</f>
        <v>-58.2099935</v>
      </c>
      <c r="R507" s="505" t="n">
        <f aca="false">+R956</f>
        <v>-60.309171</v>
      </c>
      <c r="S507" s="505" t="n">
        <f aca="false">+S956</f>
        <v>-41.588261</v>
      </c>
      <c r="T507" s="505" t="n">
        <f aca="false">+T956</f>
        <v>-41.3316375</v>
      </c>
      <c r="U507" s="505" t="n">
        <f aca="false">+U956</f>
        <v>-41.113831</v>
      </c>
      <c r="V507" s="505" t="n">
        <f aca="false">+V956</f>
        <v>-40.928372</v>
      </c>
      <c r="W507" s="505" t="n">
        <f aca="false">+W956</f>
        <v>-20.449791</v>
      </c>
      <c r="X507" s="505" t="n">
        <f aca="false">+X956</f>
        <v>-20.316088</v>
      </c>
      <c r="Y507" s="505" t="n">
        <f aca="false">+Y956</f>
        <v>-5.5047935</v>
      </c>
      <c r="Z507" s="505" t="n">
        <f aca="false">+Z956</f>
        <v>0</v>
      </c>
      <c r="AA507" s="505" t="n">
        <f aca="false">+AA956</f>
        <v>0</v>
      </c>
      <c r="AB507" s="505" t="n">
        <f aca="false">+AB956</f>
        <v>0</v>
      </c>
      <c r="AC507" s="505" t="n">
        <f aca="false">+AC956</f>
        <v>0</v>
      </c>
    </row>
    <row r="508" customFormat="false" ht="11.25" hidden="false" customHeight="false" outlineLevel="0" collapsed="false">
      <c r="A508" s="307"/>
      <c r="B508" s="67"/>
      <c r="C508" s="67"/>
      <c r="D508" s="65" t="s">
        <v>842</v>
      </c>
      <c r="E508" s="310" t="n">
        <v>0</v>
      </c>
      <c r="G508" s="65" t="s">
        <v>843</v>
      </c>
      <c r="H508" s="67"/>
      <c r="I508" s="505" t="n">
        <f aca="false">I507*$E$508</f>
        <v>-0</v>
      </c>
      <c r="J508" s="505" t="n">
        <f aca="false">J507*$E$508</f>
        <v>-0</v>
      </c>
      <c r="K508" s="505" t="n">
        <f aca="false">K507*$E$508</f>
        <v>-0</v>
      </c>
      <c r="L508" s="505" t="n">
        <f aca="false">L507*$E$508</f>
        <v>-0</v>
      </c>
      <c r="M508" s="505" t="n">
        <f aca="false">M507*$E$508</f>
        <v>-0</v>
      </c>
      <c r="N508" s="505" t="n">
        <f aca="false">N507*$E$508</f>
        <v>-0</v>
      </c>
      <c r="O508" s="505" t="n">
        <f aca="false">O507*$E$508</f>
        <v>-0</v>
      </c>
      <c r="P508" s="505" t="n">
        <f aca="false">P507*$E$508</f>
        <v>-0</v>
      </c>
      <c r="Q508" s="505" t="n">
        <f aca="false">Q507*$E$508</f>
        <v>-0</v>
      </c>
      <c r="R508" s="505" t="n">
        <f aca="false">R507*$E$508</f>
        <v>-0</v>
      </c>
      <c r="S508" s="505" t="n">
        <f aca="false">S507*$E$508</f>
        <v>-0</v>
      </c>
      <c r="T508" s="505" t="n">
        <f aca="false">T507*$E$508</f>
        <v>-0</v>
      </c>
      <c r="U508" s="505" t="n">
        <f aca="false">U507*$E$508</f>
        <v>-0</v>
      </c>
      <c r="V508" s="505" t="n">
        <f aca="false">V507*$E$508</f>
        <v>-0</v>
      </c>
      <c r="W508" s="505" t="n">
        <f aca="false">W507*$E$508</f>
        <v>-0</v>
      </c>
      <c r="X508" s="505" t="n">
        <f aca="false">X507*$E$508</f>
        <v>-0</v>
      </c>
      <c r="Y508" s="505" t="n">
        <f aca="false">Y507*$E$508</f>
        <v>-0</v>
      </c>
      <c r="Z508" s="505" t="n">
        <f aca="false">Z507*$E$508</f>
        <v>0</v>
      </c>
      <c r="AA508" s="505" t="n">
        <f aca="false">AA507*$E$508</f>
        <v>0</v>
      </c>
      <c r="AB508" s="505" t="n">
        <f aca="false">AB507*$E$508</f>
        <v>0</v>
      </c>
      <c r="AC508" s="505" t="n">
        <f aca="false">AC507*$E$508</f>
        <v>0</v>
      </c>
    </row>
    <row r="509" customFormat="false" ht="11.25" hidden="false" customHeight="false" outlineLevel="0" collapsed="false">
      <c r="A509" s="307"/>
      <c r="B509" s="67"/>
      <c r="C509" s="67"/>
      <c r="D509" s="67"/>
      <c r="E509" s="67"/>
      <c r="G509" s="65" t="s">
        <v>844</v>
      </c>
      <c r="H509" s="67"/>
      <c r="I509" s="482" t="e">
        <f aca="false">I96</f>
        <v>#N/A</v>
      </c>
      <c r="J509" s="482" t="e">
        <f aca="false">J96</f>
        <v>#N/A</v>
      </c>
      <c r="K509" s="482" t="e">
        <f aca="false">K96</f>
        <v>#N/A</v>
      </c>
      <c r="L509" s="482" t="e">
        <f aca="false">L96</f>
        <v>#N/A</v>
      </c>
      <c r="M509" s="482" t="e">
        <f aca="false">M96</f>
        <v>#N/A</v>
      </c>
      <c r="N509" s="482" t="e">
        <f aca="false">N96</f>
        <v>#N/A</v>
      </c>
      <c r="O509" s="482" t="e">
        <f aca="false">O96</f>
        <v>#N/A</v>
      </c>
      <c r="P509" s="482" t="e">
        <f aca="false">P96</f>
        <v>#N/A</v>
      </c>
      <c r="Q509" s="482" t="e">
        <f aca="false">Q96</f>
        <v>#N/A</v>
      </c>
      <c r="R509" s="482" t="e">
        <f aca="false">R96</f>
        <v>#N/A</v>
      </c>
      <c r="S509" s="482" t="e">
        <f aca="false">S96</f>
        <v>#N/A</v>
      </c>
      <c r="T509" s="482" t="e">
        <f aca="false">T96</f>
        <v>#N/A</v>
      </c>
      <c r="U509" s="482" t="e">
        <f aca="false">U96</f>
        <v>#N/A</v>
      </c>
      <c r="V509" s="482" t="e">
        <f aca="false">V96</f>
        <v>#N/A</v>
      </c>
      <c r="W509" s="482" t="e">
        <f aca="false">W96</f>
        <v>#N/A</v>
      </c>
      <c r="X509" s="482" t="e">
        <f aca="false">X96</f>
        <v>#N/A</v>
      </c>
      <c r="Y509" s="482" t="e">
        <f aca="false">Y96</f>
        <v>#N/A</v>
      </c>
      <c r="Z509" s="482" t="e">
        <f aca="false">Z96</f>
        <v>#N/A</v>
      </c>
      <c r="AA509" s="482" t="e">
        <f aca="false">AA96</f>
        <v>#N/A</v>
      </c>
      <c r="AB509" s="482" t="e">
        <f aca="false">AB96</f>
        <v>#N/A</v>
      </c>
      <c r="AC509" s="482" t="e">
        <f aca="false">AC96</f>
        <v>#N/A</v>
      </c>
      <c r="AD509" s="482"/>
      <c r="AE509" s="482"/>
    </row>
    <row r="510" customFormat="false" ht="11.25" hidden="false" customHeight="false" outlineLevel="0" collapsed="false">
      <c r="A510" s="307"/>
      <c r="B510" s="67"/>
      <c r="C510" s="67"/>
      <c r="D510" s="67"/>
      <c r="E510" s="67"/>
      <c r="F510" s="67"/>
      <c r="G510" s="65" t="s">
        <v>708</v>
      </c>
      <c r="H510" s="67"/>
      <c r="I510" s="506" t="e">
        <f aca="false">MIN(I508-I509,I268-I269)</f>
        <v>#N/A</v>
      </c>
      <c r="J510" s="506" t="e">
        <f aca="false">MIN(J508-J509,J268-J269)</f>
        <v>#N/A</v>
      </c>
      <c r="K510" s="506" t="e">
        <f aca="false">MIN(K508-K509,K268-K269)</f>
        <v>#N/A</v>
      </c>
      <c r="L510" s="506" t="e">
        <f aca="false">MIN(L508-L509,L268-L269)</f>
        <v>#N/A</v>
      </c>
      <c r="M510" s="506" t="e">
        <f aca="false">MIN(M508-M509,M268-M269)</f>
        <v>#N/A</v>
      </c>
      <c r="N510" s="506" t="e">
        <f aca="false">MIN(N508-N509,N268-N269)</f>
        <v>#N/A</v>
      </c>
      <c r="O510" s="506" t="e">
        <f aca="false">MIN(O508-O509,O268-O269)</f>
        <v>#N/A</v>
      </c>
      <c r="P510" s="506" t="e">
        <f aca="false">MIN(P508-P509,P268-P269)</f>
        <v>#N/A</v>
      </c>
      <c r="Q510" s="506" t="e">
        <f aca="false">MIN(Q508-Q509,Q268-Q269)</f>
        <v>#N/A</v>
      </c>
      <c r="R510" s="506" t="e">
        <f aca="false">MIN(R508-R509,R268-R269)</f>
        <v>#N/A</v>
      </c>
      <c r="S510" s="506" t="e">
        <f aca="false">MIN(S508-S509,S268-S269)</f>
        <v>#N/A</v>
      </c>
      <c r="T510" s="506" t="e">
        <f aca="false">MIN(T508-T509,T268-T269)</f>
        <v>#N/A</v>
      </c>
      <c r="U510" s="506" t="e">
        <f aca="false">MIN(U508-U509,U268-U269)</f>
        <v>#N/A</v>
      </c>
      <c r="V510" s="506" t="e">
        <f aca="false">MIN(V508-V509,V268-V269)</f>
        <v>#N/A</v>
      </c>
      <c r="W510" s="506" t="e">
        <f aca="false">MIN(W508-W509,W268-W269)</f>
        <v>#N/A</v>
      </c>
      <c r="X510" s="506" t="e">
        <f aca="false">MIN(X508-X509,X268-X269)</f>
        <v>#N/A</v>
      </c>
      <c r="Y510" s="506" t="e">
        <f aca="false">MIN(Y508-Y509,Y268-Y269)</f>
        <v>#N/A</v>
      </c>
      <c r="Z510" s="506" t="e">
        <f aca="false">MIN(Z508-Z509,Z268-Z269)</f>
        <v>#N/A</v>
      </c>
      <c r="AA510" s="506" t="e">
        <f aca="false">MIN(AA508-AA509,AA268-AA269)</f>
        <v>#N/A</v>
      </c>
      <c r="AB510" s="506" t="e">
        <f aca="false">MIN(AB508-AB509,AB268-AB269)</f>
        <v>#N/A</v>
      </c>
      <c r="AC510" s="506" t="e">
        <f aca="false">MIN(AC508-AC509,AC268-AC269)</f>
        <v>#N/A</v>
      </c>
      <c r="AD510" s="506"/>
      <c r="AE510" s="506"/>
    </row>
    <row r="511" customFormat="false" ht="11.25" hidden="false" customHeight="false" outlineLevel="0" collapsed="false">
      <c r="A511" s="307"/>
      <c r="B511" s="67"/>
      <c r="C511" s="67"/>
      <c r="D511" s="65" t="s">
        <v>845</v>
      </c>
      <c r="E511" s="310" t="n">
        <v>0</v>
      </c>
      <c r="F511" s="67"/>
      <c r="G511" s="65" t="s">
        <v>837</v>
      </c>
      <c r="H511" s="67"/>
      <c r="I511" s="506" t="n">
        <f aca="false">-$E$511*I942</f>
        <v>-0</v>
      </c>
      <c r="J511" s="506" t="n">
        <f aca="false">-$E$511*J942</f>
        <v>-0</v>
      </c>
      <c r="K511" s="506" t="n">
        <f aca="false">-$E$511*K942</f>
        <v>-0</v>
      </c>
      <c r="L511" s="506" t="n">
        <f aca="false">-$E$511*L942</f>
        <v>-0</v>
      </c>
      <c r="M511" s="506" t="n">
        <f aca="false">-$E$511*M942</f>
        <v>-0</v>
      </c>
      <c r="N511" s="506" t="n">
        <f aca="false">-$E$511*N942</f>
        <v>-0</v>
      </c>
      <c r="O511" s="506" t="n">
        <f aca="false">-$E$511*O942</f>
        <v>-0</v>
      </c>
      <c r="P511" s="506" t="n">
        <f aca="false">-$E$511*P942</f>
        <v>-0</v>
      </c>
      <c r="Q511" s="506" t="n">
        <f aca="false">-$E$511*Q942</f>
        <v>-0</v>
      </c>
      <c r="R511" s="506" t="n">
        <f aca="false">-$E$511*R942</f>
        <v>-0</v>
      </c>
      <c r="S511" s="506" t="n">
        <f aca="false">-$E$511*S942</f>
        <v>-0</v>
      </c>
      <c r="T511" s="506" t="n">
        <f aca="false">-$E$511*T942</f>
        <v>-0</v>
      </c>
      <c r="U511" s="506" t="n">
        <f aca="false">-$E$511*U942</f>
        <v>-0</v>
      </c>
      <c r="V511" s="506" t="n">
        <f aca="false">-$E$511*V942</f>
        <v>-0</v>
      </c>
      <c r="W511" s="506" t="n">
        <f aca="false">-$E$511*W942</f>
        <v>-0</v>
      </c>
      <c r="X511" s="506" t="n">
        <f aca="false">-$E$511*X942</f>
        <v>-0</v>
      </c>
      <c r="Y511" s="506" t="n">
        <f aca="false">-$E$511*Y942</f>
        <v>-0</v>
      </c>
      <c r="Z511" s="506" t="n">
        <f aca="false">-$E$511*Z942</f>
        <v>-0</v>
      </c>
      <c r="AA511" s="506" t="n">
        <f aca="false">-$E$511*AA942</f>
        <v>-0</v>
      </c>
      <c r="AB511" s="506" t="n">
        <f aca="false">-$E$511*AB942</f>
        <v>-0</v>
      </c>
      <c r="AC511" s="506" t="n">
        <f aca="false">-$E$511*AC942</f>
        <v>-0</v>
      </c>
    </row>
    <row r="512" customFormat="false" ht="11.25" hidden="false" customHeight="false" outlineLevel="0" collapsed="false">
      <c r="A512" s="307"/>
      <c r="B512" s="43"/>
      <c r="D512" s="97" t="s">
        <v>846</v>
      </c>
      <c r="G512" s="67"/>
      <c r="I512" s="171"/>
      <c r="J512" s="171"/>
      <c r="K512" s="171"/>
      <c r="L512" s="171"/>
      <c r="M512" s="171"/>
      <c r="N512" s="171"/>
      <c r="O512" s="171"/>
      <c r="P512" s="171"/>
      <c r="Q512" s="171"/>
      <c r="R512" s="171"/>
      <c r="S512" s="171"/>
      <c r="T512" s="171"/>
      <c r="U512" s="171"/>
      <c r="V512" s="171"/>
      <c r="W512" s="171"/>
      <c r="X512" s="171"/>
      <c r="Y512" s="171"/>
      <c r="Z512" s="171"/>
      <c r="AA512" s="171"/>
      <c r="AB512" s="171"/>
      <c r="AC512" s="171"/>
    </row>
    <row r="513" customFormat="false" ht="11.25" hidden="false" customHeight="false" outlineLevel="0" collapsed="false">
      <c r="A513" s="307"/>
      <c r="B513" s="43"/>
      <c r="I513" s="482"/>
      <c r="J513" s="171"/>
      <c r="K513" s="171"/>
      <c r="L513" s="171"/>
      <c r="M513" s="171"/>
      <c r="N513" s="171"/>
      <c r="O513" s="171"/>
      <c r="P513" s="171"/>
      <c r="Q513" s="171"/>
      <c r="R513" s="171"/>
      <c r="S513" s="171"/>
      <c r="T513" s="171"/>
      <c r="U513" s="171"/>
      <c r="V513" s="171"/>
      <c r="W513" s="171"/>
      <c r="X513" s="171"/>
      <c r="Y513" s="171"/>
      <c r="Z513" s="171"/>
      <c r="AA513" s="171"/>
      <c r="AB513" s="171"/>
      <c r="AC513" s="171"/>
    </row>
    <row r="514" customFormat="false" ht="11.25" hidden="false" customHeight="false" outlineLevel="0" collapsed="false">
      <c r="A514" s="307" t="str">
        <f aca="false">B343</f>
        <v>Sr Sub Notes</v>
      </c>
      <c r="B514" s="67"/>
      <c r="D514" s="172"/>
      <c r="E514" s="172"/>
      <c r="F514" s="172"/>
      <c r="G514" s="65" t="s">
        <v>708</v>
      </c>
      <c r="I514" s="449" t="n">
        <v>0</v>
      </c>
      <c r="J514" s="449" t="n">
        <f aca="false">I514</f>
        <v>0</v>
      </c>
      <c r="K514" s="449" t="n">
        <f aca="false">J514</f>
        <v>0</v>
      </c>
      <c r="L514" s="449" t="n">
        <v>0</v>
      </c>
      <c r="M514" s="449" t="n">
        <v>0</v>
      </c>
      <c r="N514" s="449" t="n">
        <v>0</v>
      </c>
      <c r="O514" s="449" t="n">
        <v>0</v>
      </c>
      <c r="P514" s="449" t="n">
        <v>0</v>
      </c>
      <c r="Q514" s="449" t="n">
        <v>0</v>
      </c>
      <c r="R514" s="449" t="n">
        <v>0</v>
      </c>
      <c r="S514" s="449" t="n">
        <v>0</v>
      </c>
      <c r="T514" s="449" t="n">
        <v>0</v>
      </c>
      <c r="U514" s="449" t="n">
        <v>0</v>
      </c>
      <c r="V514" s="449" t="n">
        <v>0</v>
      </c>
      <c r="W514" s="449" t="n">
        <v>0</v>
      </c>
      <c r="X514" s="449" t="n">
        <v>0</v>
      </c>
      <c r="Y514" s="449" t="n">
        <v>0</v>
      </c>
      <c r="Z514" s="449" t="n">
        <v>0</v>
      </c>
      <c r="AA514" s="449" t="n">
        <v>0</v>
      </c>
      <c r="AB514" s="449" t="n">
        <v>0</v>
      </c>
      <c r="AC514" s="449" t="n">
        <v>0</v>
      </c>
    </row>
    <row r="515" customFormat="false" ht="11.25" hidden="false" customHeight="false" outlineLevel="0" collapsed="false">
      <c r="A515" s="307"/>
      <c r="B515" s="67"/>
      <c r="G515" s="65" t="s">
        <v>711</v>
      </c>
      <c r="I515" s="449" t="n">
        <v>0</v>
      </c>
      <c r="J515" s="449" t="n">
        <v>0</v>
      </c>
      <c r="K515" s="449" t="n">
        <v>0</v>
      </c>
      <c r="L515" s="449" t="n">
        <v>0</v>
      </c>
      <c r="M515" s="449" t="n">
        <v>0</v>
      </c>
      <c r="N515" s="449" t="n">
        <v>0</v>
      </c>
      <c r="O515" s="449" t="n">
        <v>0</v>
      </c>
      <c r="P515" s="449" t="n">
        <v>0</v>
      </c>
      <c r="Q515" s="449" t="n">
        <v>0</v>
      </c>
      <c r="R515" s="449" t="n">
        <v>0</v>
      </c>
      <c r="S515" s="449" t="n">
        <v>0</v>
      </c>
      <c r="T515" s="449" t="n">
        <v>0</v>
      </c>
      <c r="U515" s="449" t="n">
        <v>0</v>
      </c>
      <c r="V515" s="449" t="n">
        <v>0</v>
      </c>
      <c r="W515" s="449" t="n">
        <v>0</v>
      </c>
      <c r="X515" s="449" t="n">
        <v>0</v>
      </c>
      <c r="Y515" s="449" t="n">
        <v>0</v>
      </c>
      <c r="Z515" s="449" t="n">
        <v>0</v>
      </c>
      <c r="AA515" s="449" t="n">
        <v>0</v>
      </c>
      <c r="AB515" s="449" t="n">
        <v>0</v>
      </c>
      <c r="AC515" s="449" t="n">
        <v>0</v>
      </c>
    </row>
    <row r="516" customFormat="false" ht="11.25" hidden="false" customHeight="false" outlineLevel="0" collapsed="false">
      <c r="A516" s="307"/>
      <c r="B516" s="67"/>
      <c r="D516" s="507"/>
      <c r="E516" s="507"/>
      <c r="F516" s="507"/>
      <c r="G516" s="65" t="s">
        <v>847</v>
      </c>
      <c r="I516" s="508" t="s">
        <v>848</v>
      </c>
      <c r="J516" s="508" t="s">
        <v>848</v>
      </c>
      <c r="K516" s="508" t="s">
        <v>848</v>
      </c>
      <c r="L516" s="508" t="s">
        <v>848</v>
      </c>
      <c r="M516" s="508" t="s">
        <v>848</v>
      </c>
      <c r="N516" s="508" t="s">
        <v>848</v>
      </c>
      <c r="O516" s="508" t="s">
        <v>848</v>
      </c>
      <c r="P516" s="508" t="s">
        <v>848</v>
      </c>
      <c r="Q516" s="508" t="s">
        <v>848</v>
      </c>
      <c r="R516" s="508" t="s">
        <v>848</v>
      </c>
      <c r="S516" s="508" t="s">
        <v>848</v>
      </c>
      <c r="T516" s="508" t="s">
        <v>848</v>
      </c>
      <c r="U516" s="508" t="s">
        <v>848</v>
      </c>
      <c r="V516" s="508" t="s">
        <v>848</v>
      </c>
      <c r="W516" s="508" t="s">
        <v>848</v>
      </c>
      <c r="X516" s="508" t="s">
        <v>848</v>
      </c>
      <c r="Y516" s="508" t="s">
        <v>848</v>
      </c>
      <c r="Z516" s="508" t="s">
        <v>848</v>
      </c>
      <c r="AA516" s="508" t="s">
        <v>848</v>
      </c>
      <c r="AB516" s="508" t="s">
        <v>848</v>
      </c>
      <c r="AC516" s="508" t="s">
        <v>848</v>
      </c>
    </row>
    <row r="517" customFormat="false" ht="11.25" hidden="false" customHeight="false" outlineLevel="0" collapsed="false">
      <c r="A517" s="307"/>
      <c r="B517" s="67"/>
      <c r="G517" s="65" t="s">
        <v>849</v>
      </c>
      <c r="I517" s="508" t="s">
        <v>826</v>
      </c>
    </row>
    <row r="518" customFormat="false" ht="11.25" hidden="false" customHeight="false" outlineLevel="0" collapsed="false">
      <c r="A518" s="307"/>
      <c r="B518" s="67"/>
      <c r="D518" s="500"/>
      <c r="E518" s="500"/>
      <c r="F518" s="500"/>
      <c r="G518" s="65" t="s">
        <v>850</v>
      </c>
      <c r="H518" s="260"/>
      <c r="I518" s="496" t="n">
        <f aca="false">I568</f>
        <v>0</v>
      </c>
      <c r="J518" s="496" t="n">
        <f aca="false">J568</f>
        <v>0</v>
      </c>
      <c r="K518" s="496" t="n">
        <f aca="false">K568</f>
        <v>0</v>
      </c>
      <c r="L518" s="496" t="n">
        <f aca="false">L568</f>
        <v>0</v>
      </c>
      <c r="M518" s="496" t="n">
        <f aca="false">M568</f>
        <v>0</v>
      </c>
      <c r="N518" s="496" t="n">
        <f aca="false">N568</f>
        <v>0</v>
      </c>
      <c r="O518" s="496" t="n">
        <f aca="false">O568</f>
        <v>0</v>
      </c>
      <c r="P518" s="496" t="n">
        <f aca="false">P568</f>
        <v>0</v>
      </c>
      <c r="Q518" s="496" t="n">
        <f aca="false">Q568</f>
        <v>0</v>
      </c>
      <c r="R518" s="496" t="n">
        <f aca="false">R568</f>
        <v>0</v>
      </c>
      <c r="S518" s="496" t="n">
        <f aca="false">S568</f>
        <v>0</v>
      </c>
      <c r="T518" s="496" t="n">
        <f aca="false">T568</f>
        <v>0</v>
      </c>
      <c r="U518" s="496" t="n">
        <f aca="false">U568</f>
        <v>0</v>
      </c>
      <c r="V518" s="496" t="n">
        <f aca="false">V568</f>
        <v>0</v>
      </c>
      <c r="W518" s="496" t="n">
        <f aca="false">W568</f>
        <v>0</v>
      </c>
      <c r="X518" s="496" t="n">
        <f aca="false">X568</f>
        <v>0</v>
      </c>
      <c r="Y518" s="496" t="n">
        <f aca="false">Y568</f>
        <v>0</v>
      </c>
      <c r="Z518" s="496" t="n">
        <f aca="false">Z568</f>
        <v>0</v>
      </c>
      <c r="AA518" s="496" t="n">
        <f aca="false">AA568</f>
        <v>0</v>
      </c>
      <c r="AB518" s="496" t="n">
        <f aca="false">AB568</f>
        <v>0</v>
      </c>
      <c r="AC518" s="496" t="n">
        <f aca="false">AC568</f>
        <v>0</v>
      </c>
    </row>
    <row r="519" customFormat="false" ht="11.25" hidden="false" customHeight="false" outlineLevel="0" collapsed="false">
      <c r="A519" s="307"/>
      <c r="B519" s="67"/>
      <c r="G519" s="65" t="s">
        <v>851</v>
      </c>
      <c r="H519" s="417"/>
      <c r="I519" s="417" t="n">
        <f aca="false">IF(I516="YES",((1+I518/2)^2-1)*I276*-1,0)*C328</f>
        <v>0</v>
      </c>
      <c r="J519" s="417" t="n">
        <f aca="false">IF(J516="YES",((1+J518/2)^2-1)*J276*-1,0)</f>
        <v>0</v>
      </c>
      <c r="K519" s="417" t="n">
        <f aca="false">IF(K516="YES",((1+K518/2)^2-1)*K276*-1,0)</f>
        <v>0</v>
      </c>
      <c r="L519" s="417" t="n">
        <f aca="false">IF(L516="YES",((1+L518/2)^2-1)*L276*-1,0)</f>
        <v>0</v>
      </c>
      <c r="M519" s="417" t="n">
        <f aca="false">IF(M516="YES",((1+M518/2)^2-1)*M276*-1,0)</f>
        <v>0</v>
      </c>
      <c r="N519" s="417" t="n">
        <f aca="false">IF(N516="YES",((1+N518/2)^2-1)*N276*-1,0)</f>
        <v>0</v>
      </c>
      <c r="O519" s="417" t="n">
        <f aca="false">IF(O516="YES",((1+O518/2)^2-1)*O276*-1,0)</f>
        <v>0</v>
      </c>
      <c r="P519" s="417" t="n">
        <f aca="false">IF(P516="YES",((1+P518/2)^2-1)*P276*-1,0)</f>
        <v>0</v>
      </c>
      <c r="Q519" s="417" t="n">
        <f aca="false">IF(Q516="YES",((1+Q518/2)^2-1)*Q276*-1,0)</f>
        <v>0</v>
      </c>
      <c r="R519" s="417" t="n">
        <f aca="false">IF(R516="YES",((1+R518/2)^2-1)*R276*-1,0)</f>
        <v>0</v>
      </c>
      <c r="S519" s="417" t="n">
        <f aca="false">IF(S516="YES",((1+S518/2)^2-1)*S276*-1,0)</f>
        <v>0</v>
      </c>
      <c r="T519" s="417" t="n">
        <f aca="false">IF(T516="YES",((1+T518/2)^2-1)*T276*-1,0)</f>
        <v>0</v>
      </c>
      <c r="U519" s="417" t="n">
        <f aca="false">IF(U516="YES",((1+U518/2)^2-1)*U276*-1,0)</f>
        <v>0</v>
      </c>
      <c r="V519" s="417" t="n">
        <f aca="false">IF(V516="YES",((1+V518/2)^2-1)*V276*-1,0)</f>
        <v>0</v>
      </c>
      <c r="W519" s="417" t="n">
        <f aca="false">IF(W516="YES",((1+W518/2)^2-1)*W276*-1,0)</f>
        <v>0</v>
      </c>
      <c r="X519" s="417" t="n">
        <f aca="false">IF(X516="YES",((1+X518/2)^2-1)*X276*-1,0)</f>
        <v>0</v>
      </c>
      <c r="Y519" s="417" t="n">
        <f aca="false">IF(Y516="YES",((1+Y518/2)^2-1)*Y276*-1,0)</f>
        <v>0</v>
      </c>
      <c r="Z519" s="417" t="n">
        <f aca="false">IF(Z516="YES",((1+Z518/2)^2-1)*Z276*-1,0)</f>
        <v>0</v>
      </c>
      <c r="AA519" s="417" t="n">
        <f aca="false">IF(AA516="YES",((1+AA518/2)^2-1)*AA276*-1,0)</f>
        <v>0</v>
      </c>
      <c r="AB519" s="417" t="n">
        <f aca="false">IF(AB516="YES",((1+AB518/2)^2-1)*AB276*-1,0)</f>
        <v>0</v>
      </c>
      <c r="AC519" s="417" t="n">
        <f aca="false">IF(AC516="YES",((1+AC518/2)^2-1)*AC276*-1,0)</f>
        <v>0</v>
      </c>
    </row>
    <row r="520" customFormat="false" ht="11.25" hidden="false" customHeight="false" outlineLevel="0" collapsed="false">
      <c r="A520" s="307"/>
      <c r="B520" s="67"/>
      <c r="G520" s="65" t="s">
        <v>833</v>
      </c>
      <c r="H520" s="417"/>
      <c r="I520" s="496" t="n">
        <v>0.75</v>
      </c>
      <c r="J520" s="496" t="n">
        <f aca="false">I520</f>
        <v>0.75</v>
      </c>
      <c r="K520" s="496" t="n">
        <f aca="false">J520</f>
        <v>0.75</v>
      </c>
      <c r="L520" s="496" t="n">
        <f aca="false">K520</f>
        <v>0.75</v>
      </c>
      <c r="M520" s="496" t="n">
        <f aca="false">L520</f>
        <v>0.75</v>
      </c>
      <c r="N520" s="496" t="n">
        <f aca="false">M520</f>
        <v>0.75</v>
      </c>
      <c r="O520" s="496" t="n">
        <f aca="false">N520</f>
        <v>0.75</v>
      </c>
      <c r="P520" s="496" t="n">
        <f aca="false">O520</f>
        <v>0.75</v>
      </c>
      <c r="Q520" s="496" t="n">
        <f aca="false">P520</f>
        <v>0.75</v>
      </c>
      <c r="R520" s="496" t="n">
        <f aca="false">Q520</f>
        <v>0.75</v>
      </c>
      <c r="S520" s="496" t="n">
        <f aca="false">R520</f>
        <v>0.75</v>
      </c>
      <c r="T520" s="496" t="n">
        <f aca="false">S520</f>
        <v>0.75</v>
      </c>
      <c r="U520" s="496" t="n">
        <f aca="false">T520</f>
        <v>0.75</v>
      </c>
      <c r="V520" s="496" t="n">
        <f aca="false">U520</f>
        <v>0.75</v>
      </c>
      <c r="W520" s="496" t="n">
        <f aca="false">V520</f>
        <v>0.75</v>
      </c>
      <c r="X520" s="496" t="n">
        <f aca="false">W520</f>
        <v>0.75</v>
      </c>
      <c r="Y520" s="496" t="n">
        <f aca="false">X520</f>
        <v>0.75</v>
      </c>
      <c r="Z520" s="496" t="n">
        <f aca="false">Y520</f>
        <v>0.75</v>
      </c>
      <c r="AA520" s="496" t="n">
        <f aca="false">Z520</f>
        <v>0.75</v>
      </c>
      <c r="AB520" s="496" t="n">
        <f aca="false">AA520</f>
        <v>0.75</v>
      </c>
      <c r="AC520" s="496" t="n">
        <f aca="false">AB520</f>
        <v>0.75</v>
      </c>
    </row>
    <row r="521" customFormat="false" ht="11.25" hidden="false" customHeight="false" outlineLevel="0" collapsed="false">
      <c r="A521" s="307"/>
      <c r="H521" s="260"/>
    </row>
    <row r="522" customFormat="false" ht="11.25" hidden="false" customHeight="false" outlineLevel="0" collapsed="false">
      <c r="A522" s="307" t="str">
        <f aca="false">B344</f>
        <v>Jr. Sub Notes</v>
      </c>
      <c r="B522" s="67"/>
      <c r="G522" s="65" t="s">
        <v>708</v>
      </c>
      <c r="H522" s="260"/>
      <c r="I522" s="449" t="n">
        <v>0</v>
      </c>
      <c r="J522" s="449" t="n">
        <f aca="false">I522</f>
        <v>0</v>
      </c>
      <c r="K522" s="449" t="n">
        <f aca="false">J522</f>
        <v>0</v>
      </c>
      <c r="L522" s="449" t="n">
        <v>0</v>
      </c>
      <c r="M522" s="449" t="n">
        <v>0</v>
      </c>
      <c r="N522" s="449" t="n">
        <v>0</v>
      </c>
      <c r="O522" s="449" t="n">
        <v>0</v>
      </c>
      <c r="P522" s="449" t="n">
        <v>0</v>
      </c>
      <c r="Q522" s="449" t="n">
        <v>0</v>
      </c>
      <c r="R522" s="449" t="n">
        <v>0</v>
      </c>
      <c r="S522" s="449" t="n">
        <v>0</v>
      </c>
      <c r="T522" s="449" t="n">
        <v>0</v>
      </c>
      <c r="U522" s="449" t="n">
        <v>0</v>
      </c>
      <c r="V522" s="449" t="n">
        <v>0</v>
      </c>
      <c r="W522" s="449" t="n">
        <v>0</v>
      </c>
      <c r="X522" s="449" t="n">
        <v>0</v>
      </c>
      <c r="Y522" s="449" t="n">
        <v>0</v>
      </c>
      <c r="Z522" s="449" t="n">
        <v>0</v>
      </c>
      <c r="AA522" s="449" t="n">
        <v>0</v>
      </c>
      <c r="AB522" s="449" t="n">
        <v>0</v>
      </c>
      <c r="AC522" s="449" t="n">
        <v>0</v>
      </c>
    </row>
    <row r="523" customFormat="false" ht="11.25" hidden="false" customHeight="false" outlineLevel="0" collapsed="false">
      <c r="A523" s="307"/>
      <c r="B523" s="67"/>
      <c r="G523" s="65" t="s">
        <v>711</v>
      </c>
      <c r="H523" s="260"/>
      <c r="I523" s="449" t="n">
        <v>0</v>
      </c>
      <c r="J523" s="449" t="n">
        <v>0</v>
      </c>
      <c r="K523" s="449" t="n">
        <v>0</v>
      </c>
      <c r="L523" s="449" t="n">
        <v>0</v>
      </c>
      <c r="M523" s="449" t="n">
        <v>0</v>
      </c>
      <c r="N523" s="449" t="n">
        <v>0</v>
      </c>
      <c r="O523" s="449" t="n">
        <v>0</v>
      </c>
      <c r="P523" s="449" t="n">
        <v>0</v>
      </c>
      <c r="Q523" s="449" t="n">
        <v>0</v>
      </c>
      <c r="R523" s="449" t="n">
        <v>0</v>
      </c>
      <c r="S523" s="449" t="n">
        <v>0</v>
      </c>
      <c r="T523" s="449" t="n">
        <v>0</v>
      </c>
      <c r="U523" s="449" t="n">
        <v>0</v>
      </c>
      <c r="V523" s="449" t="n">
        <v>0</v>
      </c>
      <c r="W523" s="449" t="n">
        <v>0</v>
      </c>
      <c r="X523" s="449" t="n">
        <v>0</v>
      </c>
      <c r="Y523" s="449" t="n">
        <v>0</v>
      </c>
      <c r="Z523" s="449" t="n">
        <v>0</v>
      </c>
      <c r="AA523" s="449" t="n">
        <v>0</v>
      </c>
      <c r="AB523" s="449" t="n">
        <v>0</v>
      </c>
      <c r="AC523" s="449" t="n">
        <v>0</v>
      </c>
    </row>
    <row r="524" customFormat="false" ht="11.25" hidden="false" customHeight="false" outlineLevel="0" collapsed="false">
      <c r="A524" s="307"/>
      <c r="B524" s="67"/>
      <c r="G524" s="65" t="s">
        <v>847</v>
      </c>
      <c r="I524" s="508" t="s">
        <v>848</v>
      </c>
      <c r="J524" s="508" t="s">
        <v>848</v>
      </c>
      <c r="K524" s="508" t="s">
        <v>848</v>
      </c>
      <c r="L524" s="508" t="s">
        <v>848</v>
      </c>
      <c r="M524" s="508" t="s">
        <v>848</v>
      </c>
      <c r="N524" s="508" t="s">
        <v>848</v>
      </c>
      <c r="O524" s="508" t="s">
        <v>848</v>
      </c>
      <c r="P524" s="508" t="s">
        <v>848</v>
      </c>
      <c r="Q524" s="508" t="s">
        <v>848</v>
      </c>
      <c r="R524" s="508" t="s">
        <v>848</v>
      </c>
      <c r="S524" s="508" t="s">
        <v>848</v>
      </c>
      <c r="T524" s="508" t="s">
        <v>848</v>
      </c>
      <c r="U524" s="508" t="s">
        <v>848</v>
      </c>
      <c r="V524" s="508" t="s">
        <v>848</v>
      </c>
      <c r="W524" s="508" t="s">
        <v>848</v>
      </c>
      <c r="X524" s="508" t="s">
        <v>848</v>
      </c>
      <c r="Y524" s="508" t="s">
        <v>848</v>
      </c>
      <c r="Z524" s="508" t="s">
        <v>848</v>
      </c>
      <c r="AA524" s="508" t="s">
        <v>848</v>
      </c>
      <c r="AB524" s="508" t="s">
        <v>848</v>
      </c>
      <c r="AC524" s="508" t="s">
        <v>848</v>
      </c>
    </row>
    <row r="525" customFormat="false" ht="11.25" hidden="false" customHeight="false" outlineLevel="0" collapsed="false">
      <c r="A525" s="307"/>
      <c r="B525" s="67"/>
      <c r="G525" s="65" t="s">
        <v>849</v>
      </c>
      <c r="I525" s="508" t="s">
        <v>826</v>
      </c>
    </row>
    <row r="526" customFormat="false" ht="11.25" hidden="false" customHeight="false" outlineLevel="0" collapsed="false">
      <c r="A526" s="307"/>
      <c r="B526" s="67"/>
      <c r="G526" s="65" t="s">
        <v>850</v>
      </c>
      <c r="H526" s="260"/>
      <c r="I526" s="496" t="n">
        <f aca="false">I569</f>
        <v>0</v>
      </c>
      <c r="J526" s="496" t="n">
        <f aca="false">J569</f>
        <v>0</v>
      </c>
      <c r="K526" s="496" t="n">
        <f aca="false">K569</f>
        <v>0</v>
      </c>
      <c r="L526" s="496" t="n">
        <f aca="false">L569</f>
        <v>0</v>
      </c>
      <c r="M526" s="496" t="n">
        <f aca="false">M569</f>
        <v>0</v>
      </c>
      <c r="N526" s="496" t="n">
        <f aca="false">N569</f>
        <v>0</v>
      </c>
      <c r="O526" s="496" t="n">
        <f aca="false">O569</f>
        <v>0</v>
      </c>
      <c r="P526" s="496" t="n">
        <f aca="false">P569</f>
        <v>0</v>
      </c>
      <c r="Q526" s="496" t="n">
        <f aca="false">Q569</f>
        <v>0</v>
      </c>
      <c r="R526" s="496" t="n">
        <f aca="false">R569</f>
        <v>0</v>
      </c>
      <c r="S526" s="496" t="n">
        <f aca="false">S569</f>
        <v>0</v>
      </c>
      <c r="T526" s="496" t="n">
        <f aca="false">T569</f>
        <v>0</v>
      </c>
      <c r="U526" s="496" t="n">
        <f aca="false">U569</f>
        <v>0</v>
      </c>
      <c r="V526" s="496" t="n">
        <f aca="false">V569</f>
        <v>0</v>
      </c>
      <c r="W526" s="496" t="n">
        <f aca="false">W569</f>
        <v>0</v>
      </c>
      <c r="X526" s="496" t="n">
        <f aca="false">X569</f>
        <v>0</v>
      </c>
      <c r="Y526" s="496" t="n">
        <f aca="false">Y569</f>
        <v>0</v>
      </c>
      <c r="Z526" s="496" t="n">
        <f aca="false">Z569</f>
        <v>0</v>
      </c>
      <c r="AA526" s="496" t="n">
        <f aca="false">AA569</f>
        <v>0</v>
      </c>
      <c r="AB526" s="496" t="n">
        <f aca="false">AB569</f>
        <v>0</v>
      </c>
      <c r="AC526" s="496" t="n">
        <f aca="false">AC569</f>
        <v>0</v>
      </c>
    </row>
    <row r="527" customFormat="false" ht="11.25" hidden="false" customHeight="false" outlineLevel="0" collapsed="false">
      <c r="A527" s="307"/>
      <c r="B527" s="67"/>
      <c r="G527" s="65" t="s">
        <v>851</v>
      </c>
      <c r="H527" s="417"/>
      <c r="I527" s="417" t="n">
        <f aca="false">IF(I524="YES",((1+I526/2)^2-1)*I283*-1,0)*C328</f>
        <v>0</v>
      </c>
      <c r="J527" s="417" t="n">
        <f aca="false">IF(J524="YES",((1+J526/2)^2-1)*J283*-1,0)</f>
        <v>0</v>
      </c>
      <c r="K527" s="417" t="n">
        <f aca="false">IF(K524="YES",((1+K526/2)^2-1)*K283*-1,0)</f>
        <v>0</v>
      </c>
      <c r="L527" s="417" t="n">
        <f aca="false">IF(L524="YES",((1+L526/2)^2-1)*L283*-1,0)</f>
        <v>0</v>
      </c>
      <c r="M527" s="417" t="n">
        <f aca="false">IF(M524="YES",((1+M526/2)^2-1)*M283*-1,0)</f>
        <v>0</v>
      </c>
      <c r="N527" s="417" t="n">
        <f aca="false">IF(N524="YES",((1+N526/2)^2-1)*N283*-1,0)</f>
        <v>0</v>
      </c>
      <c r="O527" s="417" t="n">
        <f aca="false">IF(O524="YES",((1+O526/2)^2-1)*O283*-1,0)</f>
        <v>0</v>
      </c>
      <c r="P527" s="417" t="n">
        <f aca="false">IF(P524="YES",((1+P526/2)^2-1)*P283*-1,0)</f>
        <v>0</v>
      </c>
      <c r="Q527" s="417" t="n">
        <f aca="false">IF(Q524="YES",((1+Q526/2)^2-1)*Q283*-1,0)</f>
        <v>0</v>
      </c>
      <c r="R527" s="417" t="n">
        <f aca="false">IF(R524="YES",((1+R526/2)^2-1)*R283*-1,0)</f>
        <v>0</v>
      </c>
      <c r="S527" s="417" t="n">
        <f aca="false">IF(S524="YES",((1+S526/2)^2-1)*S283*-1,0)</f>
        <v>0</v>
      </c>
      <c r="T527" s="417" t="n">
        <f aca="false">IF(T524="YES",((1+T526/2)^2-1)*T283*-1,0)</f>
        <v>0</v>
      </c>
      <c r="U527" s="417" t="n">
        <f aca="false">IF(U524="YES",((1+U526/2)^2-1)*U283*-1,0)</f>
        <v>0</v>
      </c>
      <c r="V527" s="417" t="n">
        <f aca="false">IF(V524="YES",((1+V526/2)^2-1)*V283*-1,0)</f>
        <v>0</v>
      </c>
      <c r="W527" s="417" t="n">
        <f aca="false">IF(W524="YES",((1+W526/2)^2-1)*W283*-1,0)</f>
        <v>0</v>
      </c>
      <c r="X527" s="417" t="n">
        <f aca="false">IF(X524="YES",((1+X526/2)^2-1)*X283*-1,0)</f>
        <v>0</v>
      </c>
      <c r="Y527" s="417" t="n">
        <f aca="false">IF(Y524="YES",((1+Y526/2)^2-1)*Y283*-1,0)</f>
        <v>0</v>
      </c>
      <c r="Z527" s="417" t="n">
        <f aca="false">IF(Z524="YES",((1+Z526/2)^2-1)*Z283*-1,0)</f>
        <v>0</v>
      </c>
      <c r="AA527" s="417" t="n">
        <f aca="false">IF(AA524="YES",((1+AA526/2)^2-1)*AA283*-1,0)</f>
        <v>0</v>
      </c>
      <c r="AB527" s="417" t="n">
        <f aca="false">IF(AB524="YES",((1+AB526/2)^2-1)*AB283*-1,0)</f>
        <v>0</v>
      </c>
      <c r="AC527" s="417" t="n">
        <f aca="false">IF(AC524="YES",((1+AC526/2)^2-1)*AC283*-1,0)</f>
        <v>0</v>
      </c>
    </row>
    <row r="528" customFormat="false" ht="11.25" hidden="false" customHeight="false" outlineLevel="0" collapsed="false">
      <c r="A528" s="307"/>
      <c r="H528" s="260"/>
    </row>
    <row r="529" customFormat="false" ht="11.25" hidden="false" customHeight="false" outlineLevel="0" collapsed="false">
      <c r="A529" s="307" t="str">
        <f aca="false">B345</f>
        <v>Preferred Stock</v>
      </c>
      <c r="B529" s="67"/>
      <c r="G529" s="65" t="s">
        <v>852</v>
      </c>
      <c r="H529" s="260"/>
      <c r="I529" s="449" t="n">
        <v>0</v>
      </c>
      <c r="J529" s="449" t="n">
        <v>0</v>
      </c>
      <c r="K529" s="449" t="n">
        <v>0</v>
      </c>
      <c r="L529" s="449" t="n">
        <v>0</v>
      </c>
      <c r="M529" s="449" t="n">
        <v>0</v>
      </c>
      <c r="N529" s="449" t="n">
        <v>0</v>
      </c>
      <c r="O529" s="449" t="n">
        <v>0</v>
      </c>
      <c r="P529" s="449" t="n">
        <v>0</v>
      </c>
      <c r="Q529" s="449" t="n">
        <v>0</v>
      </c>
      <c r="R529" s="449" t="n">
        <v>0</v>
      </c>
      <c r="S529" s="449" t="n">
        <v>0</v>
      </c>
      <c r="T529" s="449" t="n">
        <v>0</v>
      </c>
      <c r="U529" s="449" t="n">
        <v>0</v>
      </c>
      <c r="V529" s="449" t="n">
        <v>0</v>
      </c>
      <c r="W529" s="449" t="n">
        <v>0</v>
      </c>
      <c r="X529" s="449" t="n">
        <v>0</v>
      </c>
      <c r="Y529" s="449" t="n">
        <v>0</v>
      </c>
      <c r="Z529" s="449" t="n">
        <v>0</v>
      </c>
      <c r="AA529" s="449" t="n">
        <v>0</v>
      </c>
      <c r="AB529" s="449" t="n">
        <v>0</v>
      </c>
      <c r="AC529" s="449" t="n">
        <v>0</v>
      </c>
    </row>
    <row r="530" customFormat="false" ht="11.25" hidden="false" customHeight="false" outlineLevel="0" collapsed="false">
      <c r="A530" s="307"/>
      <c r="B530" s="67"/>
      <c r="G530" s="65" t="s">
        <v>853</v>
      </c>
      <c r="H530" s="260"/>
      <c r="I530" s="449" t="n">
        <v>0</v>
      </c>
      <c r="J530" s="449" t="n">
        <v>0</v>
      </c>
      <c r="K530" s="449" t="n">
        <v>0</v>
      </c>
      <c r="L530" s="449" t="n">
        <v>0</v>
      </c>
      <c r="M530" s="449" t="n">
        <v>0</v>
      </c>
      <c r="N530" s="449" t="n">
        <v>0</v>
      </c>
      <c r="O530" s="449" t="n">
        <v>0</v>
      </c>
      <c r="P530" s="449" t="n">
        <v>0</v>
      </c>
      <c r="Q530" s="449" t="n">
        <v>0</v>
      </c>
      <c r="R530" s="449" t="n">
        <v>0</v>
      </c>
      <c r="S530" s="449" t="n">
        <v>0</v>
      </c>
      <c r="T530" s="449" t="n">
        <v>0</v>
      </c>
      <c r="U530" s="449" t="n">
        <v>0</v>
      </c>
      <c r="V530" s="449" t="n">
        <v>0</v>
      </c>
      <c r="W530" s="449" t="n">
        <v>0</v>
      </c>
      <c r="X530" s="449" t="n">
        <v>0</v>
      </c>
      <c r="Y530" s="449" t="n">
        <v>0</v>
      </c>
      <c r="Z530" s="449" t="n">
        <v>0</v>
      </c>
      <c r="AA530" s="449" t="n">
        <v>0</v>
      </c>
      <c r="AB530" s="449" t="n">
        <v>0</v>
      </c>
      <c r="AC530" s="449" t="n">
        <v>0</v>
      </c>
    </row>
    <row r="531" customFormat="false" ht="11.25" hidden="false" customHeight="false" outlineLevel="0" collapsed="false">
      <c r="A531" s="307"/>
      <c r="B531" s="67"/>
      <c r="D531" s="260"/>
      <c r="E531" s="260"/>
      <c r="F531" s="260"/>
      <c r="G531" s="65" t="s">
        <v>854</v>
      </c>
      <c r="H531" s="507"/>
      <c r="I531" s="508" t="s">
        <v>848</v>
      </c>
      <c r="J531" s="508" t="s">
        <v>848</v>
      </c>
      <c r="K531" s="508" t="s">
        <v>848</v>
      </c>
      <c r="L531" s="508" t="s">
        <v>848</v>
      </c>
      <c r="M531" s="508" t="s">
        <v>848</v>
      </c>
      <c r="N531" s="508" t="s">
        <v>848</v>
      </c>
      <c r="O531" s="508" t="s">
        <v>848</v>
      </c>
      <c r="P531" s="508" t="s">
        <v>848</v>
      </c>
      <c r="Q531" s="508" t="s">
        <v>848</v>
      </c>
      <c r="R531" s="508" t="s">
        <v>848</v>
      </c>
      <c r="S531" s="508" t="s">
        <v>848</v>
      </c>
      <c r="T531" s="508" t="s">
        <v>848</v>
      </c>
      <c r="U531" s="508" t="s">
        <v>848</v>
      </c>
      <c r="V531" s="508" t="s">
        <v>848</v>
      </c>
      <c r="W531" s="508" t="s">
        <v>848</v>
      </c>
      <c r="X531" s="508" t="s">
        <v>848</v>
      </c>
      <c r="Y531" s="508" t="s">
        <v>848</v>
      </c>
      <c r="Z531" s="508" t="s">
        <v>848</v>
      </c>
      <c r="AA531" s="508" t="s">
        <v>848</v>
      </c>
      <c r="AB531" s="508" t="s">
        <v>848</v>
      </c>
      <c r="AC531" s="508" t="s">
        <v>848</v>
      </c>
    </row>
    <row r="532" customFormat="false" ht="11.25" hidden="false" customHeight="false" outlineLevel="0" collapsed="false">
      <c r="A532" s="307"/>
      <c r="B532" s="67"/>
      <c r="G532" s="65" t="s">
        <v>855</v>
      </c>
      <c r="H532" s="260"/>
      <c r="I532" s="496" t="n">
        <f aca="false">I570</f>
        <v>0.06</v>
      </c>
      <c r="J532" s="496" t="n">
        <f aca="false">J570</f>
        <v>0.06</v>
      </c>
      <c r="K532" s="496" t="n">
        <f aca="false">K570</f>
        <v>0.06</v>
      </c>
      <c r="L532" s="496" t="n">
        <f aca="false">L570</f>
        <v>0.06</v>
      </c>
      <c r="M532" s="496" t="n">
        <f aca="false">M570</f>
        <v>0.06</v>
      </c>
      <c r="N532" s="496" t="n">
        <f aca="false">N570</f>
        <v>0.06</v>
      </c>
      <c r="O532" s="496" t="n">
        <f aca="false">O570</f>
        <v>0.06</v>
      </c>
      <c r="P532" s="496" t="n">
        <f aca="false">P570</f>
        <v>0.06</v>
      </c>
      <c r="Q532" s="496" t="n">
        <f aca="false">Q570</f>
        <v>0.06</v>
      </c>
      <c r="R532" s="496" t="n">
        <f aca="false">R570</f>
        <v>0.06</v>
      </c>
      <c r="S532" s="496" t="n">
        <f aca="false">S570</f>
        <v>0.06</v>
      </c>
      <c r="T532" s="496" t="n">
        <f aca="false">T570</f>
        <v>0.06</v>
      </c>
      <c r="U532" s="496" t="n">
        <f aca="false">U570</f>
        <v>0.06</v>
      </c>
      <c r="V532" s="496" t="n">
        <f aca="false">V570</f>
        <v>0.06</v>
      </c>
      <c r="W532" s="496" t="n">
        <f aca="false">W570</f>
        <v>0.06</v>
      </c>
      <c r="X532" s="496" t="n">
        <f aca="false">X570</f>
        <v>0.06</v>
      </c>
      <c r="Y532" s="496" t="n">
        <f aca="false">Y570</f>
        <v>0.06</v>
      </c>
      <c r="Z532" s="496" t="n">
        <f aca="false">Z570</f>
        <v>0.06</v>
      </c>
      <c r="AA532" s="496" t="n">
        <f aca="false">AA570</f>
        <v>0.06</v>
      </c>
      <c r="AB532" s="496" t="n">
        <f aca="false">AB570</f>
        <v>0.06</v>
      </c>
      <c r="AC532" s="496" t="n">
        <f aca="false">AC570</f>
        <v>0.06</v>
      </c>
    </row>
    <row r="533" customFormat="false" ht="11.25" hidden="false" customHeight="false" outlineLevel="0" collapsed="false">
      <c r="A533" s="307"/>
      <c r="B533" s="67"/>
      <c r="G533" s="65" t="s">
        <v>856</v>
      </c>
      <c r="H533" s="417"/>
      <c r="I533" s="417" t="n">
        <f aca="false">IF(I531="YES",((1+I532/4)^4-1)*I289,0)*C328</f>
        <v>0</v>
      </c>
      <c r="J533" s="417" t="n">
        <f aca="false">IF(J531="YES",((1+J532/4)^4-1)*J289,0)</f>
        <v>0</v>
      </c>
      <c r="K533" s="417" t="n">
        <f aca="false">IF(K531="YES",((1+K532/4)^4-1)*K289,0)</f>
        <v>0</v>
      </c>
      <c r="L533" s="417" t="n">
        <f aca="false">IF(L531="YES",((1+L532/4)^4-1)*L289,0)</f>
        <v>0</v>
      </c>
      <c r="M533" s="417" t="n">
        <f aca="false">IF(M531="YES",((1+M532/4)^4-1)*M289,0)</f>
        <v>0</v>
      </c>
      <c r="N533" s="417" t="n">
        <f aca="false">IF(N531="YES",((1+N532/4)^4-1)*N289,0)</f>
        <v>0</v>
      </c>
      <c r="O533" s="417" t="n">
        <f aca="false">IF(O531="YES",((1+O532/4)^4-1)*O289,0)</f>
        <v>0</v>
      </c>
      <c r="P533" s="417" t="n">
        <f aca="false">IF(P531="YES",((1+P532/4)^4-1)*P289,0)</f>
        <v>0</v>
      </c>
      <c r="Q533" s="417" t="n">
        <f aca="false">IF(Q531="YES",((1+Q532/4)^4-1)*Q289,0)</f>
        <v>0</v>
      </c>
      <c r="R533" s="417" t="n">
        <f aca="false">IF(R531="YES",((1+R532/4)^4-1)*R289,0)</f>
        <v>0</v>
      </c>
      <c r="S533" s="417" t="n">
        <f aca="false">IF(S531="YES",((1+S532/4)^4-1)*S289,0)</f>
        <v>0</v>
      </c>
      <c r="T533" s="417" t="n">
        <f aca="false">IF(T531="YES",((1+T532/4)^4-1)*T289,0)</f>
        <v>0</v>
      </c>
      <c r="U533" s="417" t="n">
        <f aca="false">IF(U531="YES",((1+U532/4)^4-1)*U289,0)</f>
        <v>0</v>
      </c>
      <c r="V533" s="417" t="n">
        <f aca="false">IF(V531="YES",((1+V532/4)^4-1)*V289,0)</f>
        <v>0</v>
      </c>
      <c r="W533" s="417" t="n">
        <f aca="false">IF(W531="YES",((1+W532/4)^4-1)*W289,0)</f>
        <v>0</v>
      </c>
      <c r="X533" s="417" t="n">
        <f aca="false">IF(X531="YES",((1+X532/4)^4-1)*X289,0)</f>
        <v>0</v>
      </c>
      <c r="Y533" s="417" t="n">
        <f aca="false">IF(Y531="YES",((1+Y532/4)^4-1)*Y289,0)</f>
        <v>0</v>
      </c>
      <c r="Z533" s="417" t="n">
        <f aca="false">IF(Z531="YES",((1+Z532/4)^4-1)*Z289,0)</f>
        <v>0</v>
      </c>
      <c r="AA533" s="417" t="n">
        <f aca="false">IF(AA531="YES",((1+AA532/4)^4-1)*AA289,0)</f>
        <v>0</v>
      </c>
      <c r="AB533" s="417" t="n">
        <f aca="false">IF(AB531="YES",((1+AB532/4)^4-1)*AB289,0)</f>
        <v>0</v>
      </c>
      <c r="AC533" s="417" t="n">
        <f aca="false">IF(AC531="YES",((1+AC532/4)^4-1)*AC289,0)</f>
        <v>0</v>
      </c>
    </row>
    <row r="534" customFormat="false" ht="11.25" hidden="false" customHeight="false" outlineLevel="0" collapsed="false">
      <c r="A534" s="307"/>
      <c r="B534" s="67"/>
      <c r="G534" s="65"/>
    </row>
    <row r="535" customFormat="false" ht="11.25" hidden="false" customHeight="false" outlineLevel="0" collapsed="false">
      <c r="A535" s="307" t="str">
        <f aca="false">B346</f>
        <v>Common Stock</v>
      </c>
      <c r="B535" s="67"/>
      <c r="G535" s="65" t="s">
        <v>857</v>
      </c>
      <c r="I535" s="449" t="n">
        <v>0</v>
      </c>
      <c r="J535" s="449" t="n">
        <v>0</v>
      </c>
      <c r="K535" s="449" t="n">
        <v>0</v>
      </c>
      <c r="L535" s="449" t="n">
        <v>0</v>
      </c>
      <c r="M535" s="449" t="n">
        <v>0</v>
      </c>
      <c r="N535" s="449" t="n">
        <v>0</v>
      </c>
      <c r="O535" s="449" t="n">
        <v>0</v>
      </c>
      <c r="P535" s="449" t="n">
        <v>0</v>
      </c>
      <c r="Q535" s="449" t="n">
        <v>0</v>
      </c>
      <c r="R535" s="449" t="n">
        <v>0</v>
      </c>
      <c r="S535" s="449" t="n">
        <v>0</v>
      </c>
      <c r="T535" s="449" t="n">
        <v>0</v>
      </c>
      <c r="U535" s="449" t="n">
        <v>0</v>
      </c>
      <c r="V535" s="449" t="n">
        <v>0</v>
      </c>
      <c r="W535" s="449" t="n">
        <v>0</v>
      </c>
      <c r="X535" s="449" t="n">
        <v>0</v>
      </c>
      <c r="Y535" s="449" t="n">
        <v>0</v>
      </c>
      <c r="Z535" s="449" t="n">
        <v>0</v>
      </c>
      <c r="AA535" s="449" t="n">
        <v>0</v>
      </c>
      <c r="AB535" s="449" t="n">
        <v>0</v>
      </c>
      <c r="AC535" s="449" t="n">
        <v>0</v>
      </c>
    </row>
    <row r="536" customFormat="false" ht="11.25" hidden="false" customHeight="false" outlineLevel="0" collapsed="false">
      <c r="A536" s="307"/>
      <c r="B536" s="67"/>
      <c r="G536" s="65" t="s">
        <v>853</v>
      </c>
      <c r="I536" s="449" t="n">
        <v>0</v>
      </c>
      <c r="J536" s="449" t="n">
        <v>0</v>
      </c>
      <c r="K536" s="449" t="n">
        <v>0</v>
      </c>
      <c r="L536" s="449" t="n">
        <v>0</v>
      </c>
      <c r="M536" s="449" t="n">
        <v>0</v>
      </c>
      <c r="N536" s="449" t="n">
        <v>0</v>
      </c>
      <c r="O536" s="449" t="n">
        <v>0</v>
      </c>
      <c r="P536" s="449" t="n">
        <v>0</v>
      </c>
      <c r="Q536" s="449" t="n">
        <v>0</v>
      </c>
      <c r="R536" s="449" t="n">
        <v>0</v>
      </c>
      <c r="S536" s="449" t="n">
        <v>0</v>
      </c>
      <c r="T536" s="449" t="n">
        <v>0</v>
      </c>
      <c r="U536" s="449" t="n">
        <v>0</v>
      </c>
      <c r="V536" s="449" t="n">
        <v>0</v>
      </c>
      <c r="W536" s="449" t="n">
        <v>0</v>
      </c>
      <c r="X536" s="449" t="n">
        <v>0</v>
      </c>
      <c r="Y536" s="449" t="n">
        <v>0</v>
      </c>
      <c r="Z536" s="449" t="n">
        <v>0</v>
      </c>
      <c r="AA536" s="449" t="n">
        <v>0</v>
      </c>
      <c r="AB536" s="449" t="n">
        <v>0</v>
      </c>
      <c r="AC536" s="449" t="n">
        <v>0</v>
      </c>
    </row>
    <row r="537" customFormat="false" ht="11.25" hidden="false" customHeight="false" outlineLevel="0" collapsed="false">
      <c r="A537" s="307"/>
      <c r="B537" s="67"/>
      <c r="G537" s="65"/>
    </row>
    <row r="538" customFormat="false" ht="11.25" hidden="false" customHeight="false" outlineLevel="0" collapsed="false">
      <c r="A538" s="307" t="s">
        <v>858</v>
      </c>
      <c r="B538" s="67"/>
      <c r="C538" s="67"/>
      <c r="F538" s="65" t="s">
        <v>721</v>
      </c>
      <c r="G538" s="65" t="s">
        <v>708</v>
      </c>
      <c r="H538" s="509"/>
      <c r="I538" s="449" t="n">
        <v>0</v>
      </c>
      <c r="J538" s="449" t="n">
        <v>0</v>
      </c>
      <c r="K538" s="449" t="n">
        <v>0</v>
      </c>
      <c r="L538" s="449" t="n">
        <v>0</v>
      </c>
      <c r="M538" s="449" t="n">
        <v>0</v>
      </c>
      <c r="N538" s="449" t="n">
        <v>0</v>
      </c>
      <c r="O538" s="449" t="n">
        <v>0</v>
      </c>
      <c r="P538" s="449" t="n">
        <v>0</v>
      </c>
      <c r="Q538" s="449" t="n">
        <v>0</v>
      </c>
      <c r="R538" s="449" t="n">
        <v>0</v>
      </c>
      <c r="S538" s="449" t="n">
        <v>0</v>
      </c>
      <c r="T538" s="449" t="n">
        <v>0</v>
      </c>
      <c r="U538" s="449" t="n">
        <v>0</v>
      </c>
      <c r="V538" s="449" t="n">
        <v>0</v>
      </c>
      <c r="W538" s="449" t="n">
        <v>0</v>
      </c>
      <c r="X538" s="449" t="n">
        <v>0</v>
      </c>
      <c r="Y538" s="449" t="n">
        <v>0</v>
      </c>
      <c r="Z538" s="449" t="n">
        <v>0</v>
      </c>
      <c r="AA538" s="449" t="n">
        <v>0</v>
      </c>
      <c r="AB538" s="449" t="n">
        <v>0</v>
      </c>
      <c r="AC538" s="449" t="n">
        <v>0</v>
      </c>
    </row>
    <row r="539" customFormat="false" ht="11.25" hidden="false" customHeight="false" outlineLevel="0" collapsed="false">
      <c r="A539" s="307"/>
      <c r="B539" s="67"/>
      <c r="C539" s="67"/>
      <c r="F539" s="65"/>
      <c r="G539" s="65" t="s">
        <v>837</v>
      </c>
      <c r="I539" s="449" t="n">
        <v>0</v>
      </c>
      <c r="J539" s="449" t="n">
        <v>0</v>
      </c>
      <c r="K539" s="449" t="n">
        <v>0</v>
      </c>
      <c r="L539" s="449" t="n">
        <v>0</v>
      </c>
      <c r="M539" s="449" t="n">
        <v>0</v>
      </c>
      <c r="N539" s="449" t="n">
        <v>0</v>
      </c>
      <c r="O539" s="449" t="n">
        <v>0</v>
      </c>
      <c r="P539" s="449" t="n">
        <v>0</v>
      </c>
      <c r="Q539" s="449" t="n">
        <v>0</v>
      </c>
      <c r="R539" s="449" t="n">
        <v>0</v>
      </c>
      <c r="S539" s="449" t="n">
        <v>0</v>
      </c>
      <c r="T539" s="449" t="n">
        <v>0</v>
      </c>
      <c r="U539" s="449" t="n">
        <v>0</v>
      </c>
      <c r="V539" s="449" t="n">
        <v>0</v>
      </c>
      <c r="W539" s="449" t="n">
        <v>0</v>
      </c>
      <c r="X539" s="449" t="n">
        <v>0</v>
      </c>
      <c r="Y539" s="449" t="n">
        <v>0</v>
      </c>
      <c r="Z539" s="449" t="n">
        <v>0</v>
      </c>
      <c r="AA539" s="449" t="n">
        <v>0</v>
      </c>
      <c r="AB539" s="449" t="n">
        <v>0</v>
      </c>
      <c r="AC539" s="449" t="n">
        <v>0</v>
      </c>
      <c r="AH539" s="35"/>
      <c r="AI539" s="35"/>
      <c r="AJ539" s="35"/>
      <c r="AK539" s="35"/>
      <c r="AL539" s="35"/>
      <c r="AM539" s="35"/>
      <c r="AN539" s="35"/>
      <c r="AO539" s="35"/>
      <c r="AP539" s="35"/>
      <c r="AQ539" s="35"/>
      <c r="AR539" s="35"/>
      <c r="AS539" s="35"/>
      <c r="AT539" s="35"/>
      <c r="AU539" s="35"/>
      <c r="AV539" s="35"/>
      <c r="AW539" s="35"/>
      <c r="AX539" s="35"/>
      <c r="AY539" s="35"/>
      <c r="AZ539" s="35"/>
      <c r="BA539" s="35"/>
      <c r="BB539" s="35"/>
      <c r="BC539" s="35"/>
      <c r="BD539" s="35"/>
      <c r="BE539" s="35"/>
      <c r="BF539" s="35"/>
      <c r="BG539" s="35"/>
      <c r="BH539" s="35"/>
      <c r="BI539" s="35"/>
      <c r="BJ539" s="35"/>
      <c r="BK539" s="35"/>
      <c r="BL539" s="35"/>
      <c r="BM539" s="35"/>
      <c r="BN539" s="35"/>
      <c r="BO539" s="35"/>
      <c r="BP539" s="35"/>
      <c r="BQ539" s="35"/>
      <c r="BR539" s="35"/>
      <c r="BS539" s="35"/>
      <c r="BT539" s="35"/>
      <c r="BU539" s="35"/>
      <c r="BV539" s="35"/>
      <c r="BW539" s="35"/>
      <c r="BX539" s="35"/>
      <c r="BY539" s="35"/>
      <c r="BZ539" s="35"/>
      <c r="CA539" s="35"/>
      <c r="CB539" s="35"/>
      <c r="CC539" s="35"/>
      <c r="CD539" s="35"/>
      <c r="CE539" s="35"/>
      <c r="CF539" s="35"/>
      <c r="CG539" s="35"/>
      <c r="CH539" s="35"/>
      <c r="CI539" s="35"/>
      <c r="CJ539" s="35"/>
      <c r="CK539" s="35"/>
      <c r="CL539" s="35"/>
      <c r="CM539" s="35"/>
      <c r="CN539" s="35"/>
      <c r="CO539" s="35"/>
      <c r="CP539" s="35"/>
      <c r="CQ539" s="35"/>
      <c r="CR539" s="35"/>
      <c r="CS539" s="35"/>
      <c r="CT539" s="35"/>
      <c r="CU539" s="35"/>
      <c r="CV539" s="35"/>
      <c r="CW539" s="35"/>
      <c r="CX539" s="35"/>
      <c r="CY539" s="35"/>
      <c r="CZ539" s="35"/>
      <c r="DA539" s="35"/>
      <c r="DB539" s="35"/>
      <c r="DC539" s="35"/>
      <c r="DD539" s="35"/>
      <c r="DE539" s="35"/>
      <c r="DF539" s="35"/>
      <c r="DG539" s="35"/>
      <c r="DH539" s="35"/>
      <c r="DI539" s="35"/>
      <c r="DJ539" s="35"/>
      <c r="DK539" s="35"/>
      <c r="DL539" s="35"/>
      <c r="DM539" s="35"/>
      <c r="DN539" s="35"/>
      <c r="DO539" s="35"/>
      <c r="DP539" s="35"/>
      <c r="DQ539" s="35"/>
      <c r="DR539" s="35"/>
      <c r="DS539" s="35"/>
      <c r="DT539" s="35"/>
      <c r="DU539" s="35"/>
      <c r="DV539" s="35"/>
      <c r="DW539" s="35"/>
      <c r="DX539" s="35"/>
      <c r="DY539" s="35"/>
      <c r="DZ539" s="35"/>
      <c r="EA539" s="35"/>
      <c r="EB539" s="35"/>
      <c r="EC539" s="35"/>
      <c r="ED539" s="35"/>
      <c r="EE539" s="35"/>
      <c r="EF539" s="35"/>
      <c r="EG539" s="35"/>
      <c r="EH539" s="35"/>
      <c r="EI539" s="35"/>
      <c r="EJ539" s="35"/>
      <c r="EK539" s="35"/>
      <c r="EL539" s="35"/>
      <c r="EM539" s="35"/>
      <c r="EN539" s="35"/>
      <c r="EO539" s="35"/>
      <c r="EP539" s="35"/>
      <c r="EQ539" s="35"/>
      <c r="ER539" s="35"/>
      <c r="ES539" s="35"/>
      <c r="ET539" s="35"/>
      <c r="EU539" s="35"/>
      <c r="EV539" s="35"/>
      <c r="EW539" s="35"/>
      <c r="EX539" s="35"/>
      <c r="EY539" s="35"/>
      <c r="EZ539" s="35"/>
      <c r="FA539" s="35"/>
      <c r="FB539" s="35"/>
      <c r="FC539" s="35"/>
      <c r="FD539" s="35"/>
      <c r="FE539" s="35"/>
      <c r="FF539" s="35"/>
      <c r="FG539" s="35"/>
      <c r="FH539" s="35"/>
      <c r="FI539" s="35"/>
      <c r="FJ539" s="35"/>
      <c r="FK539" s="35"/>
      <c r="FL539" s="35"/>
      <c r="FM539" s="35"/>
      <c r="FN539" s="35"/>
      <c r="FO539" s="35"/>
      <c r="FP539" s="35"/>
      <c r="FQ539" s="35"/>
      <c r="FR539" s="35"/>
      <c r="FS539" s="35"/>
      <c r="FT539" s="35"/>
      <c r="FU539" s="35"/>
      <c r="FV539" s="35"/>
      <c r="FW539" s="35"/>
      <c r="FX539" s="35"/>
      <c r="FY539" s="35"/>
      <c r="FZ539" s="35"/>
      <c r="GA539" s="35"/>
      <c r="GB539" s="35"/>
      <c r="GC539" s="35"/>
      <c r="GD539" s="35"/>
      <c r="GE539" s="35"/>
      <c r="GF539" s="35"/>
      <c r="GG539" s="35"/>
      <c r="GH539" s="35"/>
      <c r="GI539" s="35"/>
      <c r="GJ539" s="35"/>
      <c r="GK539" s="35"/>
      <c r="GL539" s="35"/>
      <c r="GM539" s="35"/>
      <c r="GN539" s="35"/>
      <c r="GO539" s="35"/>
      <c r="GP539" s="35"/>
      <c r="GQ539" s="35"/>
      <c r="GR539" s="35"/>
      <c r="GS539" s="35"/>
      <c r="GT539" s="35"/>
      <c r="GU539" s="35"/>
      <c r="GV539" s="35"/>
      <c r="GW539" s="35"/>
      <c r="GX539" s="35"/>
      <c r="GY539" s="35"/>
      <c r="GZ539" s="35"/>
      <c r="HA539" s="35"/>
      <c r="HB539" s="35"/>
      <c r="HC539" s="35"/>
      <c r="HD539" s="35"/>
      <c r="HE539" s="35"/>
      <c r="HF539" s="35"/>
      <c r="HG539" s="35"/>
      <c r="HH539" s="35"/>
      <c r="HI539" s="35"/>
      <c r="HJ539" s="35"/>
      <c r="HK539" s="35"/>
      <c r="HL539" s="35"/>
      <c r="HM539" s="35"/>
      <c r="HN539" s="35"/>
      <c r="HO539" s="35"/>
      <c r="HP539" s="35"/>
      <c r="HQ539" s="35"/>
      <c r="HR539" s="35"/>
      <c r="HS539" s="35"/>
      <c r="HT539" s="35"/>
      <c r="HU539" s="35"/>
      <c r="HV539" s="35"/>
      <c r="HW539" s="35"/>
      <c r="HX539" s="35"/>
      <c r="HY539" s="35"/>
      <c r="HZ539" s="35"/>
      <c r="IA539" s="35"/>
      <c r="IB539" s="35"/>
      <c r="IC539" s="35"/>
      <c r="ID539" s="35"/>
      <c r="IE539" s="35"/>
      <c r="IF539" s="35"/>
      <c r="IG539" s="35"/>
      <c r="IH539" s="35"/>
      <c r="II539" s="35"/>
      <c r="IJ539" s="35"/>
      <c r="IK539" s="35"/>
      <c r="IL539" s="35"/>
      <c r="IM539" s="35"/>
      <c r="IN539" s="35"/>
      <c r="IO539" s="35"/>
      <c r="IP539" s="35"/>
      <c r="IQ539" s="35"/>
      <c r="IR539" s="35"/>
      <c r="IS539" s="35"/>
      <c r="IT539" s="35"/>
      <c r="IU539" s="35"/>
      <c r="IV539" s="35"/>
      <c r="IW539" s="35"/>
    </row>
    <row r="540" customFormat="false" ht="11.25" hidden="false" customHeight="false" outlineLevel="0" collapsed="false">
      <c r="A540" s="307"/>
      <c r="B540" s="67"/>
      <c r="C540" s="67"/>
      <c r="F540" s="65" t="s">
        <v>722</v>
      </c>
      <c r="G540" s="65" t="s">
        <v>708</v>
      </c>
      <c r="I540" s="449" t="n">
        <v>0</v>
      </c>
      <c r="J540" s="449" t="n">
        <v>0</v>
      </c>
      <c r="K540" s="449" t="n">
        <v>0</v>
      </c>
      <c r="L540" s="449" t="n">
        <v>0</v>
      </c>
      <c r="M540" s="449" t="n">
        <v>0</v>
      </c>
      <c r="N540" s="449" t="n">
        <v>0</v>
      </c>
      <c r="O540" s="449" t="n">
        <v>0</v>
      </c>
      <c r="P540" s="449" t="n">
        <v>0</v>
      </c>
      <c r="Q540" s="449" t="n">
        <v>0</v>
      </c>
      <c r="R540" s="449" t="n">
        <v>0</v>
      </c>
      <c r="S540" s="449" t="n">
        <v>0</v>
      </c>
      <c r="T540" s="449" t="n">
        <v>0</v>
      </c>
      <c r="U540" s="449" t="n">
        <v>0</v>
      </c>
      <c r="V540" s="449" t="n">
        <v>0</v>
      </c>
      <c r="W540" s="449" t="n">
        <v>0</v>
      </c>
      <c r="X540" s="449" t="n">
        <v>0</v>
      </c>
      <c r="Y540" s="449" t="n">
        <v>0</v>
      </c>
      <c r="Z540" s="449" t="n">
        <v>0</v>
      </c>
      <c r="AA540" s="449" t="n">
        <v>0</v>
      </c>
      <c r="AB540" s="449" t="n">
        <v>0</v>
      </c>
      <c r="AC540" s="449" t="n">
        <v>0</v>
      </c>
      <c r="AH540" s="35"/>
      <c r="AI540" s="35"/>
      <c r="AJ540" s="35"/>
      <c r="AK540" s="35"/>
      <c r="AL540" s="35"/>
      <c r="AM540" s="35"/>
      <c r="AN540" s="35"/>
      <c r="AO540" s="35"/>
      <c r="AP540" s="35"/>
      <c r="AQ540" s="35"/>
      <c r="AR540" s="35"/>
      <c r="AS540" s="35"/>
      <c r="AT540" s="35"/>
      <c r="AU540" s="35"/>
      <c r="AV540" s="35"/>
      <c r="AW540" s="35"/>
      <c r="AX540" s="35"/>
      <c r="AY540" s="35"/>
      <c r="AZ540" s="35"/>
      <c r="BA540" s="35"/>
      <c r="BB540" s="35"/>
      <c r="BC540" s="35"/>
      <c r="BD540" s="35"/>
      <c r="BE540" s="35"/>
      <c r="BF540" s="35"/>
      <c r="BG540" s="35"/>
      <c r="BH540" s="35"/>
      <c r="BI540" s="35"/>
      <c r="BJ540" s="35"/>
      <c r="BK540" s="35"/>
      <c r="BL540" s="35"/>
      <c r="BM540" s="35"/>
      <c r="BN540" s="35"/>
      <c r="BO540" s="35"/>
      <c r="BP540" s="35"/>
      <c r="BQ540" s="35"/>
      <c r="BR540" s="35"/>
      <c r="BS540" s="35"/>
      <c r="BT540" s="35"/>
      <c r="BU540" s="35"/>
      <c r="BV540" s="35"/>
      <c r="BW540" s="35"/>
      <c r="BX540" s="35"/>
      <c r="BY540" s="35"/>
      <c r="BZ540" s="35"/>
      <c r="CA540" s="35"/>
      <c r="CB540" s="35"/>
      <c r="CC540" s="35"/>
      <c r="CD540" s="35"/>
      <c r="CE540" s="35"/>
      <c r="CF540" s="35"/>
      <c r="CG540" s="35"/>
      <c r="CH540" s="35"/>
      <c r="CI540" s="35"/>
      <c r="CJ540" s="35"/>
      <c r="CK540" s="35"/>
      <c r="CL540" s="35"/>
      <c r="CM540" s="35"/>
      <c r="CN540" s="35"/>
      <c r="CO540" s="35"/>
      <c r="CP540" s="35"/>
      <c r="CQ540" s="35"/>
      <c r="CR540" s="35"/>
      <c r="CS540" s="35"/>
      <c r="CT540" s="35"/>
      <c r="CU540" s="35"/>
      <c r="CV540" s="35"/>
      <c r="CW540" s="35"/>
      <c r="CX540" s="35"/>
      <c r="CY540" s="35"/>
      <c r="CZ540" s="35"/>
      <c r="DA540" s="35"/>
      <c r="DB540" s="35"/>
      <c r="DC540" s="35"/>
      <c r="DD540" s="35"/>
      <c r="DE540" s="35"/>
      <c r="DF540" s="35"/>
      <c r="DG540" s="35"/>
      <c r="DH540" s="35"/>
      <c r="DI540" s="35"/>
      <c r="DJ540" s="35"/>
      <c r="DK540" s="35"/>
      <c r="DL540" s="35"/>
      <c r="DM540" s="35"/>
      <c r="DN540" s="35"/>
      <c r="DO540" s="35"/>
      <c r="DP540" s="35"/>
      <c r="DQ540" s="35"/>
      <c r="DR540" s="35"/>
      <c r="DS540" s="35"/>
      <c r="DT540" s="35"/>
      <c r="DU540" s="35"/>
      <c r="DV540" s="35"/>
      <c r="DW540" s="35"/>
      <c r="DX540" s="35"/>
      <c r="DY540" s="35"/>
      <c r="DZ540" s="35"/>
      <c r="EA540" s="35"/>
      <c r="EB540" s="35"/>
      <c r="EC540" s="35"/>
      <c r="ED540" s="35"/>
      <c r="EE540" s="35"/>
      <c r="EF540" s="35"/>
      <c r="EG540" s="35"/>
      <c r="EH540" s="35"/>
      <c r="EI540" s="35"/>
      <c r="EJ540" s="35"/>
      <c r="EK540" s="35"/>
      <c r="EL540" s="35"/>
      <c r="EM540" s="35"/>
      <c r="EN540" s="35"/>
      <c r="EO540" s="35"/>
      <c r="EP540" s="35"/>
      <c r="EQ540" s="35"/>
      <c r="ER540" s="35"/>
      <c r="ES540" s="35"/>
      <c r="ET540" s="35"/>
      <c r="EU540" s="35"/>
      <c r="EV540" s="35"/>
      <c r="EW540" s="35"/>
      <c r="EX540" s="35"/>
      <c r="EY540" s="35"/>
      <c r="EZ540" s="35"/>
      <c r="FA540" s="35"/>
      <c r="FB540" s="35"/>
      <c r="FC540" s="35"/>
      <c r="FD540" s="35"/>
      <c r="FE540" s="35"/>
      <c r="FF540" s="35"/>
      <c r="FG540" s="35"/>
      <c r="FH540" s="35"/>
      <c r="FI540" s="35"/>
      <c r="FJ540" s="35"/>
      <c r="FK540" s="35"/>
      <c r="FL540" s="35"/>
      <c r="FM540" s="35"/>
      <c r="FN540" s="35"/>
      <c r="FO540" s="35"/>
      <c r="FP540" s="35"/>
      <c r="FQ540" s="35"/>
      <c r="FR540" s="35"/>
      <c r="FS540" s="35"/>
      <c r="FT540" s="35"/>
      <c r="FU540" s="35"/>
      <c r="FV540" s="35"/>
      <c r="FW540" s="35"/>
      <c r="FX540" s="35"/>
      <c r="FY540" s="35"/>
      <c r="FZ540" s="35"/>
      <c r="GA540" s="35"/>
      <c r="GB540" s="35"/>
      <c r="GC540" s="35"/>
      <c r="GD540" s="35"/>
      <c r="GE540" s="35"/>
      <c r="GF540" s="35"/>
      <c r="GG540" s="35"/>
      <c r="GH540" s="35"/>
      <c r="GI540" s="35"/>
      <c r="GJ540" s="35"/>
      <c r="GK540" s="35"/>
      <c r="GL540" s="35"/>
      <c r="GM540" s="35"/>
      <c r="GN540" s="35"/>
      <c r="GO540" s="35"/>
      <c r="GP540" s="35"/>
      <c r="GQ540" s="35"/>
      <c r="GR540" s="35"/>
      <c r="GS540" s="35"/>
      <c r="GT540" s="35"/>
      <c r="GU540" s="35"/>
      <c r="GV540" s="35"/>
      <c r="GW540" s="35"/>
      <c r="GX540" s="35"/>
      <c r="GY540" s="35"/>
      <c r="GZ540" s="35"/>
      <c r="HA540" s="35"/>
      <c r="HB540" s="35"/>
      <c r="HC540" s="35"/>
      <c r="HD540" s="35"/>
      <c r="HE540" s="35"/>
      <c r="HF540" s="35"/>
      <c r="HG540" s="35"/>
      <c r="HH540" s="35"/>
      <c r="HI540" s="35"/>
      <c r="HJ540" s="35"/>
      <c r="HK540" s="35"/>
      <c r="HL540" s="35"/>
      <c r="HM540" s="35"/>
      <c r="HN540" s="35"/>
      <c r="HO540" s="35"/>
      <c r="HP540" s="35"/>
      <c r="HQ540" s="35"/>
      <c r="HR540" s="35"/>
      <c r="HS540" s="35"/>
      <c r="HT540" s="35"/>
      <c r="HU540" s="35"/>
      <c r="HV540" s="35"/>
      <c r="HW540" s="35"/>
      <c r="HX540" s="35"/>
      <c r="HY540" s="35"/>
      <c r="HZ540" s="35"/>
      <c r="IA540" s="35"/>
      <c r="IB540" s="35"/>
      <c r="IC540" s="35"/>
      <c r="ID540" s="35"/>
      <c r="IE540" s="35"/>
      <c r="IF540" s="35"/>
      <c r="IG540" s="35"/>
      <c r="IH540" s="35"/>
      <c r="II540" s="35"/>
      <c r="IJ540" s="35"/>
      <c r="IK540" s="35"/>
      <c r="IL540" s="35"/>
      <c r="IM540" s="35"/>
      <c r="IN540" s="35"/>
      <c r="IO540" s="35"/>
      <c r="IP540" s="35"/>
      <c r="IQ540" s="35"/>
      <c r="IR540" s="35"/>
      <c r="IS540" s="35"/>
      <c r="IT540" s="35"/>
      <c r="IU540" s="35"/>
      <c r="IV540" s="35"/>
      <c r="IW540" s="35"/>
    </row>
    <row r="541" customFormat="false" ht="11.25" hidden="false" customHeight="false" outlineLevel="0" collapsed="false">
      <c r="A541" s="307"/>
      <c r="C541" s="67"/>
      <c r="G541" s="65" t="s">
        <v>837</v>
      </c>
      <c r="I541" s="449" t="n">
        <v>0</v>
      </c>
      <c r="J541" s="449" t="n">
        <v>0</v>
      </c>
      <c r="K541" s="449" t="n">
        <v>0</v>
      </c>
      <c r="L541" s="449" t="n">
        <v>0</v>
      </c>
      <c r="M541" s="449" t="n">
        <v>0</v>
      </c>
      <c r="N541" s="449" t="n">
        <v>0</v>
      </c>
      <c r="O541" s="449" t="n">
        <v>0</v>
      </c>
      <c r="P541" s="449" t="n">
        <v>0</v>
      </c>
      <c r="Q541" s="449" t="n">
        <v>0</v>
      </c>
      <c r="R541" s="449" t="n">
        <v>0</v>
      </c>
      <c r="S541" s="449" t="n">
        <v>0</v>
      </c>
      <c r="T541" s="449" t="n">
        <v>0</v>
      </c>
      <c r="U541" s="449" t="n">
        <v>0</v>
      </c>
      <c r="V541" s="449" t="n">
        <v>0</v>
      </c>
      <c r="W541" s="449" t="n">
        <v>0</v>
      </c>
      <c r="X541" s="449" t="n">
        <v>0</v>
      </c>
      <c r="Y541" s="449" t="n">
        <v>0</v>
      </c>
      <c r="Z541" s="449" t="n">
        <v>0</v>
      </c>
      <c r="AA541" s="449" t="n">
        <v>0</v>
      </c>
      <c r="AB541" s="449" t="n">
        <v>0</v>
      </c>
      <c r="AC541" s="449" t="n">
        <v>0</v>
      </c>
      <c r="AH541" s="35"/>
      <c r="AI541" s="35"/>
      <c r="AJ541" s="35"/>
      <c r="AK541" s="35"/>
      <c r="AL541" s="35"/>
      <c r="AM541" s="35"/>
      <c r="AN541" s="35"/>
      <c r="AO541" s="35"/>
      <c r="AP541" s="35"/>
      <c r="AQ541" s="35"/>
      <c r="AR541" s="35"/>
      <c r="AS541" s="35"/>
      <c r="AT541" s="35"/>
      <c r="AU541" s="35"/>
      <c r="AV541" s="35"/>
      <c r="AW541" s="35"/>
      <c r="AX541" s="35"/>
      <c r="AY541" s="35"/>
      <c r="AZ541" s="35"/>
      <c r="BA541" s="35"/>
      <c r="BB541" s="35"/>
      <c r="BC541" s="35"/>
      <c r="BD541" s="35"/>
      <c r="BE541" s="35"/>
      <c r="BF541" s="35"/>
      <c r="BG541" s="35"/>
      <c r="BH541" s="35"/>
      <c r="BI541" s="35"/>
      <c r="BJ541" s="35"/>
      <c r="BK541" s="35"/>
      <c r="BL541" s="35"/>
      <c r="BM541" s="35"/>
      <c r="BN541" s="35"/>
      <c r="BO541" s="35"/>
      <c r="BP541" s="35"/>
      <c r="BQ541" s="35"/>
      <c r="BR541" s="35"/>
      <c r="BS541" s="35"/>
      <c r="BT541" s="35"/>
      <c r="BU541" s="35"/>
      <c r="BV541" s="35"/>
      <c r="BW541" s="35"/>
      <c r="BX541" s="35"/>
      <c r="BY541" s="35"/>
      <c r="BZ541" s="35"/>
      <c r="CA541" s="35"/>
      <c r="CB541" s="35"/>
      <c r="CC541" s="35"/>
      <c r="CD541" s="35"/>
      <c r="CE541" s="35"/>
      <c r="CF541" s="35"/>
      <c r="CG541" s="35"/>
      <c r="CH541" s="35"/>
      <c r="CI541" s="35"/>
      <c r="CJ541" s="35"/>
      <c r="CK541" s="35"/>
      <c r="CL541" s="35"/>
      <c r="CM541" s="35"/>
      <c r="CN541" s="35"/>
      <c r="CO541" s="35"/>
      <c r="CP541" s="35"/>
      <c r="CQ541" s="35"/>
      <c r="CR541" s="35"/>
      <c r="CS541" s="35"/>
      <c r="CT541" s="35"/>
      <c r="CU541" s="35"/>
      <c r="CV541" s="35"/>
      <c r="CW541" s="35"/>
      <c r="CX541" s="35"/>
      <c r="CY541" s="35"/>
      <c r="CZ541" s="35"/>
      <c r="DA541" s="35"/>
      <c r="DB541" s="35"/>
      <c r="DC541" s="35"/>
      <c r="DD541" s="35"/>
      <c r="DE541" s="35"/>
      <c r="DF541" s="35"/>
      <c r="DG541" s="35"/>
      <c r="DH541" s="35"/>
      <c r="DI541" s="35"/>
      <c r="DJ541" s="35"/>
      <c r="DK541" s="35"/>
      <c r="DL541" s="35"/>
      <c r="DM541" s="35"/>
      <c r="DN541" s="35"/>
      <c r="DO541" s="35"/>
      <c r="DP541" s="35"/>
      <c r="DQ541" s="35"/>
      <c r="DR541" s="35"/>
      <c r="DS541" s="35"/>
      <c r="DT541" s="35"/>
      <c r="DU541" s="35"/>
      <c r="DV541" s="35"/>
      <c r="DW541" s="35"/>
      <c r="DX541" s="35"/>
      <c r="DY541" s="35"/>
      <c r="DZ541" s="35"/>
      <c r="EA541" s="35"/>
      <c r="EB541" s="35"/>
      <c r="EC541" s="35"/>
      <c r="ED541" s="35"/>
      <c r="EE541" s="35"/>
      <c r="EF541" s="35"/>
      <c r="EG541" s="35"/>
      <c r="EH541" s="35"/>
      <c r="EI541" s="35"/>
      <c r="EJ541" s="35"/>
      <c r="EK541" s="35"/>
      <c r="EL541" s="35"/>
      <c r="EM541" s="35"/>
      <c r="EN541" s="35"/>
      <c r="EO541" s="35"/>
      <c r="EP541" s="35"/>
      <c r="EQ541" s="35"/>
      <c r="ER541" s="35"/>
      <c r="ES541" s="35"/>
      <c r="ET541" s="35"/>
      <c r="EU541" s="35"/>
      <c r="EV541" s="35"/>
      <c r="EW541" s="35"/>
      <c r="EX541" s="35"/>
      <c r="EY541" s="35"/>
      <c r="EZ541" s="35"/>
      <c r="FA541" s="35"/>
      <c r="FB541" s="35"/>
      <c r="FC541" s="35"/>
      <c r="FD541" s="35"/>
      <c r="FE541" s="35"/>
      <c r="FF541" s="35"/>
      <c r="FG541" s="35"/>
      <c r="FH541" s="35"/>
      <c r="FI541" s="35"/>
      <c r="FJ541" s="35"/>
      <c r="FK541" s="35"/>
      <c r="FL541" s="35"/>
      <c r="FM541" s="35"/>
      <c r="FN541" s="35"/>
      <c r="FO541" s="35"/>
      <c r="FP541" s="35"/>
      <c r="FQ541" s="35"/>
      <c r="FR541" s="35"/>
      <c r="FS541" s="35"/>
      <c r="FT541" s="35"/>
      <c r="FU541" s="35"/>
      <c r="FV541" s="35"/>
      <c r="FW541" s="35"/>
      <c r="FX541" s="35"/>
      <c r="FY541" s="35"/>
      <c r="FZ541" s="35"/>
      <c r="GA541" s="35"/>
      <c r="GB541" s="35"/>
      <c r="GC541" s="35"/>
      <c r="GD541" s="35"/>
      <c r="GE541" s="35"/>
      <c r="GF541" s="35"/>
      <c r="GG541" s="35"/>
      <c r="GH541" s="35"/>
      <c r="GI541" s="35"/>
      <c r="GJ541" s="35"/>
      <c r="GK541" s="35"/>
      <c r="GL541" s="35"/>
      <c r="GM541" s="35"/>
      <c r="GN541" s="35"/>
      <c r="GO541" s="35"/>
      <c r="GP541" s="35"/>
      <c r="GQ541" s="35"/>
      <c r="GR541" s="35"/>
      <c r="GS541" s="35"/>
      <c r="GT541" s="35"/>
      <c r="GU541" s="35"/>
      <c r="GV541" s="35"/>
      <c r="GW541" s="35"/>
      <c r="GX541" s="35"/>
      <c r="GY541" s="35"/>
      <c r="GZ541" s="35"/>
      <c r="HA541" s="35"/>
      <c r="HB541" s="35"/>
      <c r="HC541" s="35"/>
      <c r="HD541" s="35"/>
      <c r="HE541" s="35"/>
      <c r="HF541" s="35"/>
      <c r="HG541" s="35"/>
      <c r="HH541" s="35"/>
      <c r="HI541" s="35"/>
      <c r="HJ541" s="35"/>
      <c r="HK541" s="35"/>
      <c r="HL541" s="35"/>
      <c r="HM541" s="35"/>
      <c r="HN541" s="35"/>
      <c r="HO541" s="35"/>
      <c r="HP541" s="35"/>
      <c r="HQ541" s="35"/>
      <c r="HR541" s="35"/>
      <c r="HS541" s="35"/>
      <c r="HT541" s="35"/>
      <c r="HU541" s="35"/>
      <c r="HV541" s="35"/>
      <c r="HW541" s="35"/>
      <c r="HX541" s="35"/>
      <c r="HY541" s="35"/>
      <c r="HZ541" s="35"/>
      <c r="IA541" s="35"/>
      <c r="IB541" s="35"/>
      <c r="IC541" s="35"/>
      <c r="ID541" s="35"/>
      <c r="IE541" s="35"/>
      <c r="IF541" s="35"/>
      <c r="IG541" s="35"/>
      <c r="IH541" s="35"/>
      <c r="II541" s="35"/>
      <c r="IJ541" s="35"/>
      <c r="IK541" s="35"/>
      <c r="IL541" s="35"/>
      <c r="IM541" s="35"/>
      <c r="IN541" s="35"/>
      <c r="IO541" s="35"/>
      <c r="IP541" s="35"/>
      <c r="IQ541" s="35"/>
      <c r="IR541" s="35"/>
      <c r="IS541" s="35"/>
      <c r="IT541" s="35"/>
      <c r="IU541" s="35"/>
      <c r="IV541" s="35"/>
      <c r="IW541" s="35"/>
    </row>
    <row r="542" customFormat="false" ht="11.25" hidden="false" customHeight="false" outlineLevel="0" collapsed="false">
      <c r="A542" s="307"/>
      <c r="AH542" s="35"/>
      <c r="AI542" s="35"/>
      <c r="AJ542" s="35"/>
      <c r="AK542" s="35"/>
      <c r="AL542" s="35"/>
      <c r="AM542" s="35"/>
      <c r="AN542" s="35"/>
      <c r="AO542" s="35"/>
      <c r="AP542" s="35"/>
      <c r="AQ542" s="35"/>
      <c r="AR542" s="35"/>
      <c r="AS542" s="35"/>
      <c r="AT542" s="35"/>
      <c r="AU542" s="35"/>
      <c r="AV542" s="35"/>
      <c r="AW542" s="35"/>
      <c r="AX542" s="35"/>
      <c r="AY542" s="35"/>
      <c r="AZ542" s="35"/>
      <c r="BA542" s="35"/>
      <c r="BB542" s="35"/>
      <c r="BC542" s="35"/>
      <c r="BD542" s="35"/>
      <c r="BE542" s="35"/>
      <c r="BF542" s="35"/>
      <c r="BG542" s="35"/>
      <c r="BH542" s="35"/>
      <c r="BI542" s="35"/>
      <c r="BJ542" s="35"/>
      <c r="BK542" s="35"/>
      <c r="BL542" s="35"/>
      <c r="BM542" s="35"/>
      <c r="BN542" s="35"/>
      <c r="BO542" s="35"/>
      <c r="BP542" s="35"/>
      <c r="BQ542" s="35"/>
      <c r="BR542" s="35"/>
      <c r="BS542" s="35"/>
      <c r="BT542" s="35"/>
      <c r="BU542" s="35"/>
      <c r="BV542" s="35"/>
      <c r="BW542" s="35"/>
      <c r="BX542" s="35"/>
      <c r="BY542" s="35"/>
      <c r="BZ542" s="35"/>
      <c r="CA542" s="35"/>
      <c r="CB542" s="35"/>
      <c r="CC542" s="35"/>
      <c r="CD542" s="35"/>
      <c r="CE542" s="35"/>
      <c r="CF542" s="35"/>
      <c r="CG542" s="35"/>
      <c r="CH542" s="35"/>
      <c r="CI542" s="35"/>
      <c r="CJ542" s="35"/>
      <c r="CK542" s="35"/>
      <c r="CL542" s="35"/>
      <c r="CM542" s="35"/>
      <c r="CN542" s="35"/>
      <c r="CO542" s="35"/>
      <c r="CP542" s="35"/>
      <c r="CQ542" s="35"/>
      <c r="CR542" s="35"/>
      <c r="CS542" s="35"/>
      <c r="CT542" s="35"/>
      <c r="CU542" s="35"/>
      <c r="CV542" s="35"/>
      <c r="CW542" s="35"/>
      <c r="CX542" s="35"/>
      <c r="CY542" s="35"/>
      <c r="CZ542" s="35"/>
      <c r="DA542" s="35"/>
      <c r="DB542" s="35"/>
      <c r="DC542" s="35"/>
      <c r="DD542" s="35"/>
      <c r="DE542" s="35"/>
      <c r="DF542" s="35"/>
      <c r="DG542" s="35"/>
      <c r="DH542" s="35"/>
      <c r="DI542" s="35"/>
      <c r="DJ542" s="35"/>
      <c r="DK542" s="35"/>
      <c r="DL542" s="35"/>
      <c r="DM542" s="35"/>
      <c r="DN542" s="35"/>
      <c r="DO542" s="35"/>
      <c r="DP542" s="35"/>
      <c r="DQ542" s="35"/>
      <c r="DR542" s="35"/>
      <c r="DS542" s="35"/>
      <c r="DT542" s="35"/>
      <c r="DU542" s="35"/>
      <c r="DV542" s="35"/>
      <c r="DW542" s="35"/>
      <c r="DX542" s="35"/>
      <c r="DY542" s="35"/>
      <c r="DZ542" s="35"/>
      <c r="EA542" s="35"/>
      <c r="EB542" s="35"/>
      <c r="EC542" s="35"/>
      <c r="ED542" s="35"/>
      <c r="EE542" s="35"/>
      <c r="EF542" s="35"/>
      <c r="EG542" s="35"/>
      <c r="EH542" s="35"/>
      <c r="EI542" s="35"/>
      <c r="EJ542" s="35"/>
      <c r="EK542" s="35"/>
      <c r="EL542" s="35"/>
      <c r="EM542" s="35"/>
      <c r="EN542" s="35"/>
      <c r="EO542" s="35"/>
      <c r="EP542" s="35"/>
      <c r="EQ542" s="35"/>
      <c r="ER542" s="35"/>
      <c r="ES542" s="35"/>
      <c r="ET542" s="35"/>
      <c r="EU542" s="35"/>
      <c r="EV542" s="35"/>
      <c r="EW542" s="35"/>
      <c r="EX542" s="35"/>
      <c r="EY542" s="35"/>
      <c r="EZ542" s="35"/>
      <c r="FA542" s="35"/>
      <c r="FB542" s="35"/>
      <c r="FC542" s="35"/>
      <c r="FD542" s="35"/>
      <c r="FE542" s="35"/>
      <c r="FF542" s="35"/>
      <c r="FG542" s="35"/>
      <c r="FH542" s="35"/>
      <c r="FI542" s="35"/>
      <c r="FJ542" s="35"/>
      <c r="FK542" s="35"/>
      <c r="FL542" s="35"/>
      <c r="FM542" s="35"/>
      <c r="FN542" s="35"/>
      <c r="FO542" s="35"/>
      <c r="FP542" s="35"/>
      <c r="FQ542" s="35"/>
      <c r="FR542" s="35"/>
      <c r="FS542" s="35"/>
      <c r="FT542" s="35"/>
      <c r="FU542" s="35"/>
      <c r="FV542" s="35"/>
      <c r="FW542" s="35"/>
      <c r="FX542" s="35"/>
      <c r="FY542" s="35"/>
      <c r="FZ542" s="35"/>
      <c r="GA542" s="35"/>
      <c r="GB542" s="35"/>
      <c r="GC542" s="35"/>
      <c r="GD542" s="35"/>
      <c r="GE542" s="35"/>
      <c r="GF542" s="35"/>
      <c r="GG542" s="35"/>
      <c r="GH542" s="35"/>
      <c r="GI542" s="35"/>
      <c r="GJ542" s="35"/>
      <c r="GK542" s="35"/>
      <c r="GL542" s="35"/>
      <c r="GM542" s="35"/>
      <c r="GN542" s="35"/>
      <c r="GO542" s="35"/>
      <c r="GP542" s="35"/>
      <c r="GQ542" s="35"/>
      <c r="GR542" s="35"/>
      <c r="GS542" s="35"/>
      <c r="GT542" s="35"/>
      <c r="GU542" s="35"/>
      <c r="GV542" s="35"/>
      <c r="GW542" s="35"/>
      <c r="GX542" s="35"/>
      <c r="GY542" s="35"/>
      <c r="GZ542" s="35"/>
      <c r="HA542" s="35"/>
      <c r="HB542" s="35"/>
      <c r="HC542" s="35"/>
      <c r="HD542" s="35"/>
      <c r="HE542" s="35"/>
      <c r="HF542" s="35"/>
      <c r="HG542" s="35"/>
      <c r="HH542" s="35"/>
      <c r="HI542" s="35"/>
      <c r="HJ542" s="35"/>
      <c r="HK542" s="35"/>
      <c r="HL542" s="35"/>
      <c r="HM542" s="35"/>
      <c r="HN542" s="35"/>
      <c r="HO542" s="35"/>
      <c r="HP542" s="35"/>
      <c r="HQ542" s="35"/>
      <c r="HR542" s="35"/>
      <c r="HS542" s="35"/>
      <c r="HT542" s="35"/>
      <c r="HU542" s="35"/>
      <c r="HV542" s="35"/>
      <c r="HW542" s="35"/>
      <c r="HX542" s="35"/>
      <c r="HY542" s="35"/>
      <c r="HZ542" s="35"/>
      <c r="IA542" s="35"/>
      <c r="IB542" s="35"/>
      <c r="IC542" s="35"/>
      <c r="ID542" s="35"/>
      <c r="IE542" s="35"/>
      <c r="IF542" s="35"/>
      <c r="IG542" s="35"/>
      <c r="IH542" s="35"/>
      <c r="II542" s="35"/>
      <c r="IJ542" s="35"/>
      <c r="IK542" s="35"/>
      <c r="IL542" s="35"/>
      <c r="IM542" s="35"/>
      <c r="IN542" s="35"/>
      <c r="IO542" s="35"/>
      <c r="IP542" s="35"/>
      <c r="IQ542" s="35"/>
      <c r="IR542" s="35"/>
      <c r="IS542" s="35"/>
      <c r="IT542" s="35"/>
      <c r="IU542" s="35"/>
      <c r="IV542" s="35"/>
      <c r="IW542" s="35"/>
    </row>
    <row r="543" customFormat="false" ht="11.25" hidden="false" customHeight="false" outlineLevel="0" collapsed="false">
      <c r="A543" s="307" t="s">
        <v>859</v>
      </c>
      <c r="B543" s="67"/>
      <c r="E543" s="509"/>
      <c r="F543" s="509"/>
      <c r="G543" s="65" t="s">
        <v>708</v>
      </c>
      <c r="H543" s="509"/>
      <c r="I543" s="449" t="n">
        <v>0</v>
      </c>
      <c r="J543" s="449" t="n">
        <v>0</v>
      </c>
      <c r="K543" s="449" t="n">
        <v>0</v>
      </c>
      <c r="L543" s="449" t="n">
        <v>0</v>
      </c>
      <c r="M543" s="449" t="n">
        <v>0</v>
      </c>
      <c r="N543" s="449" t="n">
        <v>0</v>
      </c>
      <c r="O543" s="449" t="n">
        <v>0</v>
      </c>
      <c r="P543" s="449" t="n">
        <v>0</v>
      </c>
      <c r="Q543" s="449" t="n">
        <v>0</v>
      </c>
      <c r="R543" s="449" t="n">
        <v>0</v>
      </c>
      <c r="S543" s="449" t="n">
        <v>0</v>
      </c>
      <c r="T543" s="449" t="n">
        <v>0</v>
      </c>
      <c r="U543" s="449" t="n">
        <v>0</v>
      </c>
      <c r="V543" s="449" t="n">
        <v>0</v>
      </c>
      <c r="W543" s="449" t="n">
        <v>0</v>
      </c>
      <c r="X543" s="449" t="n">
        <v>0</v>
      </c>
      <c r="Y543" s="449" t="n">
        <v>0</v>
      </c>
      <c r="Z543" s="449" t="n">
        <v>0</v>
      </c>
      <c r="AA543" s="449" t="n">
        <v>0</v>
      </c>
      <c r="AB543" s="449" t="n">
        <v>0</v>
      </c>
      <c r="AC543" s="449" t="n">
        <v>0</v>
      </c>
      <c r="AH543" s="35"/>
      <c r="AI543" s="35"/>
      <c r="AJ543" s="35"/>
      <c r="AK543" s="35"/>
      <c r="AL543" s="35"/>
      <c r="AM543" s="35"/>
      <c r="AN543" s="35"/>
      <c r="AO543" s="35"/>
      <c r="AP543" s="35"/>
      <c r="AQ543" s="35"/>
      <c r="AR543" s="35"/>
      <c r="AS543" s="35"/>
      <c r="AT543" s="35"/>
      <c r="AU543" s="35"/>
      <c r="AV543" s="35"/>
      <c r="AW543" s="35"/>
      <c r="AX543" s="35"/>
      <c r="AY543" s="35"/>
      <c r="AZ543" s="35"/>
      <c r="BA543" s="35"/>
      <c r="BB543" s="35"/>
      <c r="BC543" s="35"/>
      <c r="BD543" s="35"/>
      <c r="BE543" s="35"/>
      <c r="BF543" s="35"/>
      <c r="BG543" s="35"/>
      <c r="BH543" s="35"/>
      <c r="BI543" s="35"/>
      <c r="BJ543" s="35"/>
      <c r="BK543" s="35"/>
      <c r="BL543" s="35"/>
      <c r="BM543" s="35"/>
      <c r="BN543" s="35"/>
      <c r="BO543" s="35"/>
      <c r="BP543" s="35"/>
      <c r="BQ543" s="35"/>
      <c r="BR543" s="35"/>
      <c r="BS543" s="35"/>
      <c r="BT543" s="35"/>
      <c r="BU543" s="35"/>
      <c r="BV543" s="35"/>
      <c r="BW543" s="35"/>
      <c r="BX543" s="35"/>
      <c r="BY543" s="35"/>
      <c r="BZ543" s="35"/>
      <c r="CA543" s="35"/>
      <c r="CB543" s="35"/>
      <c r="CC543" s="35"/>
      <c r="CD543" s="35"/>
      <c r="CE543" s="35"/>
      <c r="CF543" s="35"/>
      <c r="CG543" s="35"/>
      <c r="CH543" s="35"/>
      <c r="CI543" s="35"/>
      <c r="CJ543" s="35"/>
      <c r="CK543" s="35"/>
      <c r="CL543" s="35"/>
      <c r="CM543" s="35"/>
      <c r="CN543" s="35"/>
      <c r="CO543" s="35"/>
      <c r="CP543" s="35"/>
      <c r="CQ543" s="35"/>
      <c r="CR543" s="35"/>
      <c r="CS543" s="35"/>
      <c r="CT543" s="35"/>
      <c r="CU543" s="35"/>
      <c r="CV543" s="35"/>
      <c r="CW543" s="35"/>
      <c r="CX543" s="35"/>
      <c r="CY543" s="35"/>
      <c r="CZ543" s="35"/>
      <c r="DA543" s="35"/>
      <c r="DB543" s="35"/>
      <c r="DC543" s="35"/>
      <c r="DD543" s="35"/>
      <c r="DE543" s="35"/>
      <c r="DF543" s="35"/>
      <c r="DG543" s="35"/>
      <c r="DH543" s="35"/>
      <c r="DI543" s="35"/>
      <c r="DJ543" s="35"/>
      <c r="DK543" s="35"/>
      <c r="DL543" s="35"/>
      <c r="DM543" s="35"/>
      <c r="DN543" s="35"/>
      <c r="DO543" s="35"/>
      <c r="DP543" s="35"/>
      <c r="DQ543" s="35"/>
      <c r="DR543" s="35"/>
      <c r="DS543" s="35"/>
      <c r="DT543" s="35"/>
      <c r="DU543" s="35"/>
      <c r="DV543" s="35"/>
      <c r="DW543" s="35"/>
      <c r="DX543" s="35"/>
      <c r="DY543" s="35"/>
      <c r="DZ543" s="35"/>
      <c r="EA543" s="35"/>
      <c r="EB543" s="35"/>
      <c r="EC543" s="35"/>
      <c r="ED543" s="35"/>
      <c r="EE543" s="35"/>
      <c r="EF543" s="35"/>
      <c r="EG543" s="35"/>
      <c r="EH543" s="35"/>
      <c r="EI543" s="35"/>
      <c r="EJ543" s="35"/>
      <c r="EK543" s="35"/>
      <c r="EL543" s="35"/>
      <c r="EM543" s="35"/>
      <c r="EN543" s="35"/>
      <c r="EO543" s="35"/>
      <c r="EP543" s="35"/>
      <c r="EQ543" s="35"/>
      <c r="ER543" s="35"/>
      <c r="ES543" s="35"/>
      <c r="ET543" s="35"/>
      <c r="EU543" s="35"/>
      <c r="EV543" s="35"/>
      <c r="EW543" s="35"/>
      <c r="EX543" s="35"/>
      <c r="EY543" s="35"/>
      <c r="EZ543" s="35"/>
      <c r="FA543" s="35"/>
      <c r="FB543" s="35"/>
      <c r="FC543" s="35"/>
      <c r="FD543" s="35"/>
      <c r="FE543" s="35"/>
      <c r="FF543" s="35"/>
      <c r="FG543" s="35"/>
      <c r="FH543" s="35"/>
      <c r="FI543" s="35"/>
      <c r="FJ543" s="35"/>
      <c r="FK543" s="35"/>
      <c r="FL543" s="35"/>
      <c r="FM543" s="35"/>
      <c r="FN543" s="35"/>
      <c r="FO543" s="35"/>
      <c r="FP543" s="35"/>
      <c r="FQ543" s="35"/>
      <c r="FR543" s="35"/>
      <c r="FS543" s="35"/>
      <c r="FT543" s="35"/>
      <c r="FU543" s="35"/>
      <c r="FV543" s="35"/>
      <c r="FW543" s="35"/>
      <c r="FX543" s="35"/>
      <c r="FY543" s="35"/>
      <c r="FZ543" s="35"/>
      <c r="GA543" s="35"/>
      <c r="GB543" s="35"/>
      <c r="GC543" s="35"/>
      <c r="GD543" s="35"/>
      <c r="GE543" s="35"/>
      <c r="GF543" s="35"/>
      <c r="GG543" s="35"/>
      <c r="GH543" s="35"/>
      <c r="GI543" s="35"/>
      <c r="GJ543" s="35"/>
      <c r="GK543" s="35"/>
      <c r="GL543" s="35"/>
      <c r="GM543" s="35"/>
      <c r="GN543" s="35"/>
      <c r="GO543" s="35"/>
      <c r="GP543" s="35"/>
      <c r="GQ543" s="35"/>
      <c r="GR543" s="35"/>
      <c r="GS543" s="35"/>
      <c r="GT543" s="35"/>
      <c r="GU543" s="35"/>
      <c r="GV543" s="35"/>
      <c r="GW543" s="35"/>
      <c r="GX543" s="35"/>
      <c r="GY543" s="35"/>
      <c r="GZ543" s="35"/>
      <c r="HA543" s="35"/>
      <c r="HB543" s="35"/>
      <c r="HC543" s="35"/>
      <c r="HD543" s="35"/>
      <c r="HE543" s="35"/>
      <c r="HF543" s="35"/>
      <c r="HG543" s="35"/>
      <c r="HH543" s="35"/>
      <c r="HI543" s="35"/>
      <c r="HJ543" s="35"/>
      <c r="HK543" s="35"/>
      <c r="HL543" s="35"/>
      <c r="HM543" s="35"/>
      <c r="HN543" s="35"/>
      <c r="HO543" s="35"/>
      <c r="HP543" s="35"/>
      <c r="HQ543" s="35"/>
      <c r="HR543" s="35"/>
      <c r="HS543" s="35"/>
      <c r="HT543" s="35"/>
      <c r="HU543" s="35"/>
      <c r="HV543" s="35"/>
      <c r="HW543" s="35"/>
      <c r="HX543" s="35"/>
      <c r="HY543" s="35"/>
      <c r="HZ543" s="35"/>
      <c r="IA543" s="35"/>
      <c r="IB543" s="35"/>
      <c r="IC543" s="35"/>
      <c r="ID543" s="35"/>
      <c r="IE543" s="35"/>
      <c r="IF543" s="35"/>
      <c r="IG543" s="35"/>
      <c r="IH543" s="35"/>
      <c r="II543" s="35"/>
      <c r="IJ543" s="35"/>
      <c r="IK543" s="35"/>
      <c r="IL543" s="35"/>
      <c r="IM543" s="35"/>
      <c r="IN543" s="35"/>
      <c r="IO543" s="35"/>
      <c r="IP543" s="35"/>
      <c r="IQ543" s="35"/>
      <c r="IR543" s="35"/>
      <c r="IS543" s="35"/>
      <c r="IT543" s="35"/>
      <c r="IU543" s="35"/>
      <c r="IV543" s="35"/>
      <c r="IW543" s="35"/>
    </row>
    <row r="544" customFormat="false" ht="11.25" hidden="false" customHeight="false" outlineLevel="0" collapsed="false">
      <c r="A544" s="307"/>
      <c r="B544" s="67"/>
      <c r="G544" s="65" t="s">
        <v>837</v>
      </c>
      <c r="I544" s="449" t="n">
        <v>0</v>
      </c>
      <c r="J544" s="449" t="n">
        <v>0</v>
      </c>
      <c r="K544" s="449" t="n">
        <v>0</v>
      </c>
      <c r="L544" s="449" t="n">
        <v>0</v>
      </c>
      <c r="M544" s="449" t="n">
        <v>0</v>
      </c>
      <c r="N544" s="449" t="n">
        <v>0</v>
      </c>
      <c r="O544" s="449" t="n">
        <v>0</v>
      </c>
      <c r="P544" s="449" t="n">
        <v>0</v>
      </c>
      <c r="Q544" s="449" t="n">
        <v>0</v>
      </c>
      <c r="R544" s="449" t="n">
        <v>0</v>
      </c>
      <c r="S544" s="449" t="n">
        <v>0</v>
      </c>
      <c r="T544" s="449" t="n">
        <v>0</v>
      </c>
      <c r="U544" s="449" t="n">
        <v>0</v>
      </c>
      <c r="V544" s="449" t="n">
        <v>0</v>
      </c>
      <c r="W544" s="449" t="n">
        <v>0</v>
      </c>
      <c r="X544" s="449" t="n">
        <v>0</v>
      </c>
      <c r="Y544" s="449" t="n">
        <v>0</v>
      </c>
      <c r="Z544" s="449" t="n">
        <v>0</v>
      </c>
      <c r="AA544" s="449" t="n">
        <v>0</v>
      </c>
      <c r="AB544" s="449" t="n">
        <v>0</v>
      </c>
      <c r="AC544" s="449" t="n">
        <v>0</v>
      </c>
      <c r="AH544" s="35"/>
      <c r="AI544" s="35"/>
      <c r="AJ544" s="35"/>
      <c r="AK544" s="35"/>
      <c r="AL544" s="35"/>
      <c r="AM544" s="35"/>
      <c r="AN544" s="35"/>
      <c r="AO544" s="35"/>
      <c r="AP544" s="35"/>
      <c r="AQ544" s="35"/>
      <c r="AR544" s="35"/>
      <c r="AS544" s="35"/>
      <c r="AT544" s="35"/>
      <c r="AU544" s="35"/>
      <c r="AV544" s="35"/>
      <c r="AW544" s="35"/>
      <c r="AX544" s="35"/>
      <c r="AY544" s="35"/>
      <c r="AZ544" s="35"/>
      <c r="BA544" s="35"/>
      <c r="BB544" s="35"/>
      <c r="BC544" s="35"/>
      <c r="BD544" s="35"/>
      <c r="BE544" s="35"/>
      <c r="BF544" s="35"/>
      <c r="BG544" s="35"/>
      <c r="BH544" s="35"/>
      <c r="BI544" s="35"/>
      <c r="BJ544" s="35"/>
      <c r="BK544" s="35"/>
      <c r="BL544" s="35"/>
      <c r="BM544" s="35"/>
      <c r="BN544" s="35"/>
      <c r="BO544" s="35"/>
      <c r="BP544" s="35"/>
      <c r="BQ544" s="35"/>
      <c r="BR544" s="35"/>
      <c r="BS544" s="35"/>
      <c r="BT544" s="35"/>
      <c r="BU544" s="35"/>
      <c r="BV544" s="35"/>
      <c r="BW544" s="35"/>
      <c r="BX544" s="35"/>
      <c r="BY544" s="35"/>
      <c r="BZ544" s="35"/>
      <c r="CA544" s="35"/>
      <c r="CB544" s="35"/>
      <c r="CC544" s="35"/>
      <c r="CD544" s="35"/>
      <c r="CE544" s="35"/>
      <c r="CF544" s="35"/>
      <c r="CG544" s="35"/>
      <c r="CH544" s="35"/>
      <c r="CI544" s="35"/>
      <c r="CJ544" s="35"/>
      <c r="CK544" s="35"/>
      <c r="CL544" s="35"/>
      <c r="CM544" s="35"/>
      <c r="CN544" s="35"/>
      <c r="CO544" s="35"/>
      <c r="CP544" s="35"/>
      <c r="CQ544" s="35"/>
      <c r="CR544" s="35"/>
      <c r="CS544" s="35"/>
      <c r="CT544" s="35"/>
      <c r="CU544" s="35"/>
      <c r="CV544" s="35"/>
      <c r="CW544" s="35"/>
      <c r="CX544" s="35"/>
      <c r="CY544" s="35"/>
      <c r="CZ544" s="35"/>
      <c r="DA544" s="35"/>
      <c r="DB544" s="35"/>
      <c r="DC544" s="35"/>
      <c r="DD544" s="35"/>
      <c r="DE544" s="35"/>
      <c r="DF544" s="35"/>
      <c r="DG544" s="35"/>
      <c r="DH544" s="35"/>
      <c r="DI544" s="35"/>
      <c r="DJ544" s="35"/>
      <c r="DK544" s="35"/>
      <c r="DL544" s="35"/>
      <c r="DM544" s="35"/>
      <c r="DN544" s="35"/>
      <c r="DO544" s="35"/>
      <c r="DP544" s="35"/>
      <c r="DQ544" s="35"/>
      <c r="DR544" s="35"/>
      <c r="DS544" s="35"/>
      <c r="DT544" s="35"/>
      <c r="DU544" s="35"/>
      <c r="DV544" s="35"/>
      <c r="DW544" s="35"/>
      <c r="DX544" s="35"/>
      <c r="DY544" s="35"/>
      <c r="DZ544" s="35"/>
      <c r="EA544" s="35"/>
      <c r="EB544" s="35"/>
      <c r="EC544" s="35"/>
      <c r="ED544" s="35"/>
      <c r="EE544" s="35"/>
      <c r="EF544" s="35"/>
      <c r="EG544" s="35"/>
      <c r="EH544" s="35"/>
      <c r="EI544" s="35"/>
      <c r="EJ544" s="35"/>
      <c r="EK544" s="35"/>
      <c r="EL544" s="35"/>
      <c r="EM544" s="35"/>
      <c r="EN544" s="35"/>
      <c r="EO544" s="35"/>
      <c r="EP544" s="35"/>
      <c r="EQ544" s="35"/>
      <c r="ER544" s="35"/>
      <c r="ES544" s="35"/>
      <c r="ET544" s="35"/>
      <c r="EU544" s="35"/>
      <c r="EV544" s="35"/>
      <c r="EW544" s="35"/>
      <c r="EX544" s="35"/>
      <c r="EY544" s="35"/>
      <c r="EZ544" s="35"/>
      <c r="FA544" s="35"/>
      <c r="FB544" s="35"/>
      <c r="FC544" s="35"/>
      <c r="FD544" s="35"/>
      <c r="FE544" s="35"/>
      <c r="FF544" s="35"/>
      <c r="FG544" s="35"/>
      <c r="FH544" s="35"/>
      <c r="FI544" s="35"/>
      <c r="FJ544" s="35"/>
      <c r="FK544" s="35"/>
      <c r="FL544" s="35"/>
      <c r="FM544" s="35"/>
      <c r="FN544" s="35"/>
      <c r="FO544" s="35"/>
      <c r="FP544" s="35"/>
      <c r="FQ544" s="35"/>
      <c r="FR544" s="35"/>
      <c r="FS544" s="35"/>
      <c r="FT544" s="35"/>
      <c r="FU544" s="35"/>
      <c r="FV544" s="35"/>
      <c r="FW544" s="35"/>
      <c r="FX544" s="35"/>
      <c r="FY544" s="35"/>
      <c r="FZ544" s="35"/>
      <c r="GA544" s="35"/>
      <c r="GB544" s="35"/>
      <c r="GC544" s="35"/>
      <c r="GD544" s="35"/>
      <c r="GE544" s="35"/>
      <c r="GF544" s="35"/>
      <c r="GG544" s="35"/>
      <c r="GH544" s="35"/>
      <c r="GI544" s="35"/>
      <c r="GJ544" s="35"/>
      <c r="GK544" s="35"/>
      <c r="GL544" s="35"/>
      <c r="GM544" s="35"/>
      <c r="GN544" s="35"/>
      <c r="GO544" s="35"/>
      <c r="GP544" s="35"/>
      <c r="GQ544" s="35"/>
      <c r="GR544" s="35"/>
      <c r="GS544" s="35"/>
      <c r="GT544" s="35"/>
      <c r="GU544" s="35"/>
      <c r="GV544" s="35"/>
      <c r="GW544" s="35"/>
      <c r="GX544" s="35"/>
      <c r="GY544" s="35"/>
      <c r="GZ544" s="35"/>
      <c r="HA544" s="35"/>
      <c r="HB544" s="35"/>
      <c r="HC544" s="35"/>
      <c r="HD544" s="35"/>
      <c r="HE544" s="35"/>
      <c r="HF544" s="35"/>
      <c r="HG544" s="35"/>
      <c r="HH544" s="35"/>
      <c r="HI544" s="35"/>
      <c r="HJ544" s="35"/>
      <c r="HK544" s="35"/>
      <c r="HL544" s="35"/>
      <c r="HM544" s="35"/>
      <c r="HN544" s="35"/>
      <c r="HO544" s="35"/>
      <c r="HP544" s="35"/>
      <c r="HQ544" s="35"/>
      <c r="HR544" s="35"/>
      <c r="HS544" s="35"/>
      <c r="HT544" s="35"/>
      <c r="HU544" s="35"/>
      <c r="HV544" s="35"/>
      <c r="HW544" s="35"/>
      <c r="HX544" s="35"/>
      <c r="HY544" s="35"/>
      <c r="HZ544" s="35"/>
      <c r="IA544" s="35"/>
      <c r="IB544" s="35"/>
      <c r="IC544" s="35"/>
      <c r="ID544" s="35"/>
      <c r="IE544" s="35"/>
      <c r="IF544" s="35"/>
      <c r="IG544" s="35"/>
      <c r="IH544" s="35"/>
      <c r="II544" s="35"/>
      <c r="IJ544" s="35"/>
      <c r="IK544" s="35"/>
      <c r="IL544" s="35"/>
      <c r="IM544" s="35"/>
      <c r="IN544" s="35"/>
      <c r="IO544" s="35"/>
      <c r="IP544" s="35"/>
      <c r="IQ544" s="35"/>
      <c r="IR544" s="35"/>
      <c r="IS544" s="35"/>
      <c r="IT544" s="35"/>
      <c r="IU544" s="35"/>
      <c r="IV544" s="35"/>
      <c r="IW544" s="35"/>
    </row>
    <row r="545" customFormat="false" ht="11.25" hidden="false" customHeight="false" outlineLevel="0" collapsed="false">
      <c r="A545" s="307"/>
      <c r="B545" s="67"/>
      <c r="G545" s="65"/>
      <c r="AH545" s="35"/>
      <c r="AI545" s="35"/>
      <c r="AJ545" s="35"/>
      <c r="AK545" s="35"/>
      <c r="AL545" s="35"/>
      <c r="AM545" s="35"/>
      <c r="AN545" s="35"/>
      <c r="AO545" s="35"/>
      <c r="AP545" s="35"/>
      <c r="AQ545" s="35"/>
      <c r="AR545" s="35"/>
      <c r="AS545" s="35"/>
      <c r="AT545" s="35"/>
      <c r="AU545" s="35"/>
      <c r="AV545" s="35"/>
      <c r="AW545" s="35"/>
      <c r="AX545" s="35"/>
      <c r="AY545" s="35"/>
      <c r="AZ545" s="35"/>
      <c r="BA545" s="35"/>
      <c r="BB545" s="35"/>
      <c r="BC545" s="35"/>
      <c r="BD545" s="35"/>
      <c r="BE545" s="35"/>
      <c r="BF545" s="35"/>
      <c r="BG545" s="35"/>
      <c r="BH545" s="35"/>
      <c r="BI545" s="35"/>
      <c r="BJ545" s="35"/>
      <c r="BK545" s="35"/>
      <c r="BL545" s="35"/>
      <c r="BM545" s="35"/>
      <c r="BN545" s="35"/>
      <c r="BO545" s="35"/>
      <c r="BP545" s="35"/>
      <c r="BQ545" s="35"/>
      <c r="BR545" s="35"/>
      <c r="BS545" s="35"/>
      <c r="BT545" s="35"/>
      <c r="BU545" s="35"/>
      <c r="BV545" s="35"/>
      <c r="BW545" s="35"/>
      <c r="BX545" s="35"/>
      <c r="BY545" s="35"/>
      <c r="BZ545" s="35"/>
      <c r="CA545" s="35"/>
      <c r="CB545" s="35"/>
      <c r="CC545" s="35"/>
      <c r="CD545" s="35"/>
      <c r="CE545" s="35"/>
      <c r="CF545" s="35"/>
      <c r="CG545" s="35"/>
      <c r="CH545" s="35"/>
      <c r="CI545" s="35"/>
      <c r="CJ545" s="35"/>
      <c r="CK545" s="35"/>
      <c r="CL545" s="35"/>
      <c r="CM545" s="35"/>
      <c r="CN545" s="35"/>
      <c r="CO545" s="35"/>
      <c r="CP545" s="35"/>
      <c r="CQ545" s="35"/>
      <c r="CR545" s="35"/>
      <c r="CS545" s="35"/>
      <c r="CT545" s="35"/>
      <c r="CU545" s="35"/>
      <c r="CV545" s="35"/>
      <c r="CW545" s="35"/>
      <c r="CX545" s="35"/>
      <c r="CY545" s="35"/>
      <c r="CZ545" s="35"/>
      <c r="DA545" s="35"/>
      <c r="DB545" s="35"/>
      <c r="DC545" s="35"/>
      <c r="DD545" s="35"/>
      <c r="DE545" s="35"/>
      <c r="DF545" s="35"/>
      <c r="DG545" s="35"/>
      <c r="DH545" s="35"/>
      <c r="DI545" s="35"/>
      <c r="DJ545" s="35"/>
      <c r="DK545" s="35"/>
      <c r="DL545" s="35"/>
      <c r="DM545" s="35"/>
      <c r="DN545" s="35"/>
      <c r="DO545" s="35"/>
      <c r="DP545" s="35"/>
      <c r="DQ545" s="35"/>
      <c r="DR545" s="35"/>
      <c r="DS545" s="35"/>
      <c r="DT545" s="35"/>
      <c r="DU545" s="35"/>
      <c r="DV545" s="35"/>
      <c r="DW545" s="35"/>
      <c r="DX545" s="35"/>
      <c r="DY545" s="35"/>
      <c r="DZ545" s="35"/>
      <c r="EA545" s="35"/>
      <c r="EB545" s="35"/>
      <c r="EC545" s="35"/>
      <c r="ED545" s="35"/>
      <c r="EE545" s="35"/>
      <c r="EF545" s="35"/>
      <c r="EG545" s="35"/>
      <c r="EH545" s="35"/>
      <c r="EI545" s="35"/>
      <c r="EJ545" s="35"/>
      <c r="EK545" s="35"/>
      <c r="EL545" s="35"/>
      <c r="EM545" s="35"/>
      <c r="EN545" s="35"/>
      <c r="EO545" s="35"/>
      <c r="EP545" s="35"/>
      <c r="EQ545" s="35"/>
      <c r="ER545" s="35"/>
      <c r="ES545" s="35"/>
      <c r="ET545" s="35"/>
      <c r="EU545" s="35"/>
      <c r="EV545" s="35"/>
      <c r="EW545" s="35"/>
      <c r="EX545" s="35"/>
      <c r="EY545" s="35"/>
      <c r="EZ545" s="35"/>
      <c r="FA545" s="35"/>
      <c r="FB545" s="35"/>
      <c r="FC545" s="35"/>
      <c r="FD545" s="35"/>
      <c r="FE545" s="35"/>
      <c r="FF545" s="35"/>
      <c r="FG545" s="35"/>
      <c r="FH545" s="35"/>
      <c r="FI545" s="35"/>
      <c r="FJ545" s="35"/>
      <c r="FK545" s="35"/>
      <c r="FL545" s="35"/>
      <c r="FM545" s="35"/>
      <c r="FN545" s="35"/>
      <c r="FO545" s="35"/>
      <c r="FP545" s="35"/>
      <c r="FQ545" s="35"/>
      <c r="FR545" s="35"/>
      <c r="FS545" s="35"/>
      <c r="FT545" s="35"/>
      <c r="FU545" s="35"/>
      <c r="FV545" s="35"/>
      <c r="FW545" s="35"/>
      <c r="FX545" s="35"/>
      <c r="FY545" s="35"/>
      <c r="FZ545" s="35"/>
      <c r="GA545" s="35"/>
      <c r="GB545" s="35"/>
      <c r="GC545" s="35"/>
      <c r="GD545" s="35"/>
      <c r="GE545" s="35"/>
      <c r="GF545" s="35"/>
      <c r="GG545" s="35"/>
      <c r="GH545" s="35"/>
      <c r="GI545" s="35"/>
      <c r="GJ545" s="35"/>
      <c r="GK545" s="35"/>
      <c r="GL545" s="35"/>
      <c r="GM545" s="35"/>
      <c r="GN545" s="35"/>
      <c r="GO545" s="35"/>
      <c r="GP545" s="35"/>
      <c r="GQ545" s="35"/>
      <c r="GR545" s="35"/>
      <c r="GS545" s="35"/>
      <c r="GT545" s="35"/>
      <c r="GU545" s="35"/>
      <c r="GV545" s="35"/>
      <c r="GW545" s="35"/>
      <c r="GX545" s="35"/>
      <c r="GY545" s="35"/>
      <c r="GZ545" s="35"/>
      <c r="HA545" s="35"/>
      <c r="HB545" s="35"/>
      <c r="HC545" s="35"/>
      <c r="HD545" s="35"/>
      <c r="HE545" s="35"/>
      <c r="HF545" s="35"/>
      <c r="HG545" s="35"/>
      <c r="HH545" s="35"/>
      <c r="HI545" s="35"/>
      <c r="HJ545" s="35"/>
      <c r="HK545" s="35"/>
      <c r="HL545" s="35"/>
      <c r="HM545" s="35"/>
      <c r="HN545" s="35"/>
      <c r="HO545" s="35"/>
      <c r="HP545" s="35"/>
      <c r="HQ545" s="35"/>
      <c r="HR545" s="35"/>
      <c r="HS545" s="35"/>
      <c r="HT545" s="35"/>
      <c r="HU545" s="35"/>
      <c r="HV545" s="35"/>
      <c r="HW545" s="35"/>
      <c r="HX545" s="35"/>
      <c r="HY545" s="35"/>
      <c r="HZ545" s="35"/>
      <c r="IA545" s="35"/>
      <c r="IB545" s="35"/>
      <c r="IC545" s="35"/>
      <c r="ID545" s="35"/>
      <c r="IE545" s="35"/>
      <c r="IF545" s="35"/>
      <c r="IG545" s="35"/>
      <c r="IH545" s="35"/>
      <c r="II545" s="35"/>
      <c r="IJ545" s="35"/>
      <c r="IK545" s="35"/>
      <c r="IL545" s="35"/>
      <c r="IM545" s="35"/>
      <c r="IN545" s="35"/>
      <c r="IO545" s="35"/>
      <c r="IP545" s="35"/>
      <c r="IQ545" s="35"/>
      <c r="IR545" s="35"/>
      <c r="IS545" s="35"/>
      <c r="IT545" s="35"/>
      <c r="IU545" s="35"/>
      <c r="IV545" s="35"/>
      <c r="IW545" s="35"/>
    </row>
    <row r="546" customFormat="false" ht="11.25" hidden="false" customHeight="false" outlineLevel="0" collapsed="false">
      <c r="A546" s="307" t="s">
        <v>860</v>
      </c>
      <c r="B546" s="67"/>
      <c r="G546" s="65" t="s">
        <v>852</v>
      </c>
      <c r="I546" s="449" t="n">
        <v>0</v>
      </c>
      <c r="J546" s="449" t="n">
        <v>0</v>
      </c>
      <c r="K546" s="449" t="n">
        <v>0</v>
      </c>
      <c r="L546" s="449" t="n">
        <v>0</v>
      </c>
      <c r="M546" s="449" t="n">
        <v>0</v>
      </c>
      <c r="N546" s="449" t="n">
        <v>0</v>
      </c>
      <c r="O546" s="449" t="n">
        <v>0</v>
      </c>
      <c r="P546" s="449" t="n">
        <v>0</v>
      </c>
      <c r="Q546" s="449" t="n">
        <v>0</v>
      </c>
      <c r="R546" s="449" t="n">
        <v>0</v>
      </c>
      <c r="S546" s="449" t="n">
        <v>0</v>
      </c>
      <c r="T546" s="449" t="n">
        <v>0</v>
      </c>
      <c r="U546" s="449" t="n">
        <v>0</v>
      </c>
      <c r="V546" s="449" t="n">
        <v>0</v>
      </c>
      <c r="W546" s="449" t="n">
        <v>0</v>
      </c>
      <c r="X546" s="449" t="n">
        <v>0</v>
      </c>
      <c r="Y546" s="449" t="n">
        <v>0</v>
      </c>
      <c r="Z546" s="449" t="n">
        <v>0</v>
      </c>
      <c r="AA546" s="449" t="n">
        <v>0</v>
      </c>
      <c r="AB546" s="449" t="n">
        <v>0</v>
      </c>
      <c r="AC546" s="449" t="n">
        <v>0</v>
      </c>
      <c r="AH546" s="35"/>
      <c r="AI546" s="35"/>
      <c r="AJ546" s="35"/>
      <c r="AK546" s="35"/>
      <c r="AL546" s="35"/>
      <c r="AM546" s="35"/>
      <c r="AN546" s="35"/>
      <c r="AO546" s="35"/>
      <c r="AP546" s="35"/>
      <c r="AQ546" s="35"/>
      <c r="AR546" s="35"/>
      <c r="AS546" s="35"/>
      <c r="AT546" s="35"/>
      <c r="AU546" s="35"/>
      <c r="AV546" s="35"/>
      <c r="AW546" s="35"/>
      <c r="AX546" s="35"/>
      <c r="AY546" s="35"/>
      <c r="AZ546" s="35"/>
      <c r="BA546" s="35"/>
      <c r="BB546" s="35"/>
      <c r="BC546" s="35"/>
      <c r="BD546" s="35"/>
      <c r="BE546" s="35"/>
      <c r="BF546" s="35"/>
      <c r="BG546" s="35"/>
      <c r="BH546" s="35"/>
      <c r="BI546" s="35"/>
      <c r="BJ546" s="35"/>
      <c r="BK546" s="35"/>
      <c r="BL546" s="35"/>
      <c r="BM546" s="35"/>
      <c r="BN546" s="35"/>
      <c r="BO546" s="35"/>
      <c r="BP546" s="35"/>
      <c r="BQ546" s="35"/>
      <c r="BR546" s="35"/>
      <c r="BS546" s="35"/>
      <c r="BT546" s="35"/>
      <c r="BU546" s="35"/>
      <c r="BV546" s="35"/>
      <c r="BW546" s="35"/>
      <c r="BX546" s="35"/>
      <c r="BY546" s="35"/>
      <c r="BZ546" s="35"/>
      <c r="CA546" s="35"/>
      <c r="CB546" s="35"/>
      <c r="CC546" s="35"/>
      <c r="CD546" s="35"/>
      <c r="CE546" s="35"/>
      <c r="CF546" s="35"/>
      <c r="CG546" s="35"/>
      <c r="CH546" s="35"/>
      <c r="CI546" s="35"/>
      <c r="CJ546" s="35"/>
      <c r="CK546" s="35"/>
      <c r="CL546" s="35"/>
      <c r="CM546" s="35"/>
      <c r="CN546" s="35"/>
      <c r="CO546" s="35"/>
      <c r="CP546" s="35"/>
      <c r="CQ546" s="35"/>
      <c r="CR546" s="35"/>
      <c r="CS546" s="35"/>
      <c r="CT546" s="35"/>
      <c r="CU546" s="35"/>
      <c r="CV546" s="35"/>
      <c r="CW546" s="35"/>
      <c r="CX546" s="35"/>
      <c r="CY546" s="35"/>
      <c r="CZ546" s="35"/>
      <c r="DA546" s="35"/>
      <c r="DB546" s="35"/>
      <c r="DC546" s="35"/>
      <c r="DD546" s="35"/>
      <c r="DE546" s="35"/>
      <c r="DF546" s="35"/>
      <c r="DG546" s="35"/>
      <c r="DH546" s="35"/>
      <c r="DI546" s="35"/>
      <c r="DJ546" s="35"/>
      <c r="DK546" s="35"/>
      <c r="DL546" s="35"/>
      <c r="DM546" s="35"/>
      <c r="DN546" s="35"/>
      <c r="DO546" s="35"/>
      <c r="DP546" s="35"/>
      <c r="DQ546" s="35"/>
      <c r="DR546" s="35"/>
      <c r="DS546" s="35"/>
      <c r="DT546" s="35"/>
      <c r="DU546" s="35"/>
      <c r="DV546" s="35"/>
      <c r="DW546" s="35"/>
      <c r="DX546" s="35"/>
      <c r="DY546" s="35"/>
      <c r="DZ546" s="35"/>
      <c r="EA546" s="35"/>
      <c r="EB546" s="35"/>
      <c r="EC546" s="35"/>
      <c r="ED546" s="35"/>
      <c r="EE546" s="35"/>
      <c r="EF546" s="35"/>
      <c r="EG546" s="35"/>
      <c r="EH546" s="35"/>
      <c r="EI546" s="35"/>
      <c r="EJ546" s="35"/>
      <c r="EK546" s="35"/>
      <c r="EL546" s="35"/>
      <c r="EM546" s="35"/>
      <c r="EN546" s="35"/>
      <c r="EO546" s="35"/>
      <c r="EP546" s="35"/>
      <c r="EQ546" s="35"/>
      <c r="ER546" s="35"/>
      <c r="ES546" s="35"/>
      <c r="ET546" s="35"/>
      <c r="EU546" s="35"/>
      <c r="EV546" s="35"/>
      <c r="EW546" s="35"/>
      <c r="EX546" s="35"/>
      <c r="EY546" s="35"/>
      <c r="EZ546" s="35"/>
      <c r="FA546" s="35"/>
      <c r="FB546" s="35"/>
      <c r="FC546" s="35"/>
      <c r="FD546" s="35"/>
      <c r="FE546" s="35"/>
      <c r="FF546" s="35"/>
      <c r="FG546" s="35"/>
      <c r="FH546" s="35"/>
      <c r="FI546" s="35"/>
      <c r="FJ546" s="35"/>
      <c r="FK546" s="35"/>
      <c r="FL546" s="35"/>
      <c r="FM546" s="35"/>
      <c r="FN546" s="35"/>
      <c r="FO546" s="35"/>
      <c r="FP546" s="35"/>
      <c r="FQ546" s="35"/>
      <c r="FR546" s="35"/>
      <c r="FS546" s="35"/>
      <c r="FT546" s="35"/>
      <c r="FU546" s="35"/>
      <c r="FV546" s="35"/>
      <c r="FW546" s="35"/>
      <c r="FX546" s="35"/>
      <c r="FY546" s="35"/>
      <c r="FZ546" s="35"/>
      <c r="GA546" s="35"/>
      <c r="GB546" s="35"/>
      <c r="GC546" s="35"/>
      <c r="GD546" s="35"/>
      <c r="GE546" s="35"/>
      <c r="GF546" s="35"/>
      <c r="GG546" s="35"/>
      <c r="GH546" s="35"/>
      <c r="GI546" s="35"/>
      <c r="GJ546" s="35"/>
      <c r="GK546" s="35"/>
      <c r="GL546" s="35"/>
      <c r="GM546" s="35"/>
      <c r="GN546" s="35"/>
      <c r="GO546" s="35"/>
      <c r="GP546" s="35"/>
      <c r="GQ546" s="35"/>
      <c r="GR546" s="35"/>
      <c r="GS546" s="35"/>
      <c r="GT546" s="35"/>
      <c r="GU546" s="35"/>
      <c r="GV546" s="35"/>
      <c r="GW546" s="35"/>
      <c r="GX546" s="35"/>
      <c r="GY546" s="35"/>
      <c r="GZ546" s="35"/>
      <c r="HA546" s="35"/>
      <c r="HB546" s="35"/>
      <c r="HC546" s="35"/>
      <c r="HD546" s="35"/>
      <c r="HE546" s="35"/>
      <c r="HF546" s="35"/>
      <c r="HG546" s="35"/>
      <c r="HH546" s="35"/>
      <c r="HI546" s="35"/>
      <c r="HJ546" s="35"/>
      <c r="HK546" s="35"/>
      <c r="HL546" s="35"/>
      <c r="HM546" s="35"/>
      <c r="HN546" s="35"/>
      <c r="HO546" s="35"/>
      <c r="HP546" s="35"/>
      <c r="HQ546" s="35"/>
      <c r="HR546" s="35"/>
      <c r="HS546" s="35"/>
      <c r="HT546" s="35"/>
      <c r="HU546" s="35"/>
      <c r="HV546" s="35"/>
      <c r="HW546" s="35"/>
      <c r="HX546" s="35"/>
      <c r="HY546" s="35"/>
      <c r="HZ546" s="35"/>
      <c r="IA546" s="35"/>
      <c r="IB546" s="35"/>
      <c r="IC546" s="35"/>
      <c r="ID546" s="35"/>
      <c r="IE546" s="35"/>
      <c r="IF546" s="35"/>
      <c r="IG546" s="35"/>
      <c r="IH546" s="35"/>
      <c r="II546" s="35"/>
      <c r="IJ546" s="35"/>
      <c r="IK546" s="35"/>
      <c r="IL546" s="35"/>
      <c r="IM546" s="35"/>
      <c r="IN546" s="35"/>
      <c r="IO546" s="35"/>
      <c r="IP546" s="35"/>
      <c r="IQ546" s="35"/>
      <c r="IR546" s="35"/>
      <c r="IS546" s="35"/>
      <c r="IT546" s="35"/>
      <c r="IU546" s="35"/>
      <c r="IV546" s="35"/>
      <c r="IW546" s="35"/>
    </row>
    <row r="547" customFormat="false" ht="11.25" hidden="false" customHeight="false" outlineLevel="0" collapsed="false">
      <c r="A547" s="307"/>
      <c r="B547" s="67"/>
      <c r="G547" s="65" t="s">
        <v>853</v>
      </c>
      <c r="I547" s="449" t="n">
        <v>0</v>
      </c>
      <c r="J547" s="449" t="n">
        <v>0</v>
      </c>
      <c r="K547" s="449" t="n">
        <v>0</v>
      </c>
      <c r="L547" s="449" t="n">
        <v>0</v>
      </c>
      <c r="M547" s="449" t="n">
        <v>0</v>
      </c>
      <c r="N547" s="449" t="n">
        <v>0</v>
      </c>
      <c r="O547" s="449" t="n">
        <v>0</v>
      </c>
      <c r="P547" s="449" t="n">
        <v>0</v>
      </c>
      <c r="Q547" s="449" t="n">
        <v>0</v>
      </c>
      <c r="R547" s="449" t="n">
        <v>0</v>
      </c>
      <c r="S547" s="449" t="n">
        <v>0</v>
      </c>
      <c r="T547" s="449" t="n">
        <v>0</v>
      </c>
      <c r="U547" s="449" t="n">
        <v>0</v>
      </c>
      <c r="V547" s="449" t="n">
        <v>0</v>
      </c>
      <c r="W547" s="449" t="n">
        <v>0</v>
      </c>
      <c r="X547" s="449" t="n">
        <v>0</v>
      </c>
      <c r="Y547" s="449" t="n">
        <v>0</v>
      </c>
      <c r="Z547" s="449" t="n">
        <v>0</v>
      </c>
      <c r="AA547" s="449" t="n">
        <v>0</v>
      </c>
      <c r="AB547" s="449" t="n">
        <v>0</v>
      </c>
      <c r="AC547" s="449" t="n">
        <v>0</v>
      </c>
      <c r="AH547" s="35"/>
      <c r="AI547" s="35"/>
      <c r="AJ547" s="35"/>
      <c r="AK547" s="35"/>
      <c r="AL547" s="35"/>
      <c r="AM547" s="35"/>
      <c r="AN547" s="35"/>
      <c r="AO547" s="35"/>
      <c r="AP547" s="35"/>
      <c r="AQ547" s="35"/>
      <c r="AR547" s="35"/>
      <c r="AS547" s="35"/>
      <c r="AT547" s="35"/>
      <c r="AU547" s="35"/>
      <c r="AV547" s="35"/>
      <c r="AW547" s="35"/>
      <c r="AX547" s="35"/>
      <c r="AY547" s="35"/>
      <c r="AZ547" s="35"/>
      <c r="BA547" s="35"/>
      <c r="BB547" s="35"/>
      <c r="BC547" s="35"/>
      <c r="BD547" s="35"/>
      <c r="BE547" s="35"/>
      <c r="BF547" s="35"/>
      <c r="BG547" s="35"/>
      <c r="BH547" s="35"/>
      <c r="BI547" s="35"/>
      <c r="BJ547" s="35"/>
      <c r="BK547" s="35"/>
      <c r="BL547" s="35"/>
      <c r="BM547" s="35"/>
      <c r="BN547" s="35"/>
      <c r="BO547" s="35"/>
      <c r="BP547" s="35"/>
      <c r="BQ547" s="35"/>
      <c r="BR547" s="35"/>
      <c r="BS547" s="35"/>
      <c r="BT547" s="35"/>
      <c r="BU547" s="35"/>
      <c r="BV547" s="35"/>
      <c r="BW547" s="35"/>
      <c r="BX547" s="35"/>
      <c r="BY547" s="35"/>
      <c r="BZ547" s="35"/>
      <c r="CA547" s="35"/>
      <c r="CB547" s="35"/>
      <c r="CC547" s="35"/>
      <c r="CD547" s="35"/>
      <c r="CE547" s="35"/>
      <c r="CF547" s="35"/>
      <c r="CG547" s="35"/>
      <c r="CH547" s="35"/>
      <c r="CI547" s="35"/>
      <c r="CJ547" s="35"/>
      <c r="CK547" s="35"/>
      <c r="CL547" s="35"/>
      <c r="CM547" s="35"/>
      <c r="CN547" s="35"/>
      <c r="CO547" s="35"/>
      <c r="CP547" s="35"/>
      <c r="CQ547" s="35"/>
      <c r="CR547" s="35"/>
      <c r="CS547" s="35"/>
      <c r="CT547" s="35"/>
      <c r="CU547" s="35"/>
      <c r="CV547" s="35"/>
      <c r="CW547" s="35"/>
      <c r="CX547" s="35"/>
      <c r="CY547" s="35"/>
      <c r="CZ547" s="35"/>
      <c r="DA547" s="35"/>
      <c r="DB547" s="35"/>
      <c r="DC547" s="35"/>
      <c r="DD547" s="35"/>
      <c r="DE547" s="35"/>
      <c r="DF547" s="35"/>
      <c r="DG547" s="35"/>
      <c r="DH547" s="35"/>
      <c r="DI547" s="35"/>
      <c r="DJ547" s="35"/>
      <c r="DK547" s="35"/>
      <c r="DL547" s="35"/>
      <c r="DM547" s="35"/>
      <c r="DN547" s="35"/>
      <c r="DO547" s="35"/>
      <c r="DP547" s="35"/>
      <c r="DQ547" s="35"/>
      <c r="DR547" s="35"/>
      <c r="DS547" s="35"/>
      <c r="DT547" s="35"/>
      <c r="DU547" s="35"/>
      <c r="DV547" s="35"/>
      <c r="DW547" s="35"/>
      <c r="DX547" s="35"/>
      <c r="DY547" s="35"/>
      <c r="DZ547" s="35"/>
      <c r="EA547" s="35"/>
      <c r="EB547" s="35"/>
      <c r="EC547" s="35"/>
      <c r="ED547" s="35"/>
      <c r="EE547" s="35"/>
      <c r="EF547" s="35"/>
      <c r="EG547" s="35"/>
      <c r="EH547" s="35"/>
      <c r="EI547" s="35"/>
      <c r="EJ547" s="35"/>
      <c r="EK547" s="35"/>
      <c r="EL547" s="35"/>
      <c r="EM547" s="35"/>
      <c r="EN547" s="35"/>
      <c r="EO547" s="35"/>
      <c r="EP547" s="35"/>
      <c r="EQ547" s="35"/>
      <c r="ER547" s="35"/>
      <c r="ES547" s="35"/>
      <c r="ET547" s="35"/>
      <c r="EU547" s="35"/>
      <c r="EV547" s="35"/>
      <c r="EW547" s="35"/>
      <c r="EX547" s="35"/>
      <c r="EY547" s="35"/>
      <c r="EZ547" s="35"/>
      <c r="FA547" s="35"/>
      <c r="FB547" s="35"/>
      <c r="FC547" s="35"/>
      <c r="FD547" s="35"/>
      <c r="FE547" s="35"/>
      <c r="FF547" s="35"/>
      <c r="FG547" s="35"/>
      <c r="FH547" s="35"/>
      <c r="FI547" s="35"/>
      <c r="FJ547" s="35"/>
      <c r="FK547" s="35"/>
      <c r="FL547" s="35"/>
      <c r="FM547" s="35"/>
      <c r="FN547" s="35"/>
      <c r="FO547" s="35"/>
      <c r="FP547" s="35"/>
      <c r="FQ547" s="35"/>
      <c r="FR547" s="35"/>
      <c r="FS547" s="35"/>
      <c r="FT547" s="35"/>
      <c r="FU547" s="35"/>
      <c r="FV547" s="35"/>
      <c r="FW547" s="35"/>
      <c r="FX547" s="35"/>
      <c r="FY547" s="35"/>
      <c r="FZ547" s="35"/>
      <c r="GA547" s="35"/>
      <c r="GB547" s="35"/>
      <c r="GC547" s="35"/>
      <c r="GD547" s="35"/>
      <c r="GE547" s="35"/>
      <c r="GF547" s="35"/>
      <c r="GG547" s="35"/>
      <c r="GH547" s="35"/>
      <c r="GI547" s="35"/>
      <c r="GJ547" s="35"/>
      <c r="GK547" s="35"/>
      <c r="GL547" s="35"/>
      <c r="GM547" s="35"/>
      <c r="GN547" s="35"/>
      <c r="GO547" s="35"/>
      <c r="GP547" s="35"/>
      <c r="GQ547" s="35"/>
      <c r="GR547" s="35"/>
      <c r="GS547" s="35"/>
      <c r="GT547" s="35"/>
      <c r="GU547" s="35"/>
      <c r="GV547" s="35"/>
      <c r="GW547" s="35"/>
      <c r="GX547" s="35"/>
      <c r="GY547" s="35"/>
      <c r="GZ547" s="35"/>
      <c r="HA547" s="35"/>
      <c r="HB547" s="35"/>
      <c r="HC547" s="35"/>
      <c r="HD547" s="35"/>
      <c r="HE547" s="35"/>
      <c r="HF547" s="35"/>
      <c r="HG547" s="35"/>
      <c r="HH547" s="35"/>
      <c r="HI547" s="35"/>
      <c r="HJ547" s="35"/>
      <c r="HK547" s="35"/>
      <c r="HL547" s="35"/>
      <c r="HM547" s="35"/>
      <c r="HN547" s="35"/>
      <c r="HO547" s="35"/>
      <c r="HP547" s="35"/>
      <c r="HQ547" s="35"/>
      <c r="HR547" s="35"/>
      <c r="HS547" s="35"/>
      <c r="HT547" s="35"/>
      <c r="HU547" s="35"/>
      <c r="HV547" s="35"/>
      <c r="HW547" s="35"/>
      <c r="HX547" s="35"/>
      <c r="HY547" s="35"/>
      <c r="HZ547" s="35"/>
      <c r="IA547" s="35"/>
      <c r="IB547" s="35"/>
      <c r="IC547" s="35"/>
      <c r="ID547" s="35"/>
      <c r="IE547" s="35"/>
      <c r="IF547" s="35"/>
      <c r="IG547" s="35"/>
      <c r="IH547" s="35"/>
      <c r="II547" s="35"/>
      <c r="IJ547" s="35"/>
      <c r="IK547" s="35"/>
      <c r="IL547" s="35"/>
      <c r="IM547" s="35"/>
      <c r="IN547" s="35"/>
      <c r="IO547" s="35"/>
      <c r="IP547" s="35"/>
      <c r="IQ547" s="35"/>
      <c r="IR547" s="35"/>
      <c r="IS547" s="35"/>
      <c r="IT547" s="35"/>
      <c r="IU547" s="35"/>
      <c r="IV547" s="35"/>
      <c r="IW547" s="35"/>
    </row>
    <row r="548" customFormat="false" ht="11.25" hidden="false" customHeight="false" outlineLevel="0" collapsed="false">
      <c r="A548" s="307"/>
      <c r="B548" s="43"/>
      <c r="I548" s="171"/>
      <c r="J548" s="171"/>
      <c r="K548" s="171"/>
      <c r="L548" s="171"/>
      <c r="M548" s="171"/>
      <c r="N548" s="171"/>
      <c r="O548" s="171"/>
      <c r="P548" s="171"/>
      <c r="Q548" s="171"/>
      <c r="R548" s="171"/>
      <c r="S548" s="171"/>
      <c r="T548" s="171"/>
      <c r="U548" s="171"/>
      <c r="V548" s="171"/>
      <c r="W548" s="171"/>
      <c r="X548" s="171"/>
      <c r="Y548" s="171"/>
      <c r="Z548" s="171"/>
      <c r="AA548" s="171"/>
      <c r="AB548" s="171"/>
      <c r="AC548" s="171"/>
    </row>
    <row r="549" customFormat="false" ht="12" hidden="false" customHeight="false" outlineLevel="0" collapsed="false">
      <c r="A549" s="43"/>
      <c r="B549" s="43"/>
      <c r="I549" s="171"/>
      <c r="J549" s="171"/>
      <c r="K549" s="171"/>
      <c r="L549" s="171"/>
      <c r="M549" s="171"/>
      <c r="N549" s="171"/>
      <c r="O549" s="171"/>
      <c r="P549" s="171"/>
      <c r="Q549" s="171"/>
      <c r="R549" s="171"/>
      <c r="S549" s="171"/>
      <c r="T549" s="171"/>
      <c r="U549" s="171"/>
      <c r="V549" s="171"/>
      <c r="W549" s="171"/>
      <c r="X549" s="171"/>
      <c r="Y549" s="171"/>
      <c r="Z549" s="171"/>
      <c r="AA549" s="171"/>
      <c r="AB549" s="171"/>
      <c r="AC549" s="171"/>
    </row>
    <row r="550" customFormat="false" ht="12.75" hidden="false" customHeight="false" outlineLevel="0" collapsed="false">
      <c r="A550" s="443"/>
      <c r="B550" s="292"/>
      <c r="C550" s="292"/>
      <c r="D550" s="292"/>
      <c r="E550" s="510"/>
      <c r="F550" s="292"/>
      <c r="G550" s="292"/>
      <c r="H550" s="510"/>
      <c r="I550" s="292"/>
      <c r="J550" s="510"/>
      <c r="K550" s="292"/>
      <c r="L550" s="292"/>
      <c r="M550" s="292"/>
      <c r="N550" s="292"/>
      <c r="O550" s="292"/>
      <c r="P550" s="292"/>
      <c r="Q550" s="292"/>
      <c r="R550" s="292"/>
      <c r="S550" s="292"/>
      <c r="T550" s="292"/>
      <c r="U550" s="292"/>
      <c r="V550" s="292"/>
      <c r="W550" s="292"/>
      <c r="X550" s="292"/>
      <c r="Y550" s="292"/>
      <c r="Z550" s="292"/>
      <c r="AA550" s="292"/>
      <c r="AB550" s="292"/>
      <c r="AC550" s="292"/>
    </row>
    <row r="551" customFormat="false" ht="12" hidden="false" customHeight="false" outlineLevel="0" collapsed="false">
      <c r="A551" s="153" t="s">
        <v>861</v>
      </c>
      <c r="D551" s="260"/>
      <c r="E551" s="511" t="n">
        <f aca="false">E580</f>
        <v>1996</v>
      </c>
      <c r="F551" s="512" t="n">
        <f aca="false">F580</f>
        <v>1997</v>
      </c>
      <c r="G551" s="512" t="n">
        <f aca="false">G580</f>
        <v>1998</v>
      </c>
      <c r="H551" s="513" t="str">
        <f aca="false">$H$579&amp;"/"&amp;TEXT($H$580,"0")</f>
        <v>6 M/1999</v>
      </c>
      <c r="I551" s="514" t="str">
        <f aca="false">$I$579&amp;"/"&amp;TEXT($I$580,"0")</f>
        <v>6 M/1999</v>
      </c>
      <c r="J551" s="515" t="n">
        <f aca="false">J580</f>
        <v>2000</v>
      </c>
      <c r="K551" s="515" t="n">
        <f aca="false">K580</f>
        <v>2001</v>
      </c>
      <c r="L551" s="515" t="n">
        <f aca="false">L580</f>
        <v>2002</v>
      </c>
      <c r="M551" s="515" t="n">
        <f aca="false">M580</f>
        <v>2003</v>
      </c>
      <c r="N551" s="515" t="n">
        <f aca="false">N580</f>
        <v>2004</v>
      </c>
      <c r="O551" s="515" t="n">
        <f aca="false">O580</f>
        <v>2005</v>
      </c>
      <c r="P551" s="515" t="n">
        <f aca="false">P580</f>
        <v>2006</v>
      </c>
      <c r="Q551" s="515" t="n">
        <f aca="false">Q580</f>
        <v>2007</v>
      </c>
      <c r="R551" s="515" t="n">
        <f aca="false">R580</f>
        <v>2008</v>
      </c>
      <c r="S551" s="515" t="n">
        <f aca="false">S580</f>
        <v>2009</v>
      </c>
      <c r="T551" s="515" t="n">
        <f aca="false">T580</f>
        <v>2010</v>
      </c>
      <c r="U551" s="515" t="n">
        <f aca="false">U580</f>
        <v>2011</v>
      </c>
      <c r="V551" s="515" t="n">
        <f aca="false">V580</f>
        <v>2012</v>
      </c>
      <c r="W551" s="515" t="n">
        <f aca="false">W580</f>
        <v>2013</v>
      </c>
      <c r="X551" s="515" t="n">
        <f aca="false">X580</f>
        <v>2014</v>
      </c>
      <c r="Y551" s="515" t="n">
        <f aca="false">Y580</f>
        <v>2015</v>
      </c>
      <c r="Z551" s="515" t="n">
        <f aca="false">Z580</f>
        <v>2016</v>
      </c>
      <c r="AA551" s="515" t="n">
        <f aca="false">AA580</f>
        <v>2017</v>
      </c>
      <c r="AB551" s="515" t="n">
        <f aca="false">AB580</f>
        <v>2018</v>
      </c>
      <c r="AC551" s="515" t="n">
        <f aca="false">AC580</f>
        <v>2019</v>
      </c>
    </row>
    <row r="552" customFormat="false" ht="12" hidden="false" customHeight="false" outlineLevel="0" collapsed="false">
      <c r="A552" s="153" t="s">
        <v>862</v>
      </c>
      <c r="E552" s="468" t="s">
        <v>766</v>
      </c>
      <c r="F552" s="468" t="s">
        <v>766</v>
      </c>
      <c r="G552" s="468" t="s">
        <v>766</v>
      </c>
      <c r="H552" s="516" t="s">
        <v>766</v>
      </c>
      <c r="I552" s="517" t="s">
        <v>765</v>
      </c>
      <c r="J552" s="518" t="s">
        <v>765</v>
      </c>
      <c r="K552" s="518" t="s">
        <v>765</v>
      </c>
      <c r="L552" s="518" t="s">
        <v>765</v>
      </c>
      <c r="M552" s="518" t="s">
        <v>765</v>
      </c>
      <c r="N552" s="518" t="s">
        <v>765</v>
      </c>
      <c r="O552" s="518" t="s">
        <v>765</v>
      </c>
      <c r="P552" s="518" t="s">
        <v>765</v>
      </c>
      <c r="Q552" s="518" t="s">
        <v>765</v>
      </c>
      <c r="R552" s="518" t="s">
        <v>765</v>
      </c>
      <c r="S552" s="518" t="s">
        <v>765</v>
      </c>
      <c r="T552" s="518" t="s">
        <v>765</v>
      </c>
      <c r="U552" s="518" t="s">
        <v>765</v>
      </c>
      <c r="V552" s="518" t="s">
        <v>765</v>
      </c>
      <c r="W552" s="518" t="s">
        <v>765</v>
      </c>
      <c r="X552" s="518" t="s">
        <v>765</v>
      </c>
      <c r="Y552" s="518" t="s">
        <v>765</v>
      </c>
      <c r="Z552" s="518" t="s">
        <v>765</v>
      </c>
      <c r="AA552" s="518" t="s">
        <v>765</v>
      </c>
      <c r="AB552" s="518" t="s">
        <v>765</v>
      </c>
      <c r="AC552" s="518" t="s">
        <v>765</v>
      </c>
    </row>
    <row r="553" customFormat="false" ht="12" hidden="false" customHeight="false" outlineLevel="0" collapsed="false">
      <c r="A553" s="153"/>
      <c r="E553" s="94"/>
      <c r="F553" s="94"/>
      <c r="G553" s="94"/>
      <c r="H553" s="519"/>
      <c r="I553" s="519"/>
      <c r="J553" s="519"/>
      <c r="K553" s="519"/>
      <c r="L553" s="519"/>
      <c r="M553" s="519"/>
      <c r="N553" s="519"/>
      <c r="O553" s="519"/>
      <c r="P553" s="519"/>
      <c r="Q553" s="519"/>
      <c r="R553" s="519"/>
      <c r="S553" s="519"/>
      <c r="T553" s="519"/>
      <c r="U553" s="519"/>
      <c r="V553" s="519"/>
      <c r="W553" s="519"/>
      <c r="X553" s="519"/>
      <c r="Y553" s="519"/>
      <c r="Z553" s="519"/>
      <c r="AA553" s="519"/>
      <c r="AB553" s="519"/>
      <c r="AC553" s="519"/>
    </row>
    <row r="554" customFormat="false" ht="11.25" hidden="false" customHeight="false" outlineLevel="0" collapsed="false">
      <c r="A554" s="43" t="s">
        <v>863</v>
      </c>
      <c r="D554" s="500"/>
      <c r="E554" s="449" t="n">
        <v>0</v>
      </c>
      <c r="F554" s="449" t="n">
        <v>0</v>
      </c>
      <c r="G554" s="449" t="n">
        <v>0</v>
      </c>
      <c r="H554" s="449" t="n">
        <v>0</v>
      </c>
      <c r="I554" s="496" t="n">
        <v>0</v>
      </c>
      <c r="J554" s="496" t="n">
        <v>0</v>
      </c>
      <c r="K554" s="496" t="n">
        <v>0</v>
      </c>
      <c r="L554" s="496" t="n">
        <v>0</v>
      </c>
      <c r="M554" s="496" t="n">
        <v>0</v>
      </c>
      <c r="N554" s="496" t="n">
        <v>0</v>
      </c>
      <c r="O554" s="496" t="n">
        <v>0</v>
      </c>
      <c r="P554" s="496" t="n">
        <v>0</v>
      </c>
      <c r="Q554" s="496" t="n">
        <v>0</v>
      </c>
      <c r="R554" s="496" t="n">
        <v>0</v>
      </c>
      <c r="S554" s="496" t="n">
        <v>0</v>
      </c>
      <c r="T554" s="496" t="n">
        <v>0</v>
      </c>
      <c r="U554" s="496" t="n">
        <v>0</v>
      </c>
      <c r="V554" s="496" t="n">
        <v>0</v>
      </c>
      <c r="W554" s="496" t="n">
        <v>0</v>
      </c>
      <c r="X554" s="496" t="n">
        <v>0</v>
      </c>
      <c r="Y554" s="496" t="n">
        <v>0</v>
      </c>
      <c r="Z554" s="496" t="n">
        <v>0</v>
      </c>
      <c r="AA554" s="496" t="n">
        <v>0</v>
      </c>
      <c r="AB554" s="496" t="n">
        <v>0</v>
      </c>
      <c r="AC554" s="496" t="n">
        <v>0</v>
      </c>
    </row>
    <row r="555" customFormat="false" ht="11.25" hidden="false" customHeight="false" outlineLevel="0" collapsed="false">
      <c r="A555" s="43" t="s">
        <v>864</v>
      </c>
      <c r="E555" s="449" t="n">
        <v>0</v>
      </c>
      <c r="F555" s="449" t="n">
        <v>0</v>
      </c>
      <c r="G555" s="449" t="n">
        <v>0</v>
      </c>
      <c r="H555" s="449" t="n">
        <v>0</v>
      </c>
      <c r="I555" s="496" t="n">
        <v>0</v>
      </c>
      <c r="J555" s="496" t="n">
        <f aca="false">I555</f>
        <v>0</v>
      </c>
      <c r="K555" s="496" t="n">
        <f aca="false">J555</f>
        <v>0</v>
      </c>
      <c r="L555" s="496" t="n">
        <f aca="false">K555</f>
        <v>0</v>
      </c>
      <c r="M555" s="496" t="n">
        <f aca="false">L555</f>
        <v>0</v>
      </c>
      <c r="N555" s="496" t="n">
        <f aca="false">M555</f>
        <v>0</v>
      </c>
      <c r="O555" s="496" t="n">
        <f aca="false">N555</f>
        <v>0</v>
      </c>
      <c r="P555" s="496" t="n">
        <f aca="false">O555</f>
        <v>0</v>
      </c>
      <c r="Q555" s="496" t="n">
        <f aca="false">P555</f>
        <v>0</v>
      </c>
      <c r="R555" s="496" t="n">
        <f aca="false">Q555</f>
        <v>0</v>
      </c>
      <c r="S555" s="496" t="n">
        <f aca="false">R555</f>
        <v>0</v>
      </c>
      <c r="T555" s="496" t="n">
        <f aca="false">S555</f>
        <v>0</v>
      </c>
      <c r="U555" s="496" t="n">
        <f aca="false">T555</f>
        <v>0</v>
      </c>
      <c r="V555" s="496" t="n">
        <f aca="false">U555</f>
        <v>0</v>
      </c>
      <c r="W555" s="496" t="n">
        <f aca="false">V555</f>
        <v>0</v>
      </c>
      <c r="X555" s="496" t="n">
        <f aca="false">W555</f>
        <v>0</v>
      </c>
      <c r="Y555" s="496" t="n">
        <f aca="false">X555</f>
        <v>0</v>
      </c>
      <c r="Z555" s="496" t="n">
        <f aca="false">Y555</f>
        <v>0</v>
      </c>
      <c r="AA555" s="496" t="n">
        <f aca="false">Z555</f>
        <v>0</v>
      </c>
      <c r="AB555" s="496" t="n">
        <f aca="false">AA555</f>
        <v>0</v>
      </c>
      <c r="AC555" s="496" t="n">
        <f aca="false">AB555</f>
        <v>0</v>
      </c>
    </row>
    <row r="556" customFormat="false" ht="11.25" hidden="false" customHeight="false" outlineLevel="0" collapsed="false">
      <c r="A556" s="43" t="s">
        <v>865</v>
      </c>
      <c r="E556" s="449" t="n">
        <v>0</v>
      </c>
      <c r="F556" s="449" t="n">
        <v>0</v>
      </c>
      <c r="G556" s="449" t="n">
        <v>0</v>
      </c>
      <c r="H556" s="449" t="n">
        <v>0</v>
      </c>
      <c r="I556" s="496" t="n">
        <v>0.06</v>
      </c>
      <c r="J556" s="496" t="n">
        <f aca="false">I556</f>
        <v>0.06</v>
      </c>
      <c r="K556" s="496" t="n">
        <f aca="false">J556</f>
        <v>0.06</v>
      </c>
      <c r="L556" s="496" t="n">
        <f aca="false">K556</f>
        <v>0.06</v>
      </c>
      <c r="M556" s="496" t="n">
        <f aca="false">L556</f>
        <v>0.06</v>
      </c>
      <c r="N556" s="496" t="n">
        <f aca="false">M556</f>
        <v>0.06</v>
      </c>
      <c r="O556" s="496" t="n">
        <f aca="false">N556</f>
        <v>0.06</v>
      </c>
      <c r="P556" s="496" t="n">
        <f aca="false">O556</f>
        <v>0.06</v>
      </c>
      <c r="Q556" s="496" t="n">
        <f aca="false">P556</f>
        <v>0.06</v>
      </c>
      <c r="R556" s="496" t="n">
        <f aca="false">Q556</f>
        <v>0.06</v>
      </c>
      <c r="S556" s="496" t="n">
        <f aca="false">R556</f>
        <v>0.06</v>
      </c>
      <c r="T556" s="496" t="n">
        <f aca="false">S556</f>
        <v>0.06</v>
      </c>
      <c r="U556" s="496" t="n">
        <f aca="false">T556</f>
        <v>0.06</v>
      </c>
      <c r="V556" s="496" t="n">
        <f aca="false">U556</f>
        <v>0.06</v>
      </c>
      <c r="W556" s="496" t="n">
        <f aca="false">V556</f>
        <v>0.06</v>
      </c>
      <c r="X556" s="496" t="n">
        <f aca="false">W556</f>
        <v>0.06</v>
      </c>
      <c r="Y556" s="496" t="n">
        <f aca="false">X556</f>
        <v>0.06</v>
      </c>
      <c r="Z556" s="496" t="n">
        <f aca="false">Y556</f>
        <v>0.06</v>
      </c>
      <c r="AA556" s="496" t="n">
        <f aca="false">Z556</f>
        <v>0.06</v>
      </c>
      <c r="AB556" s="496" t="n">
        <f aca="false">AA556</f>
        <v>0.06</v>
      </c>
      <c r="AC556" s="496" t="n">
        <f aca="false">AB556</f>
        <v>0.06</v>
      </c>
    </row>
    <row r="557" customFormat="false" ht="11.25" hidden="false" customHeight="false" outlineLevel="0" collapsed="false">
      <c r="A557" s="43" t="s">
        <v>866</v>
      </c>
      <c r="E557" s="449" t="n">
        <v>0</v>
      </c>
      <c r="F557" s="449" t="n">
        <v>0</v>
      </c>
      <c r="G557" s="449" t="n">
        <v>0</v>
      </c>
      <c r="H557" s="449" t="n">
        <v>0</v>
      </c>
    </row>
    <row r="559" customFormat="false" ht="11.25" hidden="false" customHeight="false" outlineLevel="0" collapsed="false">
      <c r="A559" s="43" t="s">
        <v>867</v>
      </c>
      <c r="E559" s="6"/>
      <c r="I559" s="496" t="n">
        <v>0.09</v>
      </c>
      <c r="J559" s="496" t="n">
        <v>0.09</v>
      </c>
      <c r="K559" s="496" t="n">
        <v>0.09</v>
      </c>
      <c r="L559" s="496" t="n">
        <v>0.09</v>
      </c>
      <c r="M559" s="496" t="n">
        <v>0.09</v>
      </c>
      <c r="N559" s="496" t="n">
        <v>0.09</v>
      </c>
      <c r="O559" s="496" t="n">
        <v>0.09</v>
      </c>
      <c r="P559" s="496" t="n">
        <v>0.09</v>
      </c>
      <c r="Q559" s="496" t="n">
        <v>0.09</v>
      </c>
      <c r="R559" s="496" t="n">
        <v>0.09</v>
      </c>
      <c r="S559" s="496" t="n">
        <v>0.09</v>
      </c>
      <c r="T559" s="496" t="n">
        <v>0.09</v>
      </c>
      <c r="U559" s="496" t="n">
        <v>0.09</v>
      </c>
      <c r="V559" s="496" t="n">
        <v>0.09</v>
      </c>
      <c r="W559" s="496" t="n">
        <v>0.09</v>
      </c>
      <c r="X559" s="496" t="n">
        <v>0.09</v>
      </c>
      <c r="Y559" s="496" t="n">
        <v>0.09</v>
      </c>
      <c r="Z559" s="496" t="n">
        <v>0.09</v>
      </c>
      <c r="AA559" s="496" t="n">
        <v>0.09</v>
      </c>
      <c r="AB559" s="496" t="n">
        <v>0.09</v>
      </c>
      <c r="AC559" s="496" t="n">
        <v>0.09</v>
      </c>
    </row>
    <row r="560" customFormat="false" ht="11.25" hidden="false" customHeight="false" outlineLevel="0" collapsed="false">
      <c r="A560" s="43" t="str">
        <f aca="false">B337</f>
        <v>Revolving Loan</v>
      </c>
      <c r="E560" s="417"/>
      <c r="F560" s="417"/>
      <c r="G560" s="417"/>
      <c r="H560" s="417"/>
      <c r="I560" s="496" t="n">
        <v>0.09</v>
      </c>
      <c r="J560" s="496" t="n">
        <f aca="false">I560</f>
        <v>0.09</v>
      </c>
      <c r="K560" s="496" t="n">
        <f aca="false">J560</f>
        <v>0.09</v>
      </c>
      <c r="L560" s="496" t="n">
        <f aca="false">K560</f>
        <v>0.09</v>
      </c>
      <c r="M560" s="496" t="n">
        <f aca="false">L560</f>
        <v>0.09</v>
      </c>
      <c r="N560" s="496" t="n">
        <f aca="false">M560</f>
        <v>0.09</v>
      </c>
      <c r="O560" s="496" t="n">
        <f aca="false">N560</f>
        <v>0.09</v>
      </c>
      <c r="P560" s="496" t="n">
        <f aca="false">O560</f>
        <v>0.09</v>
      </c>
      <c r="Q560" s="496" t="n">
        <f aca="false">P560</f>
        <v>0.09</v>
      </c>
      <c r="R560" s="496" t="n">
        <f aca="false">Q560</f>
        <v>0.09</v>
      </c>
      <c r="S560" s="496" t="n">
        <f aca="false">R560</f>
        <v>0.09</v>
      </c>
      <c r="T560" s="496" t="n">
        <f aca="false">S560</f>
        <v>0.09</v>
      </c>
      <c r="U560" s="496" t="n">
        <f aca="false">T560</f>
        <v>0.09</v>
      </c>
      <c r="V560" s="496" t="n">
        <f aca="false">U560</f>
        <v>0.09</v>
      </c>
      <c r="W560" s="496" t="n">
        <f aca="false">V560</f>
        <v>0.09</v>
      </c>
      <c r="X560" s="496" t="n">
        <f aca="false">W560</f>
        <v>0.09</v>
      </c>
      <c r="Y560" s="496" t="n">
        <f aca="false">X560</f>
        <v>0.09</v>
      </c>
      <c r="Z560" s="496" t="n">
        <f aca="false">Y560</f>
        <v>0.09</v>
      </c>
      <c r="AA560" s="496" t="n">
        <f aca="false">Z560</f>
        <v>0.09</v>
      </c>
      <c r="AB560" s="496" t="n">
        <f aca="false">AA560</f>
        <v>0.09</v>
      </c>
      <c r="AC560" s="496" t="n">
        <f aca="false">AB560</f>
        <v>0.09</v>
      </c>
    </row>
    <row r="561" customFormat="false" ht="11.25" hidden="false" customHeight="false" outlineLevel="0" collapsed="false">
      <c r="A561" s="43" t="str">
        <f aca="false">B338</f>
        <v>Term Loan</v>
      </c>
      <c r="E561" s="417"/>
      <c r="F561" s="417"/>
      <c r="G561" s="417"/>
      <c r="H561" s="417"/>
      <c r="I561" s="496" t="n">
        <v>0</v>
      </c>
      <c r="J561" s="496" t="n">
        <f aca="false">I561</f>
        <v>0</v>
      </c>
      <c r="K561" s="496" t="n">
        <f aca="false">J561</f>
        <v>0</v>
      </c>
      <c r="L561" s="496" t="n">
        <f aca="false">K561</f>
        <v>0</v>
      </c>
      <c r="M561" s="496" t="n">
        <f aca="false">L561</f>
        <v>0</v>
      </c>
      <c r="N561" s="496" t="n">
        <f aca="false">M561</f>
        <v>0</v>
      </c>
      <c r="O561" s="496" t="n">
        <f aca="false">N561</f>
        <v>0</v>
      </c>
      <c r="P561" s="496" t="n">
        <f aca="false">O561</f>
        <v>0</v>
      </c>
      <c r="Q561" s="496" t="n">
        <f aca="false">P561</f>
        <v>0</v>
      </c>
      <c r="R561" s="496" t="n">
        <f aca="false">Q561</f>
        <v>0</v>
      </c>
      <c r="S561" s="496" t="n">
        <f aca="false">R561</f>
        <v>0</v>
      </c>
      <c r="T561" s="496" t="n">
        <f aca="false">S561</f>
        <v>0</v>
      </c>
      <c r="U561" s="496" t="n">
        <f aca="false">T561</f>
        <v>0</v>
      </c>
      <c r="V561" s="496" t="n">
        <f aca="false">U561</f>
        <v>0</v>
      </c>
      <c r="W561" s="496" t="n">
        <f aca="false">V561</f>
        <v>0</v>
      </c>
      <c r="X561" s="496" t="n">
        <f aca="false">W561</f>
        <v>0</v>
      </c>
      <c r="Y561" s="496" t="n">
        <f aca="false">X561</f>
        <v>0</v>
      </c>
      <c r="Z561" s="496" t="n">
        <f aca="false">Y561</f>
        <v>0</v>
      </c>
      <c r="AA561" s="496" t="n">
        <f aca="false">Z561</f>
        <v>0</v>
      </c>
      <c r="AB561" s="496" t="n">
        <f aca="false">AA561</f>
        <v>0</v>
      </c>
      <c r="AC561" s="496" t="n">
        <f aca="false">AB561</f>
        <v>0</v>
      </c>
    </row>
    <row r="562" customFormat="false" ht="11.25" hidden="false" customHeight="false" outlineLevel="0" collapsed="false">
      <c r="A562" s="43" t="s">
        <v>868</v>
      </c>
      <c r="I562" s="496" t="n">
        <v>0</v>
      </c>
      <c r="J562" s="496" t="n">
        <f aca="false">I562</f>
        <v>0</v>
      </c>
      <c r="K562" s="496" t="n">
        <f aca="false">J562</f>
        <v>0</v>
      </c>
      <c r="L562" s="496" t="n">
        <f aca="false">K562</f>
        <v>0</v>
      </c>
      <c r="M562" s="496" t="n">
        <f aca="false">L562</f>
        <v>0</v>
      </c>
      <c r="N562" s="496" t="n">
        <f aca="false">M562</f>
        <v>0</v>
      </c>
      <c r="O562" s="496" t="n">
        <f aca="false">N562</f>
        <v>0</v>
      </c>
      <c r="P562" s="496" t="n">
        <f aca="false">O562</f>
        <v>0</v>
      </c>
      <c r="Q562" s="496" t="n">
        <f aca="false">P562</f>
        <v>0</v>
      </c>
      <c r="R562" s="496" t="n">
        <f aca="false">Q562</f>
        <v>0</v>
      </c>
      <c r="S562" s="496" t="n">
        <f aca="false">R562</f>
        <v>0</v>
      </c>
      <c r="T562" s="496" t="n">
        <f aca="false">S562</f>
        <v>0</v>
      </c>
      <c r="U562" s="496" t="n">
        <f aca="false">T562</f>
        <v>0</v>
      </c>
      <c r="V562" s="496" t="n">
        <f aca="false">U562</f>
        <v>0</v>
      </c>
      <c r="W562" s="496" t="n">
        <f aca="false">V562</f>
        <v>0</v>
      </c>
      <c r="X562" s="496" t="n">
        <f aca="false">W562</f>
        <v>0</v>
      </c>
      <c r="Y562" s="496" t="n">
        <f aca="false">X562</f>
        <v>0</v>
      </c>
      <c r="Z562" s="496" t="n">
        <f aca="false">Y562</f>
        <v>0</v>
      </c>
      <c r="AA562" s="496" t="n">
        <f aca="false">Z562</f>
        <v>0</v>
      </c>
      <c r="AB562" s="496" t="n">
        <f aca="false">AA562</f>
        <v>0</v>
      </c>
      <c r="AC562" s="496" t="n">
        <f aca="false">AB562</f>
        <v>0</v>
      </c>
    </row>
    <row r="563" customFormat="false" ht="11.25" hidden="false" customHeight="false" outlineLevel="0" collapsed="false">
      <c r="A563" s="43" t="s">
        <v>869</v>
      </c>
      <c r="I563" s="449" t="n">
        <v>0</v>
      </c>
      <c r="J563" s="449" t="n">
        <v>0</v>
      </c>
      <c r="K563" s="449" t="n">
        <f aca="false">J563</f>
        <v>0</v>
      </c>
      <c r="L563" s="449" t="n">
        <f aca="false">K563</f>
        <v>0</v>
      </c>
      <c r="M563" s="449" t="n">
        <f aca="false">L563</f>
        <v>0</v>
      </c>
      <c r="N563" s="449" t="n">
        <f aca="false">M563</f>
        <v>0</v>
      </c>
      <c r="O563" s="449" t="n">
        <f aca="false">N563</f>
        <v>0</v>
      </c>
      <c r="P563" s="449" t="n">
        <f aca="false">O563</f>
        <v>0</v>
      </c>
      <c r="Q563" s="449" t="n">
        <f aca="false">P563</f>
        <v>0</v>
      </c>
      <c r="R563" s="449" t="n">
        <f aca="false">Q563</f>
        <v>0</v>
      </c>
      <c r="S563" s="449" t="n">
        <f aca="false">R563</f>
        <v>0</v>
      </c>
      <c r="T563" s="449" t="n">
        <f aca="false">S563</f>
        <v>0</v>
      </c>
      <c r="U563" s="449" t="n">
        <f aca="false">T563</f>
        <v>0</v>
      </c>
      <c r="V563" s="449" t="n">
        <f aca="false">U563</f>
        <v>0</v>
      </c>
      <c r="W563" s="449" t="n">
        <f aca="false">V563</f>
        <v>0</v>
      </c>
      <c r="X563" s="449" t="n">
        <f aca="false">W563</f>
        <v>0</v>
      </c>
      <c r="Y563" s="449" t="n">
        <f aca="false">X563</f>
        <v>0</v>
      </c>
      <c r="Z563" s="449" t="n">
        <f aca="false">Y563</f>
        <v>0</v>
      </c>
      <c r="AA563" s="449" t="n">
        <f aca="false">Z563</f>
        <v>0</v>
      </c>
      <c r="AB563" s="449" t="n">
        <f aca="false">AA563</f>
        <v>0</v>
      </c>
      <c r="AC563" s="449" t="n">
        <f aca="false">AB563</f>
        <v>0</v>
      </c>
    </row>
    <row r="564" customFormat="false" ht="11.25" hidden="false" customHeight="false" outlineLevel="0" collapsed="false">
      <c r="A564" s="43"/>
    </row>
    <row r="565" customFormat="false" ht="11.25" hidden="false" customHeight="false" outlineLevel="0" collapsed="false">
      <c r="A565" s="43" t="str">
        <f aca="false">B340</f>
        <v>ESOP Notes</v>
      </c>
      <c r="I565" s="496" t="n">
        <v>0</v>
      </c>
      <c r="J565" s="496" t="n">
        <f aca="false">I565</f>
        <v>0</v>
      </c>
      <c r="K565" s="496" t="n">
        <f aca="false">J565</f>
        <v>0</v>
      </c>
      <c r="L565" s="496" t="n">
        <f aca="false">K565</f>
        <v>0</v>
      </c>
      <c r="M565" s="496" t="n">
        <f aca="false">L565</f>
        <v>0</v>
      </c>
      <c r="N565" s="496" t="n">
        <f aca="false">M565</f>
        <v>0</v>
      </c>
      <c r="O565" s="496" t="n">
        <f aca="false">N565</f>
        <v>0</v>
      </c>
      <c r="P565" s="496" t="n">
        <f aca="false">O565</f>
        <v>0</v>
      </c>
      <c r="Q565" s="496" t="n">
        <f aca="false">P565</f>
        <v>0</v>
      </c>
      <c r="R565" s="496" t="n">
        <f aca="false">Q565</f>
        <v>0</v>
      </c>
      <c r="S565" s="496" t="n">
        <f aca="false">R565</f>
        <v>0</v>
      </c>
      <c r="T565" s="496" t="n">
        <f aca="false">S565</f>
        <v>0</v>
      </c>
      <c r="U565" s="496" t="n">
        <f aca="false">T565</f>
        <v>0</v>
      </c>
      <c r="V565" s="496" t="n">
        <f aca="false">U565</f>
        <v>0</v>
      </c>
      <c r="W565" s="496" t="n">
        <f aca="false">V565</f>
        <v>0</v>
      </c>
      <c r="X565" s="496" t="n">
        <f aca="false">W565</f>
        <v>0</v>
      </c>
      <c r="Y565" s="496" t="n">
        <f aca="false">X565</f>
        <v>0</v>
      </c>
      <c r="Z565" s="496" t="n">
        <f aca="false">Y565</f>
        <v>0</v>
      </c>
      <c r="AA565" s="496" t="n">
        <f aca="false">Z565</f>
        <v>0</v>
      </c>
      <c r="AB565" s="496" t="n">
        <f aca="false">AA565</f>
        <v>0</v>
      </c>
      <c r="AC565" s="496" t="n">
        <f aca="false">AB565</f>
        <v>0</v>
      </c>
    </row>
    <row r="566" customFormat="false" ht="11.25" hidden="false" customHeight="false" outlineLevel="0" collapsed="false">
      <c r="A566" s="43" t="str">
        <f aca="false">B341</f>
        <v>Placement 1</v>
      </c>
      <c r="E566" s="417"/>
      <c r="F566" s="417"/>
      <c r="G566" s="417"/>
      <c r="H566" s="172"/>
      <c r="I566" s="496" t="n">
        <v>0</v>
      </c>
      <c r="J566" s="496" t="n">
        <v>0</v>
      </c>
      <c r="K566" s="496" t="n">
        <v>0</v>
      </c>
      <c r="L566" s="496" t="n">
        <v>0</v>
      </c>
      <c r="M566" s="496" t="n">
        <v>0</v>
      </c>
      <c r="N566" s="496" t="n">
        <v>0</v>
      </c>
      <c r="O566" s="496" t="n">
        <v>0</v>
      </c>
      <c r="P566" s="496" t="n">
        <v>0</v>
      </c>
      <c r="Q566" s="496" t="n">
        <v>0</v>
      </c>
      <c r="R566" s="496" t="n">
        <v>0</v>
      </c>
      <c r="S566" s="496" t="n">
        <v>0</v>
      </c>
      <c r="T566" s="496" t="n">
        <v>0</v>
      </c>
      <c r="U566" s="496" t="n">
        <v>0</v>
      </c>
      <c r="V566" s="496" t="n">
        <v>0</v>
      </c>
      <c r="W566" s="496" t="n">
        <v>0</v>
      </c>
      <c r="X566" s="496" t="n">
        <v>0</v>
      </c>
      <c r="Y566" s="496" t="n">
        <v>0</v>
      </c>
      <c r="Z566" s="496" t="n">
        <v>0</v>
      </c>
      <c r="AA566" s="496" t="n">
        <v>0</v>
      </c>
      <c r="AB566" s="496" t="n">
        <v>0</v>
      </c>
      <c r="AC566" s="496" t="n">
        <v>0</v>
      </c>
    </row>
    <row r="567" customFormat="false" ht="11.25" hidden="false" customHeight="false" outlineLevel="0" collapsed="false">
      <c r="A567" s="43" t="str">
        <f aca="false">A15</f>
        <v>Placement 2</v>
      </c>
      <c r="D567" s="500"/>
      <c r="E567" s="172"/>
      <c r="F567" s="172"/>
      <c r="G567" s="172"/>
      <c r="H567" s="172"/>
      <c r="I567" s="496" t="n">
        <v>0</v>
      </c>
      <c r="J567" s="496" t="n">
        <f aca="false">I567</f>
        <v>0</v>
      </c>
      <c r="K567" s="496" t="n">
        <f aca="false">J567</f>
        <v>0</v>
      </c>
      <c r="L567" s="496" t="n">
        <f aca="false">K567</f>
        <v>0</v>
      </c>
      <c r="M567" s="496" t="n">
        <f aca="false">L567</f>
        <v>0</v>
      </c>
      <c r="N567" s="496" t="n">
        <f aca="false">M567</f>
        <v>0</v>
      </c>
      <c r="O567" s="496" t="n">
        <f aca="false">N567</f>
        <v>0</v>
      </c>
      <c r="P567" s="496" t="n">
        <f aca="false">O567</f>
        <v>0</v>
      </c>
      <c r="Q567" s="496" t="n">
        <f aca="false">P567</f>
        <v>0</v>
      </c>
      <c r="R567" s="496" t="n">
        <f aca="false">Q567</f>
        <v>0</v>
      </c>
      <c r="S567" s="496" t="n">
        <f aca="false">R567</f>
        <v>0</v>
      </c>
      <c r="T567" s="496" t="n">
        <f aca="false">S567</f>
        <v>0</v>
      </c>
      <c r="U567" s="496" t="n">
        <f aca="false">T567</f>
        <v>0</v>
      </c>
      <c r="V567" s="496" t="n">
        <f aca="false">U567</f>
        <v>0</v>
      </c>
      <c r="W567" s="496" t="n">
        <f aca="false">V567</f>
        <v>0</v>
      </c>
      <c r="X567" s="496" t="n">
        <f aca="false">W567</f>
        <v>0</v>
      </c>
      <c r="Y567" s="496" t="n">
        <f aca="false">X567</f>
        <v>0</v>
      </c>
      <c r="Z567" s="496" t="n">
        <f aca="false">Y567</f>
        <v>0</v>
      </c>
      <c r="AA567" s="496" t="n">
        <f aca="false">Z567</f>
        <v>0</v>
      </c>
      <c r="AB567" s="496" t="n">
        <f aca="false">AA567</f>
        <v>0</v>
      </c>
      <c r="AC567" s="496" t="n">
        <f aca="false">AB567</f>
        <v>0</v>
      </c>
    </row>
    <row r="568" customFormat="false" ht="11.25" hidden="false" customHeight="false" outlineLevel="0" collapsed="false">
      <c r="A568" s="43" t="str">
        <f aca="false">B343</f>
        <v>Sr Sub Notes</v>
      </c>
      <c r="D568" s="500"/>
      <c r="E568" s="172"/>
      <c r="F568" s="172"/>
      <c r="G568" s="172"/>
      <c r="H568" s="172"/>
      <c r="I568" s="496" t="n">
        <v>0</v>
      </c>
      <c r="J568" s="496" t="n">
        <f aca="false">I568</f>
        <v>0</v>
      </c>
      <c r="K568" s="496" t="n">
        <f aca="false">J568</f>
        <v>0</v>
      </c>
      <c r="L568" s="496" t="n">
        <f aca="false">K568</f>
        <v>0</v>
      </c>
      <c r="M568" s="496" t="n">
        <f aca="false">L568</f>
        <v>0</v>
      </c>
      <c r="N568" s="496" t="n">
        <f aca="false">M568</f>
        <v>0</v>
      </c>
      <c r="O568" s="496" t="n">
        <f aca="false">N568</f>
        <v>0</v>
      </c>
      <c r="P568" s="496" t="n">
        <f aca="false">O568</f>
        <v>0</v>
      </c>
      <c r="Q568" s="496" t="n">
        <f aca="false">P568</f>
        <v>0</v>
      </c>
      <c r="R568" s="496" t="n">
        <f aca="false">Q568</f>
        <v>0</v>
      </c>
      <c r="S568" s="496" t="n">
        <f aca="false">R568</f>
        <v>0</v>
      </c>
      <c r="T568" s="496" t="n">
        <f aca="false">S568</f>
        <v>0</v>
      </c>
      <c r="U568" s="496" t="n">
        <f aca="false">T568</f>
        <v>0</v>
      </c>
      <c r="V568" s="496" t="n">
        <f aca="false">U568</f>
        <v>0</v>
      </c>
      <c r="W568" s="496" t="n">
        <f aca="false">V568</f>
        <v>0</v>
      </c>
      <c r="X568" s="496" t="n">
        <f aca="false">W568</f>
        <v>0</v>
      </c>
      <c r="Y568" s="496" t="n">
        <f aca="false">X568</f>
        <v>0</v>
      </c>
      <c r="Z568" s="496" t="n">
        <f aca="false">Y568</f>
        <v>0</v>
      </c>
      <c r="AA568" s="496" t="n">
        <f aca="false">Z568</f>
        <v>0</v>
      </c>
      <c r="AB568" s="496" t="n">
        <f aca="false">AA568</f>
        <v>0</v>
      </c>
      <c r="AC568" s="496" t="n">
        <f aca="false">AB568</f>
        <v>0</v>
      </c>
    </row>
    <row r="569" customFormat="false" ht="11.25" hidden="false" customHeight="false" outlineLevel="0" collapsed="false">
      <c r="A569" s="43" t="str">
        <f aca="false">B344</f>
        <v>Jr. Sub Notes</v>
      </c>
      <c r="D569" s="500"/>
      <c r="E569" s="172"/>
      <c r="F569" s="172"/>
      <c r="G569" s="172"/>
      <c r="H569" s="172"/>
      <c r="I569" s="496" t="n">
        <v>0</v>
      </c>
      <c r="J569" s="496" t="n">
        <f aca="false">I569</f>
        <v>0</v>
      </c>
      <c r="K569" s="496" t="n">
        <f aca="false">J569</f>
        <v>0</v>
      </c>
      <c r="L569" s="496" t="n">
        <f aca="false">K569</f>
        <v>0</v>
      </c>
      <c r="M569" s="496" t="n">
        <f aca="false">L569</f>
        <v>0</v>
      </c>
      <c r="N569" s="496" t="n">
        <f aca="false">M569</f>
        <v>0</v>
      </c>
      <c r="O569" s="496" t="n">
        <f aca="false">N569</f>
        <v>0</v>
      </c>
      <c r="P569" s="496" t="n">
        <f aca="false">O569</f>
        <v>0</v>
      </c>
      <c r="Q569" s="496" t="n">
        <f aca="false">P569</f>
        <v>0</v>
      </c>
      <c r="R569" s="496" t="n">
        <f aca="false">Q569</f>
        <v>0</v>
      </c>
      <c r="S569" s="496" t="n">
        <f aca="false">R569</f>
        <v>0</v>
      </c>
      <c r="T569" s="496" t="n">
        <f aca="false">S569</f>
        <v>0</v>
      </c>
      <c r="U569" s="496" t="n">
        <f aca="false">T569</f>
        <v>0</v>
      </c>
      <c r="V569" s="496" t="n">
        <f aca="false">U569</f>
        <v>0</v>
      </c>
      <c r="W569" s="496" t="n">
        <f aca="false">V569</f>
        <v>0</v>
      </c>
      <c r="X569" s="496" t="n">
        <f aca="false">W569</f>
        <v>0</v>
      </c>
      <c r="Y569" s="496" t="n">
        <f aca="false">X569</f>
        <v>0</v>
      </c>
      <c r="Z569" s="496" t="n">
        <f aca="false">Y569</f>
        <v>0</v>
      </c>
      <c r="AA569" s="496" t="n">
        <f aca="false">Z569</f>
        <v>0</v>
      </c>
      <c r="AB569" s="496" t="n">
        <f aca="false">AA569</f>
        <v>0</v>
      </c>
      <c r="AC569" s="496" t="n">
        <f aca="false">AB569</f>
        <v>0</v>
      </c>
    </row>
    <row r="570" customFormat="false" ht="11.25" hidden="false" customHeight="false" outlineLevel="0" collapsed="false">
      <c r="A570" s="43" t="str">
        <f aca="false">B345&amp;" Yield"</f>
        <v>Preferred Stock Yield</v>
      </c>
      <c r="E570" s="172"/>
      <c r="F570" s="172"/>
      <c r="G570" s="172"/>
      <c r="H570" s="172"/>
      <c r="I570" s="496" t="n">
        <v>0.06</v>
      </c>
      <c r="J570" s="496" t="n">
        <v>0.06</v>
      </c>
      <c r="K570" s="496" t="n">
        <v>0.06</v>
      </c>
      <c r="L570" s="496" t="n">
        <v>0.06</v>
      </c>
      <c r="M570" s="496" t="n">
        <v>0.06</v>
      </c>
      <c r="N570" s="496" t="n">
        <v>0.06</v>
      </c>
      <c r="O570" s="496" t="n">
        <v>0.06</v>
      </c>
      <c r="P570" s="496" t="n">
        <v>0.06</v>
      </c>
      <c r="Q570" s="496" t="n">
        <v>0.06</v>
      </c>
      <c r="R570" s="496" t="n">
        <v>0.06</v>
      </c>
      <c r="S570" s="496" t="n">
        <v>0.06</v>
      </c>
      <c r="T570" s="496" t="n">
        <v>0.06</v>
      </c>
      <c r="U570" s="496" t="n">
        <v>0.06</v>
      </c>
      <c r="V570" s="496" t="n">
        <v>0.06</v>
      </c>
      <c r="W570" s="496" t="n">
        <v>0.06</v>
      </c>
      <c r="X570" s="496" t="n">
        <v>0.06</v>
      </c>
      <c r="Y570" s="496" t="n">
        <v>0.06</v>
      </c>
      <c r="Z570" s="496" t="n">
        <v>0.06</v>
      </c>
      <c r="AA570" s="496" t="n">
        <v>0.06</v>
      </c>
      <c r="AB570" s="496" t="n">
        <v>0.06</v>
      </c>
      <c r="AC570" s="496" t="n">
        <v>0.06</v>
      </c>
    </row>
    <row r="571" customFormat="false" ht="11.25" hidden="false" customHeight="false" outlineLevel="0" collapsed="false">
      <c r="A571" s="43" t="s">
        <v>870</v>
      </c>
      <c r="E571" s="172"/>
      <c r="F571" s="172"/>
      <c r="G571" s="172"/>
      <c r="H571" s="172"/>
      <c r="I571" s="496" t="n">
        <v>0</v>
      </c>
      <c r="J571" s="496" t="n">
        <f aca="false">I571</f>
        <v>0</v>
      </c>
      <c r="K571" s="496" t="n">
        <f aca="false">J571</f>
        <v>0</v>
      </c>
      <c r="L571" s="496" t="n">
        <f aca="false">K571</f>
        <v>0</v>
      </c>
      <c r="M571" s="496" t="n">
        <f aca="false">L571</f>
        <v>0</v>
      </c>
      <c r="N571" s="496" t="n">
        <f aca="false">M571</f>
        <v>0</v>
      </c>
      <c r="O571" s="496" t="n">
        <f aca="false">N571</f>
        <v>0</v>
      </c>
      <c r="P571" s="496" t="n">
        <f aca="false">O571</f>
        <v>0</v>
      </c>
      <c r="Q571" s="496" t="n">
        <f aca="false">P571</f>
        <v>0</v>
      </c>
      <c r="R571" s="496" t="n">
        <f aca="false">Q571</f>
        <v>0</v>
      </c>
      <c r="S571" s="496" t="n">
        <f aca="false">R571</f>
        <v>0</v>
      </c>
      <c r="T571" s="496" t="n">
        <f aca="false">S571</f>
        <v>0</v>
      </c>
      <c r="U571" s="496" t="n">
        <f aca="false">T571</f>
        <v>0</v>
      </c>
      <c r="V571" s="496" t="n">
        <f aca="false">U571</f>
        <v>0</v>
      </c>
      <c r="W571" s="496" t="n">
        <f aca="false">V571</f>
        <v>0</v>
      </c>
      <c r="X571" s="496" t="n">
        <f aca="false">W571</f>
        <v>0</v>
      </c>
      <c r="Y571" s="496" t="n">
        <f aca="false">X571</f>
        <v>0</v>
      </c>
      <c r="Z571" s="496" t="n">
        <f aca="false">Y571</f>
        <v>0</v>
      </c>
      <c r="AA571" s="496" t="n">
        <f aca="false">Z571</f>
        <v>0</v>
      </c>
      <c r="AB571" s="496" t="n">
        <f aca="false">AA571</f>
        <v>0</v>
      </c>
      <c r="AC571" s="496" t="n">
        <f aca="false">AB571</f>
        <v>0</v>
      </c>
    </row>
    <row r="572" customFormat="false" ht="11.25" hidden="false" customHeight="false" outlineLevel="0" collapsed="false">
      <c r="A572" s="43"/>
    </row>
    <row r="573" customFormat="false" ht="11.25" hidden="false" customHeight="false" outlineLevel="0" collapsed="false">
      <c r="A573" s="167" t="s">
        <v>661</v>
      </c>
    </row>
    <row r="574" customFormat="false" ht="11.25" hidden="false" customHeight="false" outlineLevel="0" collapsed="false">
      <c r="A574" s="43" t="s">
        <v>871</v>
      </c>
      <c r="E574" s="495" t="s">
        <v>826</v>
      </c>
    </row>
    <row r="575" customFormat="false" ht="11.25" hidden="false" customHeight="false" outlineLevel="0" collapsed="false">
      <c r="A575" s="43" t="s">
        <v>872</v>
      </c>
      <c r="D575" s="500"/>
      <c r="E575" s="449" t="n">
        <v>0</v>
      </c>
      <c r="F575" s="449" t="n">
        <v>184.623</v>
      </c>
      <c r="G575" s="449" t="n">
        <v>134.18</v>
      </c>
      <c r="H575" s="449" t="n">
        <v>40.479</v>
      </c>
      <c r="I575" s="496" t="n">
        <v>0.05</v>
      </c>
      <c r="J575" s="496" t="n">
        <v>0.05</v>
      </c>
      <c r="K575" s="496" t="n">
        <v>0.05</v>
      </c>
      <c r="L575" s="496" t="n">
        <v>0.05</v>
      </c>
      <c r="M575" s="496" t="n">
        <v>0.05</v>
      </c>
      <c r="N575" s="496" t="n">
        <v>0.05</v>
      </c>
      <c r="O575" s="496" t="n">
        <v>0.05</v>
      </c>
      <c r="P575" s="496" t="n">
        <v>0.05</v>
      </c>
      <c r="Q575" s="496" t="n">
        <v>0.05</v>
      </c>
      <c r="R575" s="496" t="n">
        <v>0.05</v>
      </c>
      <c r="S575" s="496" t="n">
        <v>0.05</v>
      </c>
      <c r="T575" s="496" t="n">
        <v>0.05</v>
      </c>
      <c r="U575" s="496" t="n">
        <v>0.05</v>
      </c>
      <c r="V575" s="496" t="n">
        <v>0.05</v>
      </c>
      <c r="W575" s="496" t="n">
        <v>0.05</v>
      </c>
      <c r="X575" s="496" t="n">
        <v>0.05</v>
      </c>
      <c r="Y575" s="496" t="n">
        <v>0.05</v>
      </c>
      <c r="Z575" s="496" t="n">
        <v>0.05</v>
      </c>
      <c r="AA575" s="496" t="n">
        <v>0.05</v>
      </c>
      <c r="AB575" s="496" t="n">
        <v>0.05</v>
      </c>
      <c r="AC575" s="496" t="n">
        <v>0.05</v>
      </c>
    </row>
    <row r="576" customFormat="false" ht="11.25" hidden="false" customHeight="false" outlineLevel="0" collapsed="false">
      <c r="A576" s="43"/>
      <c r="E576" s="417"/>
      <c r="F576" s="417"/>
      <c r="G576" s="417"/>
      <c r="H576" s="417"/>
    </row>
    <row r="577" customFormat="false" ht="12" hidden="false" customHeight="false" outlineLevel="0" collapsed="false">
      <c r="A577" s="43"/>
      <c r="E577" s="417"/>
      <c r="F577" s="417"/>
      <c r="G577" s="417"/>
      <c r="H577" s="417"/>
    </row>
    <row r="578" customFormat="false" ht="12.75" hidden="false" customHeight="false" outlineLevel="0" collapsed="false">
      <c r="A578" s="443"/>
      <c r="B578" s="292"/>
      <c r="C578" s="292"/>
      <c r="D578" s="292"/>
      <c r="E578" s="510"/>
      <c r="F578" s="510"/>
      <c r="G578" s="510"/>
      <c r="H578" s="510"/>
      <c r="I578" s="292"/>
      <c r="J578" s="292"/>
      <c r="K578" s="292"/>
      <c r="L578" s="292"/>
      <c r="M578" s="292"/>
      <c r="N578" s="292"/>
      <c r="O578" s="292"/>
      <c r="P578" s="292"/>
      <c r="Q578" s="292"/>
      <c r="R578" s="292"/>
      <c r="S578" s="292"/>
      <c r="T578" s="292"/>
      <c r="U578" s="292"/>
      <c r="V578" s="292"/>
      <c r="W578" s="292"/>
      <c r="X578" s="292"/>
      <c r="Y578" s="292"/>
      <c r="Z578" s="292"/>
      <c r="AA578" s="292"/>
      <c r="AB578" s="292"/>
      <c r="AC578" s="292"/>
    </row>
    <row r="579" customFormat="false" ht="12.75" hidden="false" customHeight="false" outlineLevel="0" collapsed="false">
      <c r="A579" s="153" t="s">
        <v>873</v>
      </c>
      <c r="E579" s="153"/>
      <c r="H579" s="466" t="str">
        <f aca="false">TEXT(C326,"0")&amp;" M"</f>
        <v>6 M</v>
      </c>
      <c r="I579" s="520" t="str">
        <f aca="false">TEXT(C329,"0")&amp;" M"</f>
        <v>6 M</v>
      </c>
    </row>
    <row r="580" customFormat="false" ht="12.75" hidden="false" customHeight="false" outlineLevel="0" collapsed="false">
      <c r="A580" s="65" t="s">
        <v>874</v>
      </c>
      <c r="B580" s="521" t="n">
        <f aca="false">E331</f>
        <v>36525</v>
      </c>
      <c r="C580" s="67"/>
      <c r="E580" s="395" t="n">
        <f aca="false">F580-1</f>
        <v>1996</v>
      </c>
      <c r="F580" s="395" t="n">
        <f aca="false">G580-1</f>
        <v>1997</v>
      </c>
      <c r="G580" s="395" t="n">
        <f aca="false">H580-1</f>
        <v>1998</v>
      </c>
      <c r="H580" s="522" t="n">
        <f aca="false">YEAR(E331)</f>
        <v>1999</v>
      </c>
      <c r="I580" s="523" t="n">
        <f aca="false">H580</f>
        <v>1999</v>
      </c>
      <c r="J580" s="469" t="n">
        <f aca="false">I580+1</f>
        <v>2000</v>
      </c>
      <c r="K580" s="469" t="n">
        <f aca="false">J580+1</f>
        <v>2001</v>
      </c>
      <c r="L580" s="469" t="n">
        <f aca="false">K580+1</f>
        <v>2002</v>
      </c>
      <c r="M580" s="469" t="n">
        <f aca="false">L580+1</f>
        <v>2003</v>
      </c>
      <c r="N580" s="469" t="n">
        <f aca="false">M580+1</f>
        <v>2004</v>
      </c>
      <c r="O580" s="469" t="n">
        <f aca="false">N580+1</f>
        <v>2005</v>
      </c>
      <c r="P580" s="469" t="n">
        <f aca="false">O580+1</f>
        <v>2006</v>
      </c>
      <c r="Q580" s="469" t="n">
        <f aca="false">P580+1</f>
        <v>2007</v>
      </c>
      <c r="R580" s="469" t="n">
        <f aca="false">Q580+1</f>
        <v>2008</v>
      </c>
      <c r="S580" s="469" t="n">
        <f aca="false">R580+1</f>
        <v>2009</v>
      </c>
      <c r="T580" s="469" t="n">
        <f aca="false">S580+1</f>
        <v>2010</v>
      </c>
      <c r="U580" s="469" t="n">
        <f aca="false">T580+1</f>
        <v>2011</v>
      </c>
      <c r="V580" s="469" t="n">
        <f aca="false">U580+1</f>
        <v>2012</v>
      </c>
      <c r="W580" s="469" t="n">
        <f aca="false">V580+1</f>
        <v>2013</v>
      </c>
      <c r="X580" s="469" t="n">
        <f aca="false">W580+1</f>
        <v>2014</v>
      </c>
      <c r="Y580" s="469" t="n">
        <f aca="false">X580+1</f>
        <v>2015</v>
      </c>
      <c r="Z580" s="469" t="n">
        <f aca="false">Y580+1</f>
        <v>2016</v>
      </c>
      <c r="AA580" s="469" t="n">
        <f aca="false">Z580+1</f>
        <v>2017</v>
      </c>
      <c r="AB580" s="469" t="n">
        <f aca="false">AA580+1</f>
        <v>2018</v>
      </c>
      <c r="AC580" s="469" t="n">
        <f aca="false">AB580+1</f>
        <v>2019</v>
      </c>
    </row>
    <row r="581" customFormat="false" ht="12" hidden="false" customHeight="false" outlineLevel="0" collapsed="false">
      <c r="A581" s="153" t="s">
        <v>875</v>
      </c>
      <c r="B581" s="524"/>
      <c r="C581" s="67"/>
      <c r="E581" s="272"/>
      <c r="F581" s="272"/>
      <c r="G581" s="272"/>
      <c r="H581" s="94"/>
      <c r="I581" s="519"/>
      <c r="J581" s="108"/>
      <c r="K581" s="108"/>
      <c r="L581" s="108"/>
      <c r="M581" s="108"/>
      <c r="N581" s="108"/>
      <c r="O581" s="108"/>
      <c r="P581" s="108"/>
      <c r="Q581" s="108"/>
      <c r="R581" s="108"/>
      <c r="S581" s="108"/>
      <c r="T581" s="108"/>
      <c r="U581" s="108"/>
      <c r="V581" s="108"/>
      <c r="W581" s="108"/>
      <c r="X581" s="108"/>
      <c r="Y581" s="108"/>
      <c r="Z581" s="108"/>
      <c r="AA581" s="108"/>
      <c r="AB581" s="108"/>
      <c r="AC581" s="108"/>
    </row>
    <row r="582" customFormat="false" ht="11.25" hidden="false" customHeight="false" outlineLevel="0" collapsed="false">
      <c r="A582" s="442" t="s">
        <v>876</v>
      </c>
      <c r="B582" s="65"/>
      <c r="C582" s="524"/>
      <c r="E582" s="525" t="n">
        <f aca="false">E938</f>
        <v>0</v>
      </c>
      <c r="F582" s="525" t="n">
        <f aca="false">F938</f>
        <v>0</v>
      </c>
      <c r="G582" s="525" t="n">
        <f aca="false">G938</f>
        <v>0</v>
      </c>
      <c r="H582" s="525" t="n">
        <f aca="false">H938</f>
        <v>0</v>
      </c>
      <c r="I582" s="525" t="n">
        <f aca="false">I938</f>
        <v>-515.877565773314</v>
      </c>
      <c r="J582" s="525" t="n">
        <f aca="false">J938</f>
        <v>-1162.54350654663</v>
      </c>
      <c r="K582" s="525" t="n">
        <f aca="false">K938</f>
        <v>-1085.45950212042</v>
      </c>
      <c r="L582" s="525" t="n">
        <f aca="false">L938</f>
        <v>-1027.41601890568</v>
      </c>
      <c r="M582" s="525" t="n">
        <f aca="false">M938</f>
        <v>-963.056539564255</v>
      </c>
      <c r="N582" s="525" t="n">
        <f aca="false">N938</f>
        <v>-883.410575541736</v>
      </c>
      <c r="O582" s="525" t="n">
        <f aca="false">O938</f>
        <v>-772.930292818879</v>
      </c>
      <c r="P582" s="525" t="n">
        <f aca="false">P938</f>
        <v>-663.985585352189</v>
      </c>
      <c r="Q582" s="525" t="n">
        <f aca="false">Q938</f>
        <v>-575.554802621274</v>
      </c>
      <c r="R582" s="525" t="n">
        <f aca="false">R938</f>
        <v>-490.942886245924</v>
      </c>
      <c r="S582" s="525" t="n">
        <f aca="false">S938</f>
        <v>-415.810547775154</v>
      </c>
      <c r="T582" s="525" t="n">
        <f aca="false">T938</f>
        <v>-349.231262706301</v>
      </c>
      <c r="U582" s="525" t="n">
        <f aca="false">U938</f>
        <v>-292.675688653077</v>
      </c>
      <c r="V582" s="525" t="n">
        <f aca="false">V938</f>
        <v>-240.26942708397</v>
      </c>
      <c r="W582" s="525" t="n">
        <f aca="false">W938</f>
        <v>-197.011743773664</v>
      </c>
      <c r="X582" s="525" t="n">
        <f aca="false">X938</f>
        <v>-159.804967193502</v>
      </c>
      <c r="Y582" s="525" t="n">
        <f aca="false">Y938</f>
        <v>-125.942690582738</v>
      </c>
      <c r="Z582" s="525" t="n">
        <f aca="false">Z938</f>
        <v>-92.5136274585116</v>
      </c>
      <c r="AA582" s="525" t="n">
        <f aca="false">AA938</f>
        <v>-70.7513987503899</v>
      </c>
      <c r="AB582" s="525" t="n">
        <f aca="false">AB938</f>
        <v>-54.431797004145</v>
      </c>
      <c r="AC582" s="525" t="n">
        <f aca="false">AC938</f>
        <v>-44.9810616418182</v>
      </c>
    </row>
    <row r="583" customFormat="false" ht="11.25" hidden="false" customHeight="false" outlineLevel="0" collapsed="false">
      <c r="A583" s="44" t="s">
        <v>877</v>
      </c>
      <c r="B583" s="65"/>
      <c r="C583" s="524"/>
      <c r="E583" s="110"/>
      <c r="F583" s="110"/>
      <c r="G583" s="67"/>
      <c r="H583" s="111"/>
      <c r="I583" s="111" t="n">
        <f aca="false">I493</f>
        <v>0</v>
      </c>
      <c r="J583" s="111" t="n">
        <f aca="false">J493</f>
        <v>0</v>
      </c>
      <c r="K583" s="111" t="n">
        <f aca="false">K493</f>
        <v>0</v>
      </c>
      <c r="L583" s="111" t="n">
        <f aca="false">L493</f>
        <v>0</v>
      </c>
      <c r="M583" s="111" t="n">
        <f aca="false">M493</f>
        <v>0</v>
      </c>
      <c r="N583" s="111" t="n">
        <f aca="false">N493</f>
        <v>0</v>
      </c>
      <c r="O583" s="111" t="n">
        <f aca="false">O493</f>
        <v>0</v>
      </c>
      <c r="P583" s="111" t="n">
        <f aca="false">P493</f>
        <v>0</v>
      </c>
      <c r="Q583" s="111" t="n">
        <f aca="false">Q493</f>
        <v>0</v>
      </c>
      <c r="R583" s="111" t="n">
        <f aca="false">R493</f>
        <v>0</v>
      </c>
      <c r="S583" s="111" t="n">
        <f aca="false">S493</f>
        <v>0</v>
      </c>
      <c r="T583" s="111" t="n">
        <f aca="false">T493</f>
        <v>0</v>
      </c>
      <c r="U583" s="111" t="n">
        <f aca="false">U493</f>
        <v>0</v>
      </c>
      <c r="V583" s="111" t="n">
        <f aca="false">V493</f>
        <v>0</v>
      </c>
      <c r="W583" s="111" t="n">
        <f aca="false">W493</f>
        <v>0</v>
      </c>
      <c r="X583" s="111" t="n">
        <f aca="false">X493</f>
        <v>0</v>
      </c>
      <c r="Y583" s="111" t="n">
        <f aca="false">Y493</f>
        <v>0</v>
      </c>
      <c r="Z583" s="111" t="n">
        <f aca="false">Z493</f>
        <v>0</v>
      </c>
      <c r="AA583" s="111" t="n">
        <f aca="false">AA493</f>
        <v>0</v>
      </c>
      <c r="AB583" s="111" t="n">
        <f aca="false">AB493</f>
        <v>0</v>
      </c>
      <c r="AC583" s="111" t="n">
        <f aca="false">AC493</f>
        <v>0</v>
      </c>
    </row>
    <row r="584" customFormat="false" ht="11.25" hidden="false" customHeight="false" outlineLevel="0" collapsed="false">
      <c r="A584" s="43" t="s">
        <v>878</v>
      </c>
      <c r="D584" s="172"/>
      <c r="E584" s="526" t="n">
        <f aca="false">E582</f>
        <v>0</v>
      </c>
      <c r="F584" s="526" t="n">
        <f aca="false">F582</f>
        <v>0</v>
      </c>
      <c r="G584" s="526" t="n">
        <f aca="false">G582</f>
        <v>0</v>
      </c>
      <c r="H584" s="526" t="n">
        <f aca="false">H582</f>
        <v>0</v>
      </c>
      <c r="I584" s="526" t="n">
        <f aca="false">I582+I583</f>
        <v>-515.877565773314</v>
      </c>
      <c r="J584" s="526" t="n">
        <f aca="false">J582+J583</f>
        <v>-1162.54350654663</v>
      </c>
      <c r="K584" s="526" t="n">
        <f aca="false">K582+K583</f>
        <v>-1085.45950212042</v>
      </c>
      <c r="L584" s="526" t="n">
        <f aca="false">L582+L583</f>
        <v>-1027.41601890568</v>
      </c>
      <c r="M584" s="526" t="n">
        <f aca="false">M582+M583</f>
        <v>-963.056539564255</v>
      </c>
      <c r="N584" s="526" t="n">
        <f aca="false">N582+N583</f>
        <v>-883.410575541736</v>
      </c>
      <c r="O584" s="526" t="n">
        <f aca="false">O582+O583</f>
        <v>-772.930292818879</v>
      </c>
      <c r="P584" s="526" t="n">
        <f aca="false">P582+P583</f>
        <v>-663.985585352189</v>
      </c>
      <c r="Q584" s="526" t="n">
        <f aca="false">Q582+Q583</f>
        <v>-575.554802621274</v>
      </c>
      <c r="R584" s="526" t="n">
        <f aca="false">R582+R583</f>
        <v>-490.942886245924</v>
      </c>
      <c r="S584" s="526" t="n">
        <f aca="false">S582+S583</f>
        <v>-415.810547775154</v>
      </c>
      <c r="T584" s="526" t="n">
        <f aca="false">T582+T583</f>
        <v>-349.231262706301</v>
      </c>
      <c r="U584" s="526" t="n">
        <f aca="false">U582+U583</f>
        <v>-292.675688653077</v>
      </c>
      <c r="V584" s="526" t="n">
        <f aca="false">V582+V583</f>
        <v>-240.26942708397</v>
      </c>
      <c r="W584" s="526" t="n">
        <f aca="false">W582+W583</f>
        <v>-197.011743773664</v>
      </c>
      <c r="X584" s="526" t="n">
        <f aca="false">X582+X583</f>
        <v>-159.804967193502</v>
      </c>
      <c r="Y584" s="526" t="n">
        <f aca="false">Y582+Y583</f>
        <v>-125.942690582738</v>
      </c>
      <c r="Z584" s="526" t="n">
        <f aca="false">Z582+Z583</f>
        <v>-92.5136274585116</v>
      </c>
      <c r="AA584" s="526" t="n">
        <f aca="false">AA582+AA583</f>
        <v>-70.7513987503899</v>
      </c>
      <c r="AB584" s="526" t="n">
        <f aca="false">AB582+AB583</f>
        <v>-54.431797004145</v>
      </c>
      <c r="AC584" s="526" t="n">
        <f aca="false">AC582+AC583</f>
        <v>-44.9810616418182</v>
      </c>
    </row>
    <row r="585" customFormat="false" ht="11.25" hidden="false" customHeight="false" outlineLevel="0" collapsed="false">
      <c r="A585" s="43" t="s">
        <v>879</v>
      </c>
      <c r="D585" s="370"/>
      <c r="E585" s="397" t="str">
        <f aca="false">IF(D584=0,"NA",(E584-D584)/D584)</f>
        <v>NA</v>
      </c>
      <c r="F585" s="397" t="str">
        <f aca="false">IF(ISERR((F584-E584)/E584),"NA",(F584-E584)/E584)</f>
        <v>NA</v>
      </c>
      <c r="G585" s="397" t="str">
        <f aca="false">IF(ISERR((G584-F584)/F584),"NA",(G584-F584)/F584)</f>
        <v>NA</v>
      </c>
      <c r="H585" s="397" t="str">
        <f aca="false">IF(OR(H584&gt;100,H584&lt;1),"NA",(H584/C325-G584)/(G584))</f>
        <v>NA</v>
      </c>
      <c r="I585" s="397" t="str">
        <f aca="false">IF(ISERR((H584+I584-G584)/G584),"NA",(H584+I584-G584)/G584)</f>
        <v>NA</v>
      </c>
      <c r="J585" s="397" t="n">
        <f aca="false">IF(ISERR((J584-(H584+I584))/(H584+I584)),"NA",(J584-(H584+I584))/(H584+I584))</f>
        <v>1.25352599856508</v>
      </c>
      <c r="K585" s="397" t="n">
        <f aca="false">IF(ISERR((K584-J584)/J584),"NA",(K584-J584)/J584)</f>
        <v>-0.0663063394979396</v>
      </c>
      <c r="L585" s="397" t="n">
        <f aca="false">IF(ISERR((L584-K584)/K584),"NA",(L584-K584)/K584)</f>
        <v>-0.0534736515746167</v>
      </c>
      <c r="M585" s="397" t="n">
        <f aca="false">IF(ISERR((M584-L584)/L584),"NA",(M584-L584)/L584)</f>
        <v>-0.0626420828146835</v>
      </c>
      <c r="N585" s="397" t="n">
        <f aca="false">IF(ISERR((N584-M584)/M584),"NA",(N584-M584)/M584)</f>
        <v>-0.0827012337806826</v>
      </c>
      <c r="O585" s="397" t="n">
        <f aca="false">IF(ISERR((O584-N584)/N584),"NA",(O584-N584)/N584)</f>
        <v>-0.125061082334346</v>
      </c>
      <c r="P585" s="397" t="n">
        <f aca="false">IF(ISERR((P584-O584)/O584),"NA",(P584-O584)/O584)</f>
        <v>-0.140950236365259</v>
      </c>
      <c r="Q585" s="397" t="n">
        <f aca="false">IF(ISERR((Q584-P584)/P584),"NA",(Q584-P584)/P584)</f>
        <v>-0.133181780872562</v>
      </c>
      <c r="R585" s="397" t="n">
        <f aca="false">IF(ISERR((R584-Q584)/Q584),"NA",(R584-Q584)/Q584)</f>
        <v>-0.147009313431141</v>
      </c>
      <c r="S585" s="397" t="n">
        <f aca="false">IF(ISERR((S584-R584)/R584),"NA",(S584-R584)/R584)</f>
        <v>-0.153036820729356</v>
      </c>
      <c r="T585" s="397" t="n">
        <f aca="false">IF(ISERR((T584-S584)/S584),"NA",(T584-S584)/S584)</f>
        <v>-0.160119278900195</v>
      </c>
      <c r="U585" s="397" t="n">
        <f aca="false">IF(ISERR((U584-T584)/T584),"NA",(U584-T584)/T584)</f>
        <v>-0.16194304488939</v>
      </c>
      <c r="V585" s="397" t="n">
        <f aca="false">IF(ISERR((V584-U584)/U584),"NA",(V584-U584)/U584)</f>
        <v>-0.179059155238638</v>
      </c>
      <c r="W585" s="397" t="n">
        <f aca="false">IF(ISERR((W584-V584)/V584),"NA",(W584-V584)/V584)</f>
        <v>-0.18003823389144</v>
      </c>
      <c r="X585" s="397" t="n">
        <f aca="false">IF(ISERR((X584-W584)/W584),"NA",(X584-W584)/W584)</f>
        <v>-0.188855627931026</v>
      </c>
      <c r="Y585" s="397" t="n">
        <f aca="false">IF(ISERR((Y584-X584)/X584),"NA",(Y584-X584)/X584)</f>
        <v>-0.211897522370265</v>
      </c>
      <c r="Z585" s="397" t="n">
        <f aca="false">IF(ISERR((Z584-Y584)/Y584),"NA",(Z584-Y584)/Y584)</f>
        <v>-0.265430752428343</v>
      </c>
      <c r="AA585" s="397" t="n">
        <f aca="false">IF(ISERR((AA584-Z584)/Z584),"NA",(AA584-Z584)/Z584)</f>
        <v>-0.235232681994673</v>
      </c>
      <c r="AB585" s="397" t="n">
        <f aca="false">IF(ISERR((AB584-AA584)/AA584),"NA",(AB584-AA584)/AA584)</f>
        <v>-0.230661188817202</v>
      </c>
      <c r="AC585" s="397" t="n">
        <f aca="false">IF(ISERR((AC584-AB584)/AB584),"NA",(AC584-AB584)/AB584)</f>
        <v>-0.173625268363034</v>
      </c>
    </row>
    <row r="586" customFormat="false" ht="11.25" hidden="false" customHeight="false" outlineLevel="0" collapsed="false">
      <c r="A586" s="43"/>
    </row>
    <row r="587" customFormat="false" ht="11.25" hidden="false" customHeight="false" outlineLevel="0" collapsed="false">
      <c r="A587" s="153" t="s">
        <v>775</v>
      </c>
      <c r="G587" s="172"/>
    </row>
    <row r="588" customFormat="false" ht="11.25" hidden="false" customHeight="false" outlineLevel="0" collapsed="false">
      <c r="A588" s="43" t="s">
        <v>880</v>
      </c>
      <c r="E588" s="449" t="n">
        <v>0</v>
      </c>
      <c r="F588" s="449" t="n">
        <v>0</v>
      </c>
      <c r="G588" s="449" t="n">
        <v>0</v>
      </c>
      <c r="H588" s="449" t="n">
        <v>0</v>
      </c>
      <c r="I588" s="449" t="n">
        <v>0</v>
      </c>
      <c r="J588" s="449" t="n">
        <v>0</v>
      </c>
      <c r="K588" s="449" t="n">
        <v>0</v>
      </c>
      <c r="L588" s="449" t="n">
        <v>0</v>
      </c>
      <c r="M588" s="449" t="n">
        <v>0</v>
      </c>
      <c r="N588" s="449" t="n">
        <v>0</v>
      </c>
      <c r="O588" s="449" t="n">
        <v>0</v>
      </c>
      <c r="P588" s="449" t="n">
        <v>0</v>
      </c>
      <c r="Q588" s="449" t="n">
        <v>0</v>
      </c>
      <c r="R588" s="449" t="n">
        <v>0</v>
      </c>
      <c r="S588" s="449" t="n">
        <v>0</v>
      </c>
      <c r="T588" s="449" t="n">
        <v>0</v>
      </c>
      <c r="U588" s="449" t="n">
        <v>0</v>
      </c>
      <c r="V588" s="449" t="n">
        <v>0</v>
      </c>
      <c r="W588" s="449" t="n">
        <v>0</v>
      </c>
      <c r="X588" s="449" t="n">
        <v>0</v>
      </c>
      <c r="Y588" s="449" t="n">
        <v>0</v>
      </c>
      <c r="Z588" s="449" t="n">
        <v>0</v>
      </c>
      <c r="AA588" s="449" t="n">
        <v>0</v>
      </c>
      <c r="AB588" s="449" t="n">
        <v>0</v>
      </c>
      <c r="AC588" s="449" t="n">
        <v>0</v>
      </c>
    </row>
    <row r="589" customFormat="false" ht="11.25" hidden="false" customHeight="false" outlineLevel="0" collapsed="false">
      <c r="A589" s="43" t="s">
        <v>881</v>
      </c>
      <c r="D589" s="172"/>
      <c r="E589" s="172"/>
      <c r="F589" s="172"/>
      <c r="G589" s="67"/>
      <c r="H589" s="172"/>
      <c r="I589" s="417" t="n">
        <f aca="false">$K$396/40*C328</f>
        <v>0</v>
      </c>
      <c r="J589" s="417" t="n">
        <f aca="false">$K$396/40</f>
        <v>0</v>
      </c>
      <c r="K589" s="417" t="n">
        <f aca="false">$K$396/40</f>
        <v>0</v>
      </c>
      <c r="L589" s="417" t="n">
        <f aca="false">$K$396/40</f>
        <v>0</v>
      </c>
      <c r="M589" s="417" t="n">
        <f aca="false">$K$396/40</f>
        <v>0</v>
      </c>
      <c r="N589" s="417" t="n">
        <f aca="false">$K$396/40</f>
        <v>0</v>
      </c>
      <c r="O589" s="417" t="n">
        <f aca="false">$K$396/40</f>
        <v>0</v>
      </c>
      <c r="P589" s="417" t="n">
        <f aca="false">$K$396/40</f>
        <v>0</v>
      </c>
      <c r="Q589" s="417" t="n">
        <f aca="false">$K$396/40</f>
        <v>0</v>
      </c>
      <c r="R589" s="417" t="n">
        <f aca="false">$K$396/40</f>
        <v>0</v>
      </c>
      <c r="S589" s="417" t="n">
        <f aca="false">$K$396/40</f>
        <v>0</v>
      </c>
      <c r="T589" s="417" t="n">
        <f aca="false">$K$396/40</f>
        <v>0</v>
      </c>
      <c r="U589" s="417" t="n">
        <f aca="false">$K$396/40</f>
        <v>0</v>
      </c>
      <c r="V589" s="417" t="n">
        <f aca="false">$K$396/40</f>
        <v>0</v>
      </c>
      <c r="W589" s="417" t="n">
        <f aca="false">$K$396/40</f>
        <v>0</v>
      </c>
      <c r="X589" s="417" t="n">
        <f aca="false">$K$396/40</f>
        <v>0</v>
      </c>
      <c r="Y589" s="417" t="n">
        <f aca="false">$K$396/40</f>
        <v>0</v>
      </c>
      <c r="Z589" s="417" t="n">
        <f aca="false">$K$396/40</f>
        <v>0</v>
      </c>
      <c r="AA589" s="417" t="n">
        <f aca="false">$K$396/40</f>
        <v>0</v>
      </c>
      <c r="AB589" s="417" t="n">
        <f aca="false">$K$396/40</f>
        <v>0</v>
      </c>
      <c r="AC589" s="417" t="n">
        <f aca="false">$K$396/40</f>
        <v>0</v>
      </c>
    </row>
    <row r="590" customFormat="false" ht="11.25" hidden="false" customHeight="false" outlineLevel="0" collapsed="false">
      <c r="A590" s="43" t="s">
        <v>882</v>
      </c>
      <c r="D590" s="172"/>
      <c r="E590" s="172"/>
      <c r="F590" s="172"/>
      <c r="G590" s="172"/>
      <c r="H590" s="172"/>
      <c r="I590" s="417" t="n">
        <f aca="false">I383</f>
        <v>0</v>
      </c>
      <c r="J590" s="417" t="n">
        <f aca="false">J383</f>
        <v>0</v>
      </c>
      <c r="K590" s="417" t="n">
        <f aca="false">K383</f>
        <v>0</v>
      </c>
      <c r="L590" s="417" t="n">
        <f aca="false">L383</f>
        <v>0</v>
      </c>
      <c r="M590" s="417" t="n">
        <f aca="false">M383</f>
        <v>0</v>
      </c>
      <c r="N590" s="417" t="n">
        <f aca="false">N383</f>
        <v>0</v>
      </c>
      <c r="O590" s="417" t="n">
        <f aca="false">O383</f>
        <v>0</v>
      </c>
      <c r="P590" s="417" t="n">
        <f aca="false">P383</f>
        <v>0</v>
      </c>
      <c r="Q590" s="417" t="n">
        <f aca="false">Q383</f>
        <v>0</v>
      </c>
      <c r="R590" s="417" t="n">
        <f aca="false">R383</f>
        <v>0</v>
      </c>
      <c r="S590" s="417" t="n">
        <f aca="false">S383</f>
        <v>0</v>
      </c>
      <c r="T590" s="417" t="n">
        <f aca="false">T383</f>
        <v>0</v>
      </c>
      <c r="U590" s="417" t="n">
        <f aca="false">U383</f>
        <v>0</v>
      </c>
      <c r="V590" s="417" t="n">
        <f aca="false">V383</f>
        <v>0</v>
      </c>
      <c r="W590" s="417" t="n">
        <f aca="false">W383</f>
        <v>0</v>
      </c>
      <c r="X590" s="417" t="n">
        <f aca="false">X383</f>
        <v>0</v>
      </c>
      <c r="Y590" s="417" t="n">
        <f aca="false">Y383</f>
        <v>0</v>
      </c>
      <c r="Z590" s="417" t="n">
        <f aca="false">Z383</f>
        <v>0</v>
      </c>
      <c r="AA590" s="417" t="n">
        <f aca="false">AA383</f>
        <v>0</v>
      </c>
      <c r="AB590" s="417" t="n">
        <f aca="false">AB383</f>
        <v>0</v>
      </c>
      <c r="AC590" s="417" t="n">
        <f aca="false">AC383</f>
        <v>0</v>
      </c>
    </row>
    <row r="591" customFormat="false" ht="11.25" hidden="false" customHeight="false" outlineLevel="0" collapsed="false">
      <c r="A591" s="43" t="s">
        <v>883</v>
      </c>
      <c r="D591" s="507"/>
      <c r="E591" s="476" t="n">
        <f aca="false">E948</f>
        <v>0</v>
      </c>
      <c r="F591" s="476" t="n">
        <f aca="false">F948</f>
        <v>0</v>
      </c>
      <c r="G591" s="476" t="n">
        <f aca="false">G948</f>
        <v>0</v>
      </c>
      <c r="H591" s="476" t="n">
        <f aca="false">H948</f>
        <v>0</v>
      </c>
      <c r="I591" s="476" t="n">
        <f aca="false">I948</f>
        <v>0</v>
      </c>
      <c r="J591" s="476" t="n">
        <f aca="false">J948</f>
        <v>0</v>
      </c>
      <c r="K591" s="476" t="n">
        <f aca="false">K948</f>
        <v>0</v>
      </c>
      <c r="L591" s="476" t="n">
        <f aca="false">L948</f>
        <v>0</v>
      </c>
      <c r="M591" s="476" t="n">
        <f aca="false">M948</f>
        <v>0</v>
      </c>
      <c r="N591" s="476" t="n">
        <f aca="false">N948</f>
        <v>0</v>
      </c>
      <c r="O591" s="476" t="n">
        <f aca="false">O948</f>
        <v>0</v>
      </c>
      <c r="P591" s="476" t="n">
        <f aca="false">P948</f>
        <v>0</v>
      </c>
      <c r="Q591" s="476" t="n">
        <f aca="false">Q948</f>
        <v>0</v>
      </c>
      <c r="R591" s="476" t="n">
        <f aca="false">R948</f>
        <v>0</v>
      </c>
      <c r="S591" s="476" t="n">
        <f aca="false">S948</f>
        <v>0</v>
      </c>
      <c r="T591" s="476" t="n">
        <f aca="false">T948</f>
        <v>0</v>
      </c>
      <c r="U591" s="476" t="n">
        <f aca="false">U948</f>
        <v>0</v>
      </c>
      <c r="V591" s="476" t="n">
        <f aca="false">V948</f>
        <v>0</v>
      </c>
      <c r="W591" s="476" t="n">
        <f aca="false">W948</f>
        <v>0</v>
      </c>
      <c r="X591" s="476" t="n">
        <f aca="false">X948</f>
        <v>0</v>
      </c>
      <c r="Y591" s="476" t="n">
        <f aca="false">Y948</f>
        <v>0</v>
      </c>
      <c r="Z591" s="476" t="n">
        <f aca="false">Z948</f>
        <v>0</v>
      </c>
      <c r="AA591" s="476" t="n">
        <f aca="false">AA948</f>
        <v>0</v>
      </c>
      <c r="AB591" s="476" t="n">
        <f aca="false">AB948</f>
        <v>0</v>
      </c>
      <c r="AC591" s="476" t="n">
        <f aca="false">AC948</f>
        <v>0</v>
      </c>
    </row>
    <row r="592" customFormat="false" ht="11.25" hidden="false" customHeight="false" outlineLevel="0" collapsed="false">
      <c r="A592" s="43" t="s">
        <v>658</v>
      </c>
      <c r="D592" s="507"/>
      <c r="E592" s="527" t="n">
        <f aca="false">E631+E632</f>
        <v>0</v>
      </c>
      <c r="F592" s="527" t="n">
        <f aca="false">F631+F632</f>
        <v>0</v>
      </c>
      <c r="G592" s="527" t="n">
        <f aca="false">G631+G632</f>
        <v>0</v>
      </c>
      <c r="H592" s="527" t="n">
        <f aca="false">H631+H632</f>
        <v>0</v>
      </c>
      <c r="I592" s="527" t="n">
        <f aca="false">I631+I632</f>
        <v>0</v>
      </c>
      <c r="J592" s="527" t="n">
        <f aca="false">J631+J632</f>
        <v>0</v>
      </c>
      <c r="K592" s="527" t="n">
        <f aca="false">K631+K632</f>
        <v>0</v>
      </c>
      <c r="L592" s="527" t="n">
        <f aca="false">L631+L632</f>
        <v>0</v>
      </c>
      <c r="M592" s="527" t="n">
        <f aca="false">M631+M632</f>
        <v>0</v>
      </c>
      <c r="N592" s="527" t="n">
        <f aca="false">N631+N632</f>
        <v>0</v>
      </c>
      <c r="O592" s="527" t="n">
        <f aca="false">O631+O632</f>
        <v>0</v>
      </c>
      <c r="P592" s="527" t="n">
        <f aca="false">P631+P632</f>
        <v>0</v>
      </c>
      <c r="Q592" s="527" t="n">
        <f aca="false">Q631+Q632</f>
        <v>0</v>
      </c>
      <c r="R592" s="527" t="n">
        <f aca="false">R631+R632</f>
        <v>0</v>
      </c>
      <c r="S592" s="527" t="n">
        <f aca="false">S631+S632</f>
        <v>0</v>
      </c>
      <c r="T592" s="527" t="n">
        <f aca="false">T631+T632</f>
        <v>0</v>
      </c>
      <c r="U592" s="527" t="n">
        <f aca="false">U631+U632</f>
        <v>0</v>
      </c>
      <c r="V592" s="527" t="n">
        <f aca="false">V631+V632</f>
        <v>0</v>
      </c>
      <c r="W592" s="527" t="n">
        <f aca="false">W631+W632</f>
        <v>0</v>
      </c>
      <c r="X592" s="527" t="n">
        <f aca="false">X631+X632</f>
        <v>0</v>
      </c>
      <c r="Y592" s="527" t="n">
        <f aca="false">Y631+Y632</f>
        <v>0</v>
      </c>
      <c r="Z592" s="527" t="n">
        <f aca="false">Z631+Z632</f>
        <v>0</v>
      </c>
      <c r="AA592" s="527" t="n">
        <f aca="false">AA631+AA632</f>
        <v>0</v>
      </c>
      <c r="AB592" s="527" t="n">
        <f aca="false">AB631+AB632</f>
        <v>0</v>
      </c>
      <c r="AC592" s="527" t="n">
        <f aca="false">AC631+AC632</f>
        <v>0</v>
      </c>
    </row>
    <row r="593" customFormat="false" ht="11.25" hidden="false" customHeight="false" outlineLevel="0" collapsed="false">
      <c r="A593" s="43" t="s">
        <v>884</v>
      </c>
      <c r="D593" s="172"/>
      <c r="E593" s="476" t="n">
        <f aca="false">SUM(E588:E592)</f>
        <v>0</v>
      </c>
      <c r="F593" s="476" t="n">
        <f aca="false">SUM(F588:F592)</f>
        <v>0</v>
      </c>
      <c r="G593" s="476" t="n">
        <f aca="false">SUM(G588:G592)</f>
        <v>0</v>
      </c>
      <c r="H593" s="476" t="n">
        <f aca="false">SUM(H588:H592)</f>
        <v>0</v>
      </c>
      <c r="I593" s="476" t="n">
        <f aca="false">SUM(I588:I592)</f>
        <v>0</v>
      </c>
      <c r="J593" s="476" t="n">
        <f aca="false">SUM(J588:J592)</f>
        <v>0</v>
      </c>
      <c r="K593" s="476" t="n">
        <f aca="false">SUM(K588:K592)</f>
        <v>0</v>
      </c>
      <c r="L593" s="476" t="n">
        <f aca="false">SUM(L588:L592)</f>
        <v>0</v>
      </c>
      <c r="M593" s="476" t="n">
        <f aca="false">SUM(M588:M592)</f>
        <v>0</v>
      </c>
      <c r="N593" s="476" t="n">
        <f aca="false">SUM(N588:N592)</f>
        <v>0</v>
      </c>
      <c r="O593" s="476" t="n">
        <f aca="false">SUM(O588:O592)</f>
        <v>0</v>
      </c>
      <c r="P593" s="476" t="n">
        <f aca="false">SUM(P588:P592)</f>
        <v>0</v>
      </c>
      <c r="Q593" s="476" t="n">
        <f aca="false">SUM(Q588:Q592)</f>
        <v>0</v>
      </c>
      <c r="R593" s="476" t="n">
        <f aca="false">SUM(R588:R592)</f>
        <v>0</v>
      </c>
      <c r="S593" s="476" t="n">
        <f aca="false">SUM(S588:S592)</f>
        <v>0</v>
      </c>
      <c r="T593" s="476" t="n">
        <f aca="false">SUM(T588:T592)</f>
        <v>0</v>
      </c>
      <c r="U593" s="476" t="n">
        <f aca="false">SUM(U588:U592)</f>
        <v>0</v>
      </c>
      <c r="V593" s="476" t="n">
        <f aca="false">SUM(V588:V592)</f>
        <v>0</v>
      </c>
      <c r="W593" s="476" t="n">
        <f aca="false">SUM(W588:W592)</f>
        <v>0</v>
      </c>
      <c r="X593" s="476" t="n">
        <f aca="false">SUM(X588:X592)</f>
        <v>0</v>
      </c>
      <c r="Y593" s="476" t="n">
        <f aca="false">SUM(Y588:Y592)</f>
        <v>0</v>
      </c>
      <c r="Z593" s="476" t="n">
        <f aca="false">SUM(Z588:Z592)</f>
        <v>0</v>
      </c>
      <c r="AA593" s="476" t="n">
        <f aca="false">SUM(AA588:AA592)</f>
        <v>0</v>
      </c>
      <c r="AB593" s="476" t="n">
        <f aca="false">SUM(AB588:AB592)</f>
        <v>0</v>
      </c>
      <c r="AC593" s="476" t="n">
        <f aca="false">SUM(AC588:AC592)</f>
        <v>0</v>
      </c>
    </row>
    <row r="594" customFormat="false" ht="11.25" hidden="false" customHeight="false" outlineLevel="0" collapsed="false">
      <c r="A594" s="43"/>
      <c r="D594" s="172"/>
      <c r="E594" s="172"/>
      <c r="F594" s="172"/>
      <c r="G594" s="172"/>
      <c r="H594" s="172"/>
      <c r="I594" s="417"/>
      <c r="J594" s="417"/>
      <c r="K594" s="417"/>
      <c r="L594" s="417"/>
      <c r="M594" s="417"/>
      <c r="N594" s="417"/>
      <c r="O594" s="417"/>
      <c r="P594" s="417"/>
      <c r="Q594" s="417"/>
      <c r="R594" s="417"/>
      <c r="S594" s="417"/>
      <c r="T594" s="417"/>
      <c r="U594" s="417"/>
      <c r="V594" s="417"/>
      <c r="W594" s="417"/>
      <c r="X594" s="417"/>
      <c r="Y594" s="417"/>
      <c r="Z594" s="417"/>
      <c r="AA594" s="417"/>
      <c r="AB594" s="417"/>
      <c r="AC594" s="417"/>
    </row>
    <row r="595" customFormat="false" ht="11.25" hidden="false" customHeight="false" outlineLevel="0" collapsed="false">
      <c r="A595" s="153" t="s">
        <v>660</v>
      </c>
      <c r="I595" s="172"/>
      <c r="J595" s="172"/>
      <c r="K595" s="172"/>
      <c r="L595" s="172"/>
      <c r="M595" s="172"/>
      <c r="N595" s="172"/>
      <c r="O595" s="172"/>
      <c r="P595" s="172"/>
      <c r="Q595" s="172"/>
      <c r="R595" s="172"/>
      <c r="S595" s="172"/>
      <c r="T595" s="172"/>
      <c r="U595" s="172"/>
      <c r="V595" s="172"/>
      <c r="W595" s="172"/>
      <c r="X595" s="172"/>
      <c r="Y595" s="172"/>
      <c r="Z595" s="172"/>
      <c r="AA595" s="172"/>
      <c r="AB595" s="172"/>
      <c r="AC595" s="172"/>
    </row>
    <row r="596" customFormat="false" ht="11.25" hidden="false" customHeight="false" outlineLevel="0" collapsed="false">
      <c r="A596" s="43" t="s">
        <v>885</v>
      </c>
      <c r="B596" s="43"/>
      <c r="E596" s="449" t="n">
        <v>0</v>
      </c>
      <c r="F596" s="449" t="n">
        <v>0</v>
      </c>
      <c r="G596" s="449" t="n">
        <v>0</v>
      </c>
      <c r="H596" s="449" t="n">
        <v>0</v>
      </c>
      <c r="I596" s="449" t="n">
        <v>0</v>
      </c>
      <c r="J596" s="449" t="n">
        <v>0</v>
      </c>
      <c r="K596" s="449" t="n">
        <v>0</v>
      </c>
      <c r="L596" s="449" t="n">
        <v>0</v>
      </c>
      <c r="M596" s="449" t="n">
        <v>0</v>
      </c>
      <c r="N596" s="449" t="n">
        <v>0</v>
      </c>
      <c r="O596" s="449" t="n">
        <v>0</v>
      </c>
      <c r="P596" s="449" t="n">
        <v>0</v>
      </c>
      <c r="Q596" s="449" t="n">
        <v>0</v>
      </c>
      <c r="R596" s="449" t="n">
        <v>0</v>
      </c>
      <c r="S596" s="449" t="n">
        <v>0</v>
      </c>
      <c r="T596" s="449" t="n">
        <v>0</v>
      </c>
      <c r="U596" s="449" t="n">
        <v>0</v>
      </c>
      <c r="V596" s="449" t="n">
        <v>0</v>
      </c>
      <c r="W596" s="449" t="n">
        <v>0</v>
      </c>
      <c r="X596" s="449" t="n">
        <v>0</v>
      </c>
      <c r="Y596" s="449" t="n">
        <v>0</v>
      </c>
      <c r="Z596" s="449" t="n">
        <v>0</v>
      </c>
      <c r="AA596" s="449" t="n">
        <v>0</v>
      </c>
      <c r="AB596" s="449" t="n">
        <v>0</v>
      </c>
      <c r="AC596" s="449" t="n">
        <v>0</v>
      </c>
    </row>
    <row r="597" customFormat="false" ht="11.25" hidden="false" customHeight="false" outlineLevel="0" collapsed="false">
      <c r="A597" s="43"/>
      <c r="E597" s="417"/>
      <c r="F597" s="417"/>
      <c r="G597" s="417"/>
      <c r="H597" s="417"/>
    </row>
    <row r="598" customFormat="false" ht="12" hidden="false" customHeight="false" outlineLevel="0" collapsed="false">
      <c r="A598" s="43"/>
      <c r="E598" s="417"/>
      <c r="F598" s="417"/>
      <c r="G598" s="417"/>
      <c r="H598" s="417"/>
    </row>
    <row r="599" customFormat="false" ht="12.75" hidden="false" customHeight="false" outlineLevel="0" collapsed="false">
      <c r="A599" s="292"/>
      <c r="B599" s="292"/>
      <c r="C599" s="292"/>
      <c r="D599" s="292"/>
      <c r="E599" s="292"/>
      <c r="F599" s="292"/>
      <c r="G599" s="292"/>
      <c r="H599" s="292"/>
      <c r="I599" s="292"/>
      <c r="J599" s="292"/>
      <c r="K599" s="292"/>
      <c r="L599" s="292"/>
      <c r="M599" s="292"/>
      <c r="N599" s="292"/>
      <c r="O599" s="292"/>
      <c r="P599" s="292"/>
      <c r="Q599" s="292"/>
      <c r="R599" s="292"/>
      <c r="S599" s="292"/>
      <c r="T599" s="292"/>
      <c r="U599" s="292"/>
      <c r="V599" s="292"/>
      <c r="W599" s="292"/>
      <c r="X599" s="292"/>
      <c r="Y599" s="292"/>
      <c r="Z599" s="292"/>
      <c r="AA599" s="292"/>
      <c r="AB599" s="292"/>
      <c r="AC599" s="292"/>
    </row>
    <row r="600" customFormat="false" ht="12.75" hidden="false" customHeight="false" outlineLevel="0" collapsed="false">
      <c r="A600" s="155" t="s">
        <v>886</v>
      </c>
      <c r="E600" s="395" t="n">
        <f aca="false">E580</f>
        <v>1996</v>
      </c>
      <c r="F600" s="395" t="n">
        <f aca="false">F580</f>
        <v>1997</v>
      </c>
      <c r="G600" s="395" t="n">
        <f aca="false">G580</f>
        <v>1998</v>
      </c>
      <c r="H600" s="81" t="str">
        <f aca="false">$H$579&amp;"/"&amp;TEXT($H$580,"0")</f>
        <v>6 M/1999</v>
      </c>
      <c r="I600" s="469" t="str">
        <f aca="false">$I$579&amp;"/"&amp;TEXT($I$580,"0")</f>
        <v>6 M/1999</v>
      </c>
      <c r="J600" s="469" t="n">
        <f aca="false">J580</f>
        <v>2000</v>
      </c>
      <c r="K600" s="469" t="n">
        <f aca="false">K580</f>
        <v>2001</v>
      </c>
      <c r="L600" s="469" t="n">
        <f aca="false">L580</f>
        <v>2002</v>
      </c>
      <c r="M600" s="469" t="n">
        <f aca="false">M580</f>
        <v>2003</v>
      </c>
      <c r="N600" s="469" t="n">
        <f aca="false">N580</f>
        <v>2004</v>
      </c>
      <c r="O600" s="469" t="n">
        <f aca="false">O580</f>
        <v>2005</v>
      </c>
      <c r="P600" s="469" t="n">
        <f aca="false">P580</f>
        <v>2006</v>
      </c>
      <c r="Q600" s="469" t="n">
        <f aca="false">Q580</f>
        <v>2007</v>
      </c>
      <c r="R600" s="469" t="n">
        <f aca="false">R580</f>
        <v>2008</v>
      </c>
      <c r="S600" s="469" t="n">
        <f aca="false">S580</f>
        <v>2009</v>
      </c>
      <c r="T600" s="469" t="n">
        <f aca="false">T580</f>
        <v>2010</v>
      </c>
      <c r="U600" s="469" t="n">
        <f aca="false">U580</f>
        <v>2011</v>
      </c>
      <c r="V600" s="469" t="n">
        <f aca="false">V580</f>
        <v>2012</v>
      </c>
      <c r="W600" s="469" t="n">
        <f aca="false">W580</f>
        <v>2013</v>
      </c>
      <c r="X600" s="469" t="n">
        <f aca="false">X580</f>
        <v>2014</v>
      </c>
      <c r="Y600" s="469" t="n">
        <f aca="false">Y580</f>
        <v>2015</v>
      </c>
      <c r="Z600" s="469" t="n">
        <f aca="false">Z580</f>
        <v>2016</v>
      </c>
      <c r="AA600" s="469" t="n">
        <f aca="false">AA580</f>
        <v>2017</v>
      </c>
      <c r="AB600" s="469" t="n">
        <f aca="false">AB580</f>
        <v>2018</v>
      </c>
      <c r="AC600" s="469" t="n">
        <f aca="false">AC580</f>
        <v>2019</v>
      </c>
      <c r="AG600" s="35"/>
    </row>
    <row r="601" customFormat="false" ht="12" hidden="false" customHeight="false" outlineLevel="0" collapsed="false">
      <c r="A601" s="43" t="s">
        <v>887</v>
      </c>
      <c r="I601" s="449" t="n">
        <v>0</v>
      </c>
      <c r="J601" s="449" t="n">
        <v>0</v>
      </c>
      <c r="K601" s="449" t="n">
        <v>0</v>
      </c>
      <c r="L601" s="449" t="n">
        <v>0</v>
      </c>
      <c r="M601" s="449" t="n">
        <v>0</v>
      </c>
      <c r="N601" s="449" t="n">
        <v>0</v>
      </c>
      <c r="O601" s="449" t="n">
        <v>0</v>
      </c>
      <c r="P601" s="449" t="n">
        <v>0</v>
      </c>
      <c r="Q601" s="449" t="n">
        <v>0</v>
      </c>
      <c r="R601" s="449" t="n">
        <v>0</v>
      </c>
      <c r="S601" s="449" t="n">
        <v>0</v>
      </c>
      <c r="T601" s="449" t="n">
        <v>0</v>
      </c>
      <c r="U601" s="449" t="n">
        <v>0</v>
      </c>
      <c r="V601" s="449" t="n">
        <v>0</v>
      </c>
      <c r="W601" s="449" t="n">
        <v>0</v>
      </c>
      <c r="X601" s="449" t="n">
        <v>0</v>
      </c>
      <c r="Y601" s="449" t="n">
        <v>0</v>
      </c>
      <c r="Z601" s="449" t="n">
        <v>0</v>
      </c>
      <c r="AA601" s="449" t="n">
        <v>0</v>
      </c>
      <c r="AB601" s="449" t="n">
        <v>0</v>
      </c>
      <c r="AC601" s="449" t="n">
        <v>0</v>
      </c>
      <c r="AG601" s="35"/>
    </row>
    <row r="602" customFormat="false" ht="11.25" hidden="false" customHeight="false" outlineLevel="0" collapsed="false">
      <c r="A602" s="43"/>
      <c r="I602" s="171"/>
      <c r="J602" s="171"/>
      <c r="K602" s="171"/>
      <c r="L602" s="171"/>
      <c r="M602" s="171"/>
      <c r="N602" s="171"/>
      <c r="O602" s="171"/>
      <c r="P602" s="171"/>
      <c r="Q602" s="171"/>
      <c r="R602" s="171"/>
      <c r="S602" s="171"/>
      <c r="T602" s="171"/>
      <c r="U602" s="171"/>
      <c r="V602" s="171"/>
      <c r="W602" s="171"/>
      <c r="X602" s="171"/>
      <c r="Y602" s="171"/>
      <c r="Z602" s="171"/>
      <c r="AA602" s="171"/>
      <c r="AB602" s="171"/>
      <c r="AC602" s="171"/>
      <c r="AG602" s="35"/>
    </row>
    <row r="603" customFormat="false" ht="11.25" hidden="false" customHeight="false" outlineLevel="0" collapsed="false">
      <c r="A603" s="43" t="s">
        <v>888</v>
      </c>
      <c r="I603" s="449" t="n">
        <v>0</v>
      </c>
      <c r="J603" s="449" t="n">
        <v>0</v>
      </c>
      <c r="K603" s="449" t="n">
        <v>0</v>
      </c>
      <c r="L603" s="449" t="n">
        <v>0</v>
      </c>
      <c r="M603" s="449" t="n">
        <v>0</v>
      </c>
      <c r="N603" s="449" t="n">
        <v>0</v>
      </c>
      <c r="O603" s="449" t="n">
        <v>0</v>
      </c>
      <c r="P603" s="449" t="n">
        <v>0</v>
      </c>
      <c r="Q603" s="449" t="n">
        <v>0</v>
      </c>
      <c r="R603" s="449" t="n">
        <v>0</v>
      </c>
      <c r="S603" s="449" t="n">
        <v>0</v>
      </c>
      <c r="T603" s="449" t="n">
        <v>0</v>
      </c>
      <c r="U603" s="449" t="n">
        <v>0</v>
      </c>
      <c r="V603" s="449" t="n">
        <v>0</v>
      </c>
      <c r="W603" s="449" t="n">
        <v>0</v>
      </c>
      <c r="X603" s="449" t="n">
        <v>0</v>
      </c>
      <c r="Y603" s="449" t="n">
        <v>0</v>
      </c>
      <c r="Z603" s="449" t="n">
        <v>0</v>
      </c>
      <c r="AA603" s="449" t="n">
        <v>0</v>
      </c>
      <c r="AB603" s="449" t="n">
        <v>0</v>
      </c>
      <c r="AC603" s="449" t="n">
        <v>0</v>
      </c>
      <c r="AG603" s="35"/>
    </row>
    <row r="604" customFormat="false" ht="11.25" hidden="false" customHeight="false" outlineLevel="0" collapsed="false">
      <c r="A604" s="43" t="s">
        <v>889</v>
      </c>
      <c r="I604" s="449" t="n">
        <v>0</v>
      </c>
      <c r="J604" s="449" t="n">
        <v>0</v>
      </c>
      <c r="K604" s="449" t="n">
        <v>0</v>
      </c>
      <c r="L604" s="449" t="n">
        <v>0</v>
      </c>
      <c r="M604" s="449" t="n">
        <v>0</v>
      </c>
      <c r="N604" s="449" t="n">
        <v>0</v>
      </c>
      <c r="O604" s="449" t="n">
        <v>0</v>
      </c>
      <c r="P604" s="449" t="n">
        <v>0</v>
      </c>
      <c r="Q604" s="449" t="n">
        <v>0</v>
      </c>
      <c r="R604" s="449" t="n">
        <v>0</v>
      </c>
      <c r="S604" s="449" t="n">
        <v>0</v>
      </c>
      <c r="T604" s="449" t="n">
        <v>0</v>
      </c>
      <c r="U604" s="449" t="n">
        <v>0</v>
      </c>
      <c r="V604" s="449" t="n">
        <v>0</v>
      </c>
      <c r="W604" s="449" t="n">
        <v>0</v>
      </c>
      <c r="X604" s="449" t="n">
        <v>0</v>
      </c>
      <c r="Y604" s="449" t="n">
        <v>0</v>
      </c>
      <c r="Z604" s="449" t="n">
        <v>0</v>
      </c>
      <c r="AA604" s="449" t="n">
        <v>0</v>
      </c>
      <c r="AB604" s="449" t="n">
        <v>0</v>
      </c>
      <c r="AC604" s="449" t="n">
        <v>0</v>
      </c>
      <c r="AG604" s="35"/>
    </row>
    <row r="605" customFormat="false" ht="11.25" hidden="false" customHeight="false" outlineLevel="0" collapsed="false">
      <c r="A605" s="43" t="s">
        <v>890</v>
      </c>
      <c r="I605" s="158" t="n">
        <f aca="false">I603-I604</f>
        <v>0</v>
      </c>
      <c r="J605" s="158" t="n">
        <f aca="false">J603-J604</f>
        <v>0</v>
      </c>
      <c r="K605" s="158" t="n">
        <f aca="false">K603-K604</f>
        <v>0</v>
      </c>
      <c r="L605" s="158" t="n">
        <f aca="false">L603-L604</f>
        <v>0</v>
      </c>
      <c r="M605" s="158" t="n">
        <f aca="false">M603-M604</f>
        <v>0</v>
      </c>
      <c r="N605" s="158" t="n">
        <f aca="false">N603-N604</f>
        <v>0</v>
      </c>
      <c r="O605" s="158" t="n">
        <f aca="false">O603-O604</f>
        <v>0</v>
      </c>
      <c r="P605" s="158" t="n">
        <f aca="false">P603-P604</f>
        <v>0</v>
      </c>
      <c r="Q605" s="158" t="n">
        <f aca="false">Q603-Q604</f>
        <v>0</v>
      </c>
      <c r="R605" s="158" t="n">
        <f aca="false">R603-R604</f>
        <v>0</v>
      </c>
      <c r="S605" s="158" t="n">
        <f aca="false">S603-S604</f>
        <v>0</v>
      </c>
      <c r="T605" s="158" t="n">
        <f aca="false">T603-T604</f>
        <v>0</v>
      </c>
      <c r="U605" s="158" t="n">
        <f aca="false">U603-U604</f>
        <v>0</v>
      </c>
      <c r="V605" s="158" t="n">
        <f aca="false">V603-V604</f>
        <v>0</v>
      </c>
      <c r="W605" s="158" t="n">
        <f aca="false">W603-W604</f>
        <v>0</v>
      </c>
      <c r="X605" s="158" t="n">
        <f aca="false">X603-X604</f>
        <v>0</v>
      </c>
      <c r="Y605" s="158" t="n">
        <f aca="false">Y603-Y604</f>
        <v>0</v>
      </c>
      <c r="Z605" s="158" t="n">
        <f aca="false">Z603-Z604</f>
        <v>0</v>
      </c>
      <c r="AA605" s="158" t="n">
        <f aca="false">AA603-AA604</f>
        <v>0</v>
      </c>
      <c r="AB605" s="158" t="n">
        <f aca="false">AB603-AB604</f>
        <v>0</v>
      </c>
      <c r="AC605" s="158" t="n">
        <f aca="false">AC603-AC604</f>
        <v>0</v>
      </c>
      <c r="AG605" s="35"/>
    </row>
    <row r="606" customFormat="false" ht="11.25" hidden="false" customHeight="false" outlineLevel="0" collapsed="false">
      <c r="A606" s="307" t="s">
        <v>891</v>
      </c>
      <c r="E606" s="528" t="n">
        <v>0</v>
      </c>
      <c r="F606" s="528" t="n">
        <v>0</v>
      </c>
      <c r="G606" s="528" t="n">
        <v>0</v>
      </c>
      <c r="H606" s="528" t="n">
        <v>0</v>
      </c>
      <c r="I606" s="231" t="n">
        <f aca="false">I601-I605</f>
        <v>0</v>
      </c>
      <c r="J606" s="231" t="n">
        <f aca="false">J601-J605</f>
        <v>0</v>
      </c>
      <c r="K606" s="231" t="n">
        <f aca="false">K601-K605</f>
        <v>0</v>
      </c>
      <c r="L606" s="231" t="n">
        <f aca="false">L601-L605</f>
        <v>0</v>
      </c>
      <c r="M606" s="231" t="n">
        <f aca="false">M601-M605</f>
        <v>0</v>
      </c>
      <c r="N606" s="231" t="n">
        <f aca="false">N601-N605</f>
        <v>0</v>
      </c>
      <c r="O606" s="231" t="n">
        <f aca="false">O601-O605</f>
        <v>0</v>
      </c>
      <c r="P606" s="231" t="n">
        <f aca="false">P601-P605</f>
        <v>0</v>
      </c>
      <c r="Q606" s="231" t="n">
        <f aca="false">Q601-Q605</f>
        <v>0</v>
      </c>
      <c r="R606" s="231" t="n">
        <f aca="false">R601-R605</f>
        <v>0</v>
      </c>
      <c r="S606" s="231" t="n">
        <f aca="false">S601-S605</f>
        <v>0</v>
      </c>
      <c r="T606" s="231" t="n">
        <f aca="false">T601-T605</f>
        <v>0</v>
      </c>
      <c r="U606" s="231" t="n">
        <f aca="false">U601-U605</f>
        <v>0</v>
      </c>
      <c r="V606" s="231" t="n">
        <f aca="false">V601-V605</f>
        <v>0</v>
      </c>
      <c r="W606" s="231" t="n">
        <f aca="false">W601-W605</f>
        <v>0</v>
      </c>
      <c r="X606" s="231" t="n">
        <f aca="false">X601-X605</f>
        <v>0</v>
      </c>
      <c r="Y606" s="231" t="n">
        <f aca="false">Y601-Y605</f>
        <v>0</v>
      </c>
      <c r="Z606" s="231" t="n">
        <f aca="false">Z601-Z605</f>
        <v>0</v>
      </c>
      <c r="AA606" s="231" t="n">
        <f aca="false">AA601-AA605</f>
        <v>0</v>
      </c>
      <c r="AB606" s="231" t="n">
        <f aca="false">AB601-AB605</f>
        <v>0</v>
      </c>
      <c r="AC606" s="231" t="n">
        <f aca="false">AC601-AC605</f>
        <v>0</v>
      </c>
      <c r="AG606" s="35"/>
    </row>
    <row r="607" customFormat="false" ht="11.25" hidden="false" customHeight="false" outlineLevel="0" collapsed="false">
      <c r="A607" s="43" t="s">
        <v>892</v>
      </c>
      <c r="I607" s="449" t="n">
        <v>0</v>
      </c>
      <c r="J607" s="449" t="n">
        <v>0</v>
      </c>
      <c r="K607" s="449" t="n">
        <v>0</v>
      </c>
      <c r="L607" s="449" t="n">
        <v>0</v>
      </c>
      <c r="M607" s="449" t="n">
        <v>0</v>
      </c>
      <c r="N607" s="449" t="n">
        <v>0</v>
      </c>
      <c r="O607" s="449" t="n">
        <v>0</v>
      </c>
      <c r="P607" s="449" t="n">
        <v>0</v>
      </c>
      <c r="Q607" s="449" t="n">
        <v>0</v>
      </c>
      <c r="R607" s="449" t="n">
        <v>0</v>
      </c>
      <c r="S607" s="449" t="n">
        <v>0</v>
      </c>
      <c r="T607" s="449" t="n">
        <v>0</v>
      </c>
      <c r="U607" s="449" t="n">
        <v>0</v>
      </c>
      <c r="V607" s="449" t="n">
        <v>0</v>
      </c>
      <c r="W607" s="449" t="n">
        <v>0</v>
      </c>
      <c r="X607" s="449" t="n">
        <v>0</v>
      </c>
      <c r="Y607" s="449" t="n">
        <v>0</v>
      </c>
      <c r="Z607" s="449" t="n">
        <v>0</v>
      </c>
      <c r="AA607" s="449" t="n">
        <v>0</v>
      </c>
      <c r="AB607" s="449" t="n">
        <v>0</v>
      </c>
      <c r="AC607" s="449" t="n">
        <v>0</v>
      </c>
      <c r="AG607" s="35"/>
    </row>
    <row r="608" customFormat="false" ht="11.25" hidden="false" customHeight="false" outlineLevel="0" collapsed="false">
      <c r="A608" s="43"/>
      <c r="AG608" s="35"/>
    </row>
    <row r="609" customFormat="false" ht="11.25" hidden="false" customHeight="false" outlineLevel="0" collapsed="false">
      <c r="A609" s="43" t="s">
        <v>893</v>
      </c>
      <c r="I609" s="449" t="n">
        <f aca="false">I605</f>
        <v>0</v>
      </c>
      <c r="J609" s="449" t="n">
        <v>0</v>
      </c>
      <c r="K609" s="449" t="n">
        <v>0</v>
      </c>
      <c r="L609" s="449" t="n">
        <v>0</v>
      </c>
      <c r="M609" s="449" t="n">
        <v>0</v>
      </c>
      <c r="N609" s="449" t="n">
        <v>0</v>
      </c>
      <c r="O609" s="449" t="n">
        <v>0</v>
      </c>
      <c r="P609" s="449" t="n">
        <v>0</v>
      </c>
      <c r="Q609" s="449" t="n">
        <v>0</v>
      </c>
      <c r="R609" s="449" t="n">
        <v>0</v>
      </c>
      <c r="S609" s="449" t="n">
        <v>0</v>
      </c>
      <c r="T609" s="449" t="n">
        <v>0</v>
      </c>
      <c r="U609" s="449" t="n">
        <v>0</v>
      </c>
      <c r="V609" s="449" t="n">
        <v>0</v>
      </c>
      <c r="W609" s="449" t="n">
        <v>0</v>
      </c>
      <c r="X609" s="449" t="n">
        <v>0</v>
      </c>
      <c r="Y609" s="449" t="n">
        <v>0</v>
      </c>
      <c r="Z609" s="449" t="n">
        <v>0</v>
      </c>
      <c r="AA609" s="449" t="n">
        <v>0</v>
      </c>
      <c r="AB609" s="449" t="n">
        <v>0</v>
      </c>
      <c r="AC609" s="449" t="n">
        <v>0</v>
      </c>
    </row>
    <row r="610" customFormat="false" ht="11.25" hidden="false" customHeight="false" outlineLevel="0" collapsed="false">
      <c r="A610" s="307" t="s">
        <v>894</v>
      </c>
      <c r="I610" s="35" t="n">
        <f aca="false">I601-I609</f>
        <v>0</v>
      </c>
      <c r="J610" s="35" t="n">
        <f aca="false">J601-J609</f>
        <v>0</v>
      </c>
      <c r="K610" s="35" t="n">
        <f aca="false">K601-K609</f>
        <v>0</v>
      </c>
      <c r="L610" s="35" t="n">
        <f aca="false">L601-L609</f>
        <v>0</v>
      </c>
      <c r="M610" s="35" t="n">
        <f aca="false">M601-M609</f>
        <v>0</v>
      </c>
      <c r="N610" s="35" t="n">
        <f aca="false">N601-N609</f>
        <v>0</v>
      </c>
      <c r="O610" s="35" t="n">
        <f aca="false">O601-O609</f>
        <v>0</v>
      </c>
      <c r="P610" s="35" t="n">
        <f aca="false">P601-P609</f>
        <v>0</v>
      </c>
      <c r="Q610" s="35" t="n">
        <f aca="false">Q601-Q609</f>
        <v>0</v>
      </c>
      <c r="R610" s="35" t="n">
        <f aca="false">R601-R609</f>
        <v>0</v>
      </c>
      <c r="S610" s="35" t="n">
        <f aca="false">S601-S609</f>
        <v>0</v>
      </c>
      <c r="T610" s="35" t="n">
        <f aca="false">T601-T609</f>
        <v>0</v>
      </c>
      <c r="U610" s="35" t="n">
        <f aca="false">U601-U609</f>
        <v>0</v>
      </c>
      <c r="V610" s="35" t="n">
        <f aca="false">V601-V609</f>
        <v>0</v>
      </c>
      <c r="W610" s="35" t="n">
        <f aca="false">W601-W609</f>
        <v>0</v>
      </c>
      <c r="X610" s="35" t="n">
        <f aca="false">X601-X609</f>
        <v>0</v>
      </c>
      <c r="Y610" s="35" t="n">
        <f aca="false">Y601-Y609</f>
        <v>0</v>
      </c>
      <c r="Z610" s="35" t="n">
        <f aca="false">Z601-Z609</f>
        <v>0</v>
      </c>
      <c r="AA610" s="35" t="n">
        <f aca="false">AA601-AA609</f>
        <v>0</v>
      </c>
      <c r="AB610" s="35" t="n">
        <f aca="false">AB601-AB609</f>
        <v>0</v>
      </c>
      <c r="AC610" s="35" t="n">
        <f aca="false">AC601-AC609</f>
        <v>0</v>
      </c>
    </row>
    <row r="611" customFormat="false" ht="11.25" hidden="false" customHeight="false" outlineLevel="0" collapsed="false">
      <c r="A611" s="43" t="s">
        <v>895</v>
      </c>
      <c r="I611" s="449" t="n">
        <v>0</v>
      </c>
      <c r="J611" s="449" t="n">
        <v>0</v>
      </c>
      <c r="K611" s="449" t="n">
        <v>0</v>
      </c>
      <c r="L611" s="449" t="n">
        <v>0</v>
      </c>
      <c r="M611" s="449" t="n">
        <v>0</v>
      </c>
      <c r="N611" s="449" t="n">
        <v>0</v>
      </c>
      <c r="O611" s="449" t="n">
        <v>0</v>
      </c>
      <c r="P611" s="449" t="n">
        <v>0</v>
      </c>
      <c r="Q611" s="449" t="n">
        <v>0</v>
      </c>
      <c r="R611" s="449" t="n">
        <v>0</v>
      </c>
      <c r="S611" s="449" t="n">
        <v>0</v>
      </c>
      <c r="T611" s="449" t="n">
        <v>0</v>
      </c>
      <c r="U611" s="449" t="n">
        <v>0</v>
      </c>
      <c r="V611" s="449" t="n">
        <v>0</v>
      </c>
      <c r="W611" s="449" t="n">
        <v>0</v>
      </c>
      <c r="X611" s="449" t="n">
        <v>0</v>
      </c>
      <c r="Y611" s="449" t="n">
        <v>0</v>
      </c>
      <c r="Z611" s="449" t="n">
        <v>0</v>
      </c>
      <c r="AA611" s="449" t="n">
        <v>0</v>
      </c>
      <c r="AB611" s="449" t="n">
        <v>0</v>
      </c>
      <c r="AC611" s="449" t="n">
        <v>0</v>
      </c>
    </row>
    <row r="612" customFormat="false" ht="11.25" hidden="false" customHeight="false" outlineLevel="0" collapsed="false">
      <c r="A612" s="43"/>
    </row>
    <row r="613" customFormat="false" ht="11.25" hidden="false" customHeight="false" outlineLevel="0" collapsed="false">
      <c r="A613" s="43" t="s">
        <v>896</v>
      </c>
      <c r="I613" s="449" t="n">
        <f aca="false">I605</f>
        <v>0</v>
      </c>
      <c r="J613" s="449" t="n">
        <v>0</v>
      </c>
      <c r="K613" s="449" t="n">
        <v>0</v>
      </c>
      <c r="L613" s="449" t="n">
        <v>0</v>
      </c>
      <c r="M613" s="449" t="n">
        <v>0</v>
      </c>
      <c r="N613" s="449" t="n">
        <v>0</v>
      </c>
      <c r="O613" s="449" t="n">
        <v>0</v>
      </c>
      <c r="P613" s="449" t="n">
        <v>0</v>
      </c>
      <c r="Q613" s="449" t="n">
        <v>0</v>
      </c>
      <c r="R613" s="449" t="n">
        <v>0</v>
      </c>
      <c r="S613" s="449" t="n">
        <v>0</v>
      </c>
      <c r="T613" s="449" t="n">
        <v>0</v>
      </c>
      <c r="U613" s="449" t="n">
        <v>0</v>
      </c>
      <c r="V613" s="449" t="n">
        <v>0</v>
      </c>
      <c r="W613" s="449" t="n">
        <v>0</v>
      </c>
      <c r="X613" s="449" t="n">
        <v>0</v>
      </c>
      <c r="Y613" s="449" t="n">
        <v>0</v>
      </c>
      <c r="Z613" s="449" t="n">
        <v>0</v>
      </c>
      <c r="AA613" s="449" t="n">
        <v>0</v>
      </c>
      <c r="AB613" s="449" t="n">
        <v>0</v>
      </c>
      <c r="AC613" s="449" t="n">
        <v>0</v>
      </c>
    </row>
    <row r="614" customFormat="false" ht="11.25" hidden="false" customHeight="false" outlineLevel="0" collapsed="false">
      <c r="A614" s="307" t="s">
        <v>897</v>
      </c>
      <c r="I614" s="35" t="n">
        <f aca="false">I601-I613</f>
        <v>0</v>
      </c>
      <c r="J614" s="35" t="n">
        <f aca="false">J601-J613</f>
        <v>0</v>
      </c>
      <c r="K614" s="35" t="n">
        <f aca="false">K601-K613</f>
        <v>0</v>
      </c>
      <c r="L614" s="35" t="n">
        <f aca="false">L601-L613</f>
        <v>0</v>
      </c>
      <c r="M614" s="35" t="n">
        <f aca="false">M601-M613</f>
        <v>0</v>
      </c>
      <c r="N614" s="35" t="n">
        <f aca="false">N601-N613</f>
        <v>0</v>
      </c>
      <c r="O614" s="35" t="n">
        <f aca="false">O601-O613</f>
        <v>0</v>
      </c>
      <c r="P614" s="35" t="n">
        <f aca="false">P601-P613</f>
        <v>0</v>
      </c>
      <c r="Q614" s="35" t="n">
        <f aca="false">Q601-Q613</f>
        <v>0</v>
      </c>
      <c r="R614" s="35" t="n">
        <f aca="false">R601-R613</f>
        <v>0</v>
      </c>
      <c r="S614" s="35" t="n">
        <f aca="false">S601-S613</f>
        <v>0</v>
      </c>
      <c r="T614" s="35" t="n">
        <f aca="false">T601-T613</f>
        <v>0</v>
      </c>
      <c r="U614" s="35" t="n">
        <f aca="false">U601-U613</f>
        <v>0</v>
      </c>
      <c r="V614" s="35" t="n">
        <f aca="false">V601-V613</f>
        <v>0</v>
      </c>
      <c r="W614" s="35" t="n">
        <f aca="false">W601-W613</f>
        <v>0</v>
      </c>
      <c r="X614" s="35" t="n">
        <f aca="false">X601-X613</f>
        <v>0</v>
      </c>
      <c r="Y614" s="35" t="n">
        <f aca="false">Y601-Y613</f>
        <v>0</v>
      </c>
      <c r="Z614" s="35" t="n">
        <f aca="false">Z601-Z613</f>
        <v>0</v>
      </c>
      <c r="AA614" s="35" t="n">
        <f aca="false">AA601-AA613</f>
        <v>0</v>
      </c>
      <c r="AB614" s="35" t="n">
        <f aca="false">AB601-AB613</f>
        <v>0</v>
      </c>
      <c r="AC614" s="35" t="n">
        <f aca="false">AC601-AC613</f>
        <v>0</v>
      </c>
    </row>
    <row r="615" customFormat="false" ht="11.25" hidden="false" customHeight="false" outlineLevel="0" collapsed="false">
      <c r="A615" s="43" t="s">
        <v>895</v>
      </c>
      <c r="I615" s="449" t="n">
        <f aca="false">I611</f>
        <v>0</v>
      </c>
      <c r="J615" s="449" t="n">
        <f aca="false">J611</f>
        <v>0</v>
      </c>
      <c r="K615" s="449" t="n">
        <f aca="false">K611</f>
        <v>0</v>
      </c>
      <c r="L615" s="449" t="n">
        <f aca="false">L611</f>
        <v>0</v>
      </c>
      <c r="M615" s="449" t="n">
        <f aca="false">M611</f>
        <v>0</v>
      </c>
      <c r="N615" s="449" t="n">
        <f aca="false">N611</f>
        <v>0</v>
      </c>
      <c r="O615" s="449" t="n">
        <f aca="false">O611</f>
        <v>0</v>
      </c>
      <c r="P615" s="449" t="n">
        <f aca="false">P611</f>
        <v>0</v>
      </c>
      <c r="Q615" s="449" t="n">
        <f aca="false">Q611</f>
        <v>0</v>
      </c>
      <c r="R615" s="449" t="n">
        <f aca="false">R611</f>
        <v>0</v>
      </c>
      <c r="S615" s="449" t="n">
        <f aca="false">S611</f>
        <v>0</v>
      </c>
      <c r="T615" s="449" t="n">
        <f aca="false">T611</f>
        <v>0</v>
      </c>
      <c r="U615" s="449" t="n">
        <f aca="false">U611</f>
        <v>0</v>
      </c>
      <c r="V615" s="449" t="n">
        <f aca="false">V611</f>
        <v>0</v>
      </c>
      <c r="W615" s="449" t="n">
        <f aca="false">W611</f>
        <v>0</v>
      </c>
      <c r="X615" s="449" t="n">
        <f aca="false">X611</f>
        <v>0</v>
      </c>
      <c r="Y615" s="449" t="n">
        <f aca="false">Y611</f>
        <v>0</v>
      </c>
      <c r="Z615" s="449" t="n">
        <f aca="false">Z611</f>
        <v>0</v>
      </c>
      <c r="AA615" s="449" t="n">
        <f aca="false">AA611</f>
        <v>0</v>
      </c>
      <c r="AB615" s="449" t="n">
        <f aca="false">AB611</f>
        <v>0</v>
      </c>
      <c r="AC615" s="449" t="n">
        <f aca="false">AC611</f>
        <v>0</v>
      </c>
    </row>
    <row r="616" customFormat="false" ht="11.25" hidden="false" customHeight="false" outlineLevel="0" collapsed="false">
      <c r="A616" s="43"/>
    </row>
    <row r="617" customFormat="false" ht="11.25" hidden="false" customHeight="false" outlineLevel="0" collapsed="false">
      <c r="A617" s="43" t="s">
        <v>898</v>
      </c>
    </row>
    <row r="618" customFormat="false" ht="11.25" hidden="false" customHeight="false" outlineLevel="0" collapsed="false">
      <c r="A618" s="43"/>
    </row>
    <row r="619" customFormat="false" ht="12" hidden="false" customHeight="false" outlineLevel="0" collapsed="false">
      <c r="A619" s="67"/>
      <c r="B619" s="67"/>
      <c r="C619" s="67"/>
      <c r="D619" s="67"/>
      <c r="E619" s="67"/>
      <c r="F619" s="67"/>
      <c r="G619" s="67"/>
      <c r="H619" s="67"/>
      <c r="I619" s="67"/>
      <c r="J619" s="67"/>
      <c r="K619" s="67"/>
      <c r="L619" s="67"/>
      <c r="M619" s="67"/>
      <c r="N619" s="67"/>
      <c r="O619" s="67"/>
      <c r="P619" s="67"/>
      <c r="Q619" s="67"/>
      <c r="R619" s="67"/>
      <c r="S619" s="67"/>
      <c r="T619" s="67"/>
      <c r="U619" s="67"/>
      <c r="V619" s="67"/>
      <c r="W619" s="67"/>
      <c r="X619" s="67"/>
      <c r="Y619" s="67"/>
      <c r="Z619" s="67"/>
      <c r="AA619" s="67"/>
      <c r="AB619" s="67"/>
      <c r="AC619" s="67"/>
    </row>
    <row r="620" customFormat="false" ht="12.75" hidden="false" customHeight="false" outlineLevel="0" collapsed="false">
      <c r="A620" s="292"/>
      <c r="B620" s="292"/>
      <c r="C620" s="292"/>
      <c r="D620" s="292"/>
      <c r="E620" s="292"/>
      <c r="F620" s="292"/>
      <c r="G620" s="292"/>
      <c r="H620" s="292"/>
      <c r="I620" s="292"/>
      <c r="J620" s="292"/>
      <c r="K620" s="292"/>
      <c r="L620" s="292"/>
      <c r="M620" s="292"/>
      <c r="N620" s="292"/>
      <c r="O620" s="292"/>
      <c r="P620" s="292"/>
      <c r="Q620" s="292"/>
      <c r="R620" s="292"/>
      <c r="S620" s="292"/>
      <c r="T620" s="292"/>
      <c r="U620" s="292"/>
      <c r="V620" s="292"/>
      <c r="W620" s="292"/>
      <c r="X620" s="292"/>
      <c r="Y620" s="292"/>
      <c r="Z620" s="292"/>
      <c r="AA620" s="292"/>
      <c r="AB620" s="292"/>
      <c r="AC620" s="292"/>
    </row>
    <row r="621" customFormat="false" ht="12.75" hidden="false" customHeight="false" outlineLevel="0" collapsed="false">
      <c r="A621" s="153" t="s">
        <v>899</v>
      </c>
      <c r="E621" s="395" t="n">
        <f aca="false">E580</f>
        <v>1996</v>
      </c>
      <c r="F621" s="395" t="n">
        <f aca="false">F580</f>
        <v>1997</v>
      </c>
      <c r="G621" s="395" t="n">
        <f aca="false">G580</f>
        <v>1998</v>
      </c>
      <c r="H621" s="81" t="str">
        <f aca="false">$H$579&amp;"/"&amp;TEXT($H$580,"0")</f>
        <v>6 M/1999</v>
      </c>
      <c r="I621" s="469" t="str">
        <f aca="false">$I$579&amp;"/"&amp;TEXT($I$580,"0")</f>
        <v>6 M/1999</v>
      </c>
      <c r="J621" s="469" t="n">
        <f aca="false">J580</f>
        <v>2000</v>
      </c>
      <c r="K621" s="469" t="n">
        <f aca="false">K580</f>
        <v>2001</v>
      </c>
      <c r="L621" s="469" t="n">
        <f aca="false">L580</f>
        <v>2002</v>
      </c>
      <c r="M621" s="469" t="n">
        <f aca="false">M580</f>
        <v>2003</v>
      </c>
      <c r="N621" s="469" t="n">
        <f aca="false">N580</f>
        <v>2004</v>
      </c>
      <c r="O621" s="469" t="n">
        <f aca="false">O580</f>
        <v>2005</v>
      </c>
      <c r="P621" s="469" t="n">
        <f aca="false">P580</f>
        <v>2006</v>
      </c>
      <c r="Q621" s="469" t="n">
        <f aca="false">Q580</f>
        <v>2007</v>
      </c>
      <c r="R621" s="469" t="n">
        <f aca="false">R580</f>
        <v>2008</v>
      </c>
      <c r="S621" s="469" t="n">
        <f aca="false">S580</f>
        <v>2009</v>
      </c>
      <c r="T621" s="469" t="n">
        <f aca="false">T580</f>
        <v>2010</v>
      </c>
      <c r="U621" s="469" t="n">
        <f aca="false">U580</f>
        <v>2011</v>
      </c>
      <c r="V621" s="469" t="n">
        <f aca="false">V580</f>
        <v>2012</v>
      </c>
      <c r="W621" s="469" t="n">
        <f aca="false">W580</f>
        <v>2013</v>
      </c>
      <c r="X621" s="469" t="n">
        <f aca="false">X580</f>
        <v>2014</v>
      </c>
      <c r="Y621" s="469" t="n">
        <f aca="false">Y580</f>
        <v>2015</v>
      </c>
      <c r="Z621" s="469" t="n">
        <f aca="false">Z580</f>
        <v>2016</v>
      </c>
      <c r="AA621" s="469" t="n">
        <f aca="false">AA580</f>
        <v>2017</v>
      </c>
      <c r="AB621" s="469" t="n">
        <f aca="false">AB580</f>
        <v>2018</v>
      </c>
      <c r="AC621" s="469" t="n">
        <f aca="false">AC580</f>
        <v>2019</v>
      </c>
    </row>
    <row r="622" customFormat="false" ht="12" hidden="false" customHeight="false" outlineLevel="0" collapsed="false">
      <c r="A622" s="43" t="s">
        <v>900</v>
      </c>
      <c r="I622" s="496" t="n">
        <v>0</v>
      </c>
      <c r="J622" s="496" t="n">
        <v>0</v>
      </c>
      <c r="K622" s="496" t="n">
        <v>0</v>
      </c>
      <c r="L622" s="496" t="n">
        <v>0</v>
      </c>
      <c r="M622" s="496" t="n">
        <v>0</v>
      </c>
      <c r="N622" s="496" t="n">
        <v>0</v>
      </c>
      <c r="O622" s="496" t="n">
        <v>0</v>
      </c>
      <c r="P622" s="496" t="n">
        <v>0</v>
      </c>
      <c r="Q622" s="496" t="n">
        <v>0</v>
      </c>
      <c r="R622" s="496" t="n">
        <v>0</v>
      </c>
      <c r="S622" s="496" t="n">
        <v>0</v>
      </c>
      <c r="T622" s="496" t="n">
        <v>0</v>
      </c>
      <c r="U622" s="496" t="n">
        <v>0</v>
      </c>
      <c r="V622" s="496" t="n">
        <v>0</v>
      </c>
      <c r="W622" s="496" t="n">
        <v>0</v>
      </c>
      <c r="X622" s="496" t="n">
        <v>0</v>
      </c>
      <c r="Y622" s="496" t="n">
        <v>0</v>
      </c>
      <c r="Z622" s="496" t="n">
        <v>0</v>
      </c>
      <c r="AA622" s="496" t="n">
        <v>0</v>
      </c>
      <c r="AB622" s="496" t="n">
        <v>0</v>
      </c>
      <c r="AC622" s="496" t="n">
        <v>0</v>
      </c>
    </row>
    <row r="623" customFormat="false" ht="11.25" hidden="false" customHeight="false" outlineLevel="0" collapsed="false">
      <c r="A623" s="43" t="s">
        <v>901</v>
      </c>
      <c r="I623" s="496" t="n">
        <v>0</v>
      </c>
      <c r="J623" s="496" t="n">
        <v>0</v>
      </c>
      <c r="K623" s="496" t="n">
        <v>0</v>
      </c>
      <c r="L623" s="496" t="n">
        <v>0</v>
      </c>
      <c r="M623" s="496" t="n">
        <v>0</v>
      </c>
      <c r="N623" s="496" t="n">
        <v>0</v>
      </c>
      <c r="O623" s="496" t="n">
        <v>0</v>
      </c>
      <c r="P623" s="496" t="n">
        <v>0</v>
      </c>
      <c r="Q623" s="496" t="n">
        <v>0</v>
      </c>
      <c r="R623" s="496" t="n">
        <v>0</v>
      </c>
      <c r="S623" s="496" t="n">
        <v>0</v>
      </c>
      <c r="T623" s="496" t="n">
        <v>0</v>
      </c>
      <c r="U623" s="496" t="n">
        <v>0</v>
      </c>
      <c r="V623" s="496" t="n">
        <v>0</v>
      </c>
      <c r="W623" s="496" t="n">
        <v>0</v>
      </c>
      <c r="X623" s="496" t="n">
        <v>0</v>
      </c>
      <c r="Y623" s="496" t="n">
        <v>0</v>
      </c>
      <c r="Z623" s="496" t="n">
        <v>0</v>
      </c>
      <c r="AA623" s="496" t="n">
        <v>0</v>
      </c>
      <c r="AB623" s="496" t="n">
        <v>0</v>
      </c>
      <c r="AC623" s="496" t="n">
        <v>0</v>
      </c>
    </row>
    <row r="624" customFormat="false" ht="11.25" hidden="false" customHeight="false" outlineLevel="0" collapsed="false">
      <c r="A624" s="43" t="s">
        <v>902</v>
      </c>
      <c r="I624" s="35" t="n">
        <f aca="false">I622*I623*I69*0.25</f>
        <v>-0</v>
      </c>
      <c r="J624" s="35" t="n">
        <f aca="false">J622*J623*J69*0.25</f>
        <v>-0</v>
      </c>
      <c r="K624" s="35" t="n">
        <f aca="false">K622*K623*K69*0.25</f>
        <v>-0</v>
      </c>
      <c r="L624" s="35" t="n">
        <f aca="false">L622*L623*L69*0.25</f>
        <v>-0</v>
      </c>
      <c r="M624" s="35" t="n">
        <f aca="false">M622*M623*M69*0.25</f>
        <v>-0</v>
      </c>
      <c r="N624" s="35" t="n">
        <f aca="false">N622*N623*N69*0.25</f>
        <v>-0</v>
      </c>
      <c r="O624" s="35" t="n">
        <f aca="false">O622*O623*O69*0.25</f>
        <v>-0</v>
      </c>
      <c r="P624" s="35" t="n">
        <f aca="false">P622*P623*P69*0.25</f>
        <v>-0</v>
      </c>
      <c r="Q624" s="35" t="n">
        <f aca="false">Q622*Q623*Q69*0.25</f>
        <v>-0</v>
      </c>
      <c r="R624" s="35" t="n">
        <f aca="false">R622*R623*R69*0.25</f>
        <v>-0</v>
      </c>
      <c r="S624" s="35" t="n">
        <f aca="false">S622*S623*S69*0.25</f>
        <v>-0</v>
      </c>
      <c r="T624" s="35" t="n">
        <f aca="false">T622*T623*T69*0.25</f>
        <v>-0</v>
      </c>
      <c r="U624" s="35" t="n">
        <f aca="false">U622*U623*U69*0.25</f>
        <v>-0</v>
      </c>
      <c r="V624" s="35" t="n">
        <f aca="false">V622*V623*V69*0.25</f>
        <v>-0</v>
      </c>
      <c r="W624" s="35" t="n">
        <f aca="false">W622*W623*W69*0.25</f>
        <v>-0</v>
      </c>
      <c r="X624" s="35" t="n">
        <f aca="false">X622*X623*X69*0.25</f>
        <v>-0</v>
      </c>
      <c r="Y624" s="35" t="n">
        <f aca="false">Y622*Y623*Y69*0.25</f>
        <v>-0</v>
      </c>
      <c r="Z624" s="35" t="n">
        <f aca="false">Z622*Z623*Z69*0.25</f>
        <v>-0</v>
      </c>
      <c r="AA624" s="35" t="n">
        <f aca="false">AA622*AA623*AA69*0.25</f>
        <v>-0</v>
      </c>
      <c r="AB624" s="35" t="n">
        <f aca="false">AB622*AB623*AB69*0.25</f>
        <v>-0</v>
      </c>
      <c r="AC624" s="35" t="n">
        <f aca="false">AC622*AC623*AC69*0.25</f>
        <v>-0</v>
      </c>
    </row>
    <row r="625" customFormat="false" ht="11.25" hidden="false" customHeight="false" outlineLevel="0" collapsed="false">
      <c r="A625" s="43"/>
    </row>
    <row r="626" customFormat="false" ht="11.25" hidden="false" customHeight="false" outlineLevel="0" collapsed="false">
      <c r="A626" s="43" t="s">
        <v>903</v>
      </c>
      <c r="I626" s="496" t="n">
        <v>0</v>
      </c>
      <c r="J626" s="496" t="n">
        <f aca="false">I626</f>
        <v>0</v>
      </c>
      <c r="K626" s="496" t="n">
        <f aca="false">J626</f>
        <v>0</v>
      </c>
      <c r="L626" s="496" t="n">
        <f aca="false">K626</f>
        <v>0</v>
      </c>
      <c r="M626" s="496" t="n">
        <f aca="false">L626</f>
        <v>0</v>
      </c>
      <c r="N626" s="496" t="n">
        <f aca="false">M626</f>
        <v>0</v>
      </c>
      <c r="O626" s="496" t="n">
        <f aca="false">N626</f>
        <v>0</v>
      </c>
      <c r="P626" s="496" t="n">
        <f aca="false">O626</f>
        <v>0</v>
      </c>
      <c r="Q626" s="496" t="n">
        <f aca="false">P626</f>
        <v>0</v>
      </c>
      <c r="R626" s="496" t="n">
        <f aca="false">Q626</f>
        <v>0</v>
      </c>
      <c r="S626" s="496" t="n">
        <f aca="false">R626</f>
        <v>0</v>
      </c>
      <c r="T626" s="496" t="n">
        <f aca="false">S626</f>
        <v>0</v>
      </c>
      <c r="U626" s="496" t="n">
        <f aca="false">T626</f>
        <v>0</v>
      </c>
      <c r="V626" s="496" t="n">
        <f aca="false">U626</f>
        <v>0</v>
      </c>
      <c r="W626" s="496" t="n">
        <f aca="false">V626</f>
        <v>0</v>
      </c>
      <c r="X626" s="496" t="n">
        <f aca="false">W626</f>
        <v>0</v>
      </c>
      <c r="Y626" s="496" t="n">
        <f aca="false">X626</f>
        <v>0</v>
      </c>
      <c r="Z626" s="496" t="n">
        <f aca="false">Y626</f>
        <v>0</v>
      </c>
      <c r="AA626" s="496" t="n">
        <f aca="false">Z626</f>
        <v>0</v>
      </c>
      <c r="AB626" s="496" t="n">
        <f aca="false">AA626</f>
        <v>0</v>
      </c>
      <c r="AC626" s="496" t="n">
        <f aca="false">AB626</f>
        <v>0</v>
      </c>
    </row>
    <row r="627" customFormat="false" ht="11.25" hidden="false" customHeight="false" outlineLevel="0" collapsed="false">
      <c r="A627" s="43" t="s">
        <v>904</v>
      </c>
      <c r="I627" s="35" t="n">
        <f aca="false">I626*I211</f>
        <v>0</v>
      </c>
      <c r="J627" s="35" t="n">
        <f aca="false">J626*J211</f>
        <v>0</v>
      </c>
      <c r="K627" s="35" t="n">
        <f aca="false">K626*K211</f>
        <v>0</v>
      </c>
      <c r="L627" s="35" t="n">
        <f aca="false">L626*L211</f>
        <v>0</v>
      </c>
      <c r="M627" s="35" t="n">
        <f aca="false">M626*M211</f>
        <v>0</v>
      </c>
      <c r="N627" s="35" t="n">
        <f aca="false">N626*N211</f>
        <v>0</v>
      </c>
      <c r="O627" s="35" t="n">
        <f aca="false">O626*O211</f>
        <v>0</v>
      </c>
      <c r="P627" s="35" t="n">
        <f aca="false">P626*P211</f>
        <v>0</v>
      </c>
      <c r="Q627" s="35" t="n">
        <f aca="false">Q626*Q211</f>
        <v>0</v>
      </c>
      <c r="R627" s="35" t="n">
        <f aca="false">R626*R211</f>
        <v>0</v>
      </c>
      <c r="S627" s="35" t="n">
        <f aca="false">S626*S211</f>
        <v>0</v>
      </c>
      <c r="T627" s="35" t="n">
        <f aca="false">T626*T211</f>
        <v>0</v>
      </c>
      <c r="U627" s="35" t="n">
        <f aca="false">U626*U211</f>
        <v>0</v>
      </c>
      <c r="V627" s="35" t="n">
        <f aca="false">V626*V211</f>
        <v>0</v>
      </c>
      <c r="W627" s="35" t="n">
        <f aca="false">W626*W211</f>
        <v>0</v>
      </c>
      <c r="X627" s="35" t="n">
        <f aca="false">X626*X211</f>
        <v>0</v>
      </c>
      <c r="Y627" s="35" t="n">
        <f aca="false">Y626*Y211</f>
        <v>0</v>
      </c>
      <c r="Z627" s="35" t="n">
        <f aca="false">Z626*Z211</f>
        <v>0</v>
      </c>
      <c r="AA627" s="35" t="n">
        <f aca="false">AA626*AA211</f>
        <v>0</v>
      </c>
      <c r="AB627" s="35" t="n">
        <f aca="false">AB626*AB211</f>
        <v>0</v>
      </c>
      <c r="AC627" s="35" t="n">
        <f aca="false">AC626*AC211</f>
        <v>0</v>
      </c>
    </row>
    <row r="628" customFormat="false" ht="11.25" hidden="false" customHeight="false" outlineLevel="0" collapsed="false">
      <c r="A628" s="43"/>
    </row>
    <row r="629" customFormat="false" ht="11.25" hidden="false" customHeight="false" outlineLevel="0" collapsed="false">
      <c r="A629" s="43" t="s">
        <v>905</v>
      </c>
      <c r="I629" s="35" t="n">
        <f aca="false">I624+I627</f>
        <v>0</v>
      </c>
      <c r="J629" s="35" t="n">
        <f aca="false">J624+J627</f>
        <v>0</v>
      </c>
      <c r="K629" s="35" t="n">
        <f aca="false">K624+K627</f>
        <v>0</v>
      </c>
      <c r="L629" s="35" t="n">
        <f aca="false">L624+L627</f>
        <v>0</v>
      </c>
      <c r="M629" s="35" t="n">
        <f aca="false">M624+M627</f>
        <v>0</v>
      </c>
      <c r="N629" s="35" t="n">
        <f aca="false">N624+N627</f>
        <v>0</v>
      </c>
      <c r="O629" s="35" t="n">
        <f aca="false">O624+O627</f>
        <v>0</v>
      </c>
      <c r="P629" s="35" t="n">
        <f aca="false">P624+P627</f>
        <v>0</v>
      </c>
      <c r="Q629" s="35" t="n">
        <f aca="false">Q624+Q627</f>
        <v>0</v>
      </c>
      <c r="R629" s="35" t="n">
        <f aca="false">R624+R627</f>
        <v>0</v>
      </c>
      <c r="S629" s="35" t="n">
        <f aca="false">S624+S627</f>
        <v>0</v>
      </c>
      <c r="T629" s="35" t="n">
        <f aca="false">T624+T627</f>
        <v>0</v>
      </c>
      <c r="U629" s="35" t="n">
        <f aca="false">U624+U627</f>
        <v>0</v>
      </c>
      <c r="V629" s="35" t="n">
        <f aca="false">V624+V627</f>
        <v>0</v>
      </c>
      <c r="W629" s="35" t="n">
        <f aca="false">W624+W627</f>
        <v>0</v>
      </c>
      <c r="X629" s="35" t="n">
        <f aca="false">X624+X627</f>
        <v>0</v>
      </c>
      <c r="Y629" s="35" t="n">
        <f aca="false">Y624+Y627</f>
        <v>0</v>
      </c>
      <c r="Z629" s="35" t="n">
        <f aca="false">Z624+Z627</f>
        <v>0</v>
      </c>
      <c r="AA629" s="35" t="n">
        <f aca="false">AA624+AA627</f>
        <v>0</v>
      </c>
      <c r="AB629" s="35" t="n">
        <f aca="false">AB624+AB627</f>
        <v>0</v>
      </c>
      <c r="AC629" s="35" t="n">
        <f aca="false">AC624+AC627</f>
        <v>0</v>
      </c>
    </row>
    <row r="630" customFormat="false" ht="11.25" hidden="false" customHeight="false" outlineLevel="0" collapsed="false">
      <c r="A630" s="43"/>
    </row>
    <row r="631" customFormat="false" ht="11.25" hidden="false" customHeight="false" outlineLevel="0" collapsed="false">
      <c r="A631" s="43" t="s">
        <v>906</v>
      </c>
      <c r="I631" s="449" t="n">
        <v>0</v>
      </c>
      <c r="J631" s="449" t="n">
        <v>0</v>
      </c>
      <c r="K631" s="449" t="n">
        <v>0</v>
      </c>
      <c r="L631" s="449" t="n">
        <v>0</v>
      </c>
      <c r="M631" s="449" t="n">
        <v>0</v>
      </c>
      <c r="N631" s="449" t="n">
        <v>0</v>
      </c>
      <c r="O631" s="449" t="n">
        <v>0</v>
      </c>
      <c r="P631" s="449" t="n">
        <v>0</v>
      </c>
      <c r="Q631" s="449" t="n">
        <v>0</v>
      </c>
      <c r="R631" s="449" t="n">
        <v>0</v>
      </c>
      <c r="S631" s="449" t="n">
        <v>0</v>
      </c>
      <c r="T631" s="449" t="n">
        <v>0</v>
      </c>
      <c r="U631" s="449" t="n">
        <v>0</v>
      </c>
      <c r="V631" s="449" t="n">
        <v>0</v>
      </c>
      <c r="W631" s="449" t="n">
        <v>0</v>
      </c>
      <c r="X631" s="449" t="n">
        <v>0</v>
      </c>
      <c r="Y631" s="449" t="n">
        <v>0</v>
      </c>
      <c r="Z631" s="449" t="n">
        <v>0</v>
      </c>
      <c r="AA631" s="449" t="n">
        <v>0</v>
      </c>
      <c r="AB631" s="449" t="n">
        <v>0</v>
      </c>
      <c r="AC631" s="449" t="n">
        <v>0</v>
      </c>
    </row>
    <row r="632" customFormat="false" ht="11.25" hidden="false" customHeight="false" outlineLevel="0" collapsed="false">
      <c r="A632" s="43" t="s">
        <v>907</v>
      </c>
      <c r="I632" s="449" t="n">
        <v>0</v>
      </c>
      <c r="J632" s="449" t="n">
        <v>0</v>
      </c>
      <c r="K632" s="449" t="n">
        <v>0</v>
      </c>
      <c r="L632" s="449" t="n">
        <v>0</v>
      </c>
      <c r="M632" s="449" t="n">
        <v>0</v>
      </c>
      <c r="N632" s="449" t="n">
        <v>0</v>
      </c>
      <c r="O632" s="449" t="n">
        <v>0</v>
      </c>
      <c r="P632" s="449" t="n">
        <v>0</v>
      </c>
      <c r="Q632" s="449" t="n">
        <v>0</v>
      </c>
      <c r="R632" s="449" t="n">
        <v>0</v>
      </c>
      <c r="S632" s="449" t="n">
        <v>0</v>
      </c>
      <c r="T632" s="449" t="n">
        <v>0</v>
      </c>
      <c r="U632" s="449" t="n">
        <v>0</v>
      </c>
      <c r="V632" s="449" t="n">
        <v>0</v>
      </c>
      <c r="W632" s="449" t="n">
        <v>0</v>
      </c>
      <c r="X632" s="449" t="n">
        <v>0</v>
      </c>
      <c r="Y632" s="449" t="n">
        <v>0</v>
      </c>
      <c r="Z632" s="449" t="n">
        <v>0</v>
      </c>
      <c r="AA632" s="449" t="n">
        <v>0</v>
      </c>
      <c r="AB632" s="449" t="n">
        <v>0</v>
      </c>
      <c r="AC632" s="449" t="n">
        <v>0</v>
      </c>
    </row>
    <row r="634" customFormat="false" ht="12" hidden="false" customHeight="false" outlineLevel="0" collapsed="false">
      <c r="A634" s="529"/>
      <c r="B634" s="529"/>
      <c r="C634" s="529"/>
      <c r="D634" s="529"/>
      <c r="E634" s="529"/>
      <c r="F634" s="529"/>
      <c r="G634" s="529"/>
      <c r="H634" s="529"/>
      <c r="I634" s="529"/>
      <c r="J634" s="529"/>
      <c r="K634" s="529"/>
      <c r="L634" s="529"/>
      <c r="M634" s="529"/>
      <c r="N634" s="529"/>
      <c r="O634" s="529"/>
      <c r="P634" s="529"/>
      <c r="Q634" s="529"/>
      <c r="R634" s="529"/>
      <c r="S634" s="529"/>
      <c r="T634" s="529"/>
      <c r="U634" s="529"/>
      <c r="V634" s="529"/>
      <c r="W634" s="529"/>
      <c r="X634" s="529"/>
      <c r="Y634" s="529"/>
      <c r="Z634" s="529"/>
      <c r="AA634" s="529"/>
      <c r="AB634" s="529"/>
      <c r="AC634" s="529"/>
    </row>
    <row r="635" customFormat="false" ht="12.75" hidden="false" customHeight="false" outlineLevel="0" collapsed="false">
      <c r="A635" s="67"/>
      <c r="B635" s="67"/>
      <c r="C635" s="67"/>
      <c r="D635" s="67"/>
      <c r="E635" s="67"/>
      <c r="F635" s="67"/>
      <c r="G635" s="67"/>
      <c r="H635" s="67"/>
      <c r="I635" s="67"/>
      <c r="J635" s="67"/>
      <c r="K635" s="67"/>
      <c r="L635" s="67"/>
      <c r="M635" s="67"/>
      <c r="N635" s="67"/>
      <c r="O635" s="67"/>
      <c r="P635" s="67"/>
      <c r="Q635" s="67"/>
      <c r="R635" s="67"/>
      <c r="S635" s="67"/>
      <c r="T635" s="67"/>
      <c r="U635" s="67"/>
      <c r="V635" s="67"/>
      <c r="W635" s="67"/>
      <c r="X635" s="67"/>
      <c r="Y635" s="67"/>
      <c r="Z635" s="67"/>
      <c r="AA635" s="67"/>
      <c r="AB635" s="67"/>
      <c r="AC635" s="67"/>
    </row>
    <row r="636" customFormat="false" ht="12" hidden="false" customHeight="false" outlineLevel="0" collapsed="false">
      <c r="A636" s="153" t="s">
        <v>908</v>
      </c>
      <c r="E636" s="511" t="n">
        <f aca="false">E580</f>
        <v>1996</v>
      </c>
      <c r="F636" s="512" t="n">
        <f aca="false">F580</f>
        <v>1997</v>
      </c>
      <c r="G636" s="512" t="n">
        <f aca="false">G580</f>
        <v>1998</v>
      </c>
      <c r="H636" s="513" t="str">
        <f aca="false">$H$579&amp;"/"&amp;TEXT($H$580,"0")</f>
        <v>6 M/1999</v>
      </c>
      <c r="I636" s="514" t="str">
        <f aca="false">$I$579&amp;"/"&amp;TEXT($I$580,"0")</f>
        <v>6 M/1999</v>
      </c>
      <c r="J636" s="515" t="n">
        <f aca="false">J580</f>
        <v>2000</v>
      </c>
      <c r="K636" s="515" t="n">
        <f aca="false">K580</f>
        <v>2001</v>
      </c>
      <c r="L636" s="515" t="n">
        <f aca="false">L580</f>
        <v>2002</v>
      </c>
      <c r="M636" s="515" t="n">
        <f aca="false">M580</f>
        <v>2003</v>
      </c>
      <c r="N636" s="515" t="n">
        <f aca="false">N580</f>
        <v>2004</v>
      </c>
      <c r="O636" s="515" t="n">
        <f aca="false">O580</f>
        <v>2005</v>
      </c>
      <c r="P636" s="515" t="n">
        <f aca="false">P580</f>
        <v>2006</v>
      </c>
      <c r="Q636" s="515" t="n">
        <f aca="false">Q580</f>
        <v>2007</v>
      </c>
      <c r="R636" s="515" t="n">
        <f aca="false">R580</f>
        <v>2008</v>
      </c>
      <c r="S636" s="515" t="n">
        <f aca="false">S580</f>
        <v>2009</v>
      </c>
      <c r="T636" s="515" t="n">
        <f aca="false">T580</f>
        <v>2010</v>
      </c>
      <c r="U636" s="515" t="n">
        <f aca="false">U580</f>
        <v>2011</v>
      </c>
      <c r="V636" s="515" t="n">
        <f aca="false">V580</f>
        <v>2012</v>
      </c>
      <c r="W636" s="515" t="n">
        <f aca="false">W580</f>
        <v>2013</v>
      </c>
      <c r="X636" s="515" t="n">
        <f aca="false">X580</f>
        <v>2014</v>
      </c>
      <c r="Y636" s="515" t="n">
        <f aca="false">Y580</f>
        <v>2015</v>
      </c>
      <c r="Z636" s="515" t="n">
        <f aca="false">Z580</f>
        <v>2016</v>
      </c>
      <c r="AA636" s="515" t="n">
        <f aca="false">AA580</f>
        <v>2017</v>
      </c>
      <c r="AB636" s="515" t="n">
        <f aca="false">AB580</f>
        <v>2018</v>
      </c>
      <c r="AC636" s="515" t="n">
        <f aca="false">AC580</f>
        <v>2019</v>
      </c>
    </row>
    <row r="637" customFormat="false" ht="12" hidden="false" customHeight="false" outlineLevel="0" collapsed="false">
      <c r="E637" s="468" t="s">
        <v>909</v>
      </c>
      <c r="F637" s="468" t="s">
        <v>909</v>
      </c>
      <c r="G637" s="468" t="s">
        <v>909</v>
      </c>
      <c r="H637" s="516" t="s">
        <v>909</v>
      </c>
      <c r="I637" s="517" t="s">
        <v>910</v>
      </c>
      <c r="J637" s="518" t="s">
        <v>910</v>
      </c>
      <c r="K637" s="518" t="s">
        <v>910</v>
      </c>
      <c r="L637" s="518" t="s">
        <v>910</v>
      </c>
      <c r="M637" s="518" t="s">
        <v>910</v>
      </c>
      <c r="N637" s="518" t="s">
        <v>910</v>
      </c>
      <c r="O637" s="518" t="s">
        <v>910</v>
      </c>
      <c r="P637" s="518" t="s">
        <v>910</v>
      </c>
      <c r="Q637" s="518" t="s">
        <v>910</v>
      </c>
      <c r="R637" s="518" t="s">
        <v>910</v>
      </c>
      <c r="S637" s="518" t="s">
        <v>910</v>
      </c>
      <c r="T637" s="518" t="s">
        <v>910</v>
      </c>
      <c r="U637" s="518" t="s">
        <v>910</v>
      </c>
      <c r="V637" s="518" t="s">
        <v>910</v>
      </c>
      <c r="W637" s="518" t="s">
        <v>910</v>
      </c>
      <c r="X637" s="518" t="s">
        <v>910</v>
      </c>
      <c r="Y637" s="518" t="s">
        <v>910</v>
      </c>
      <c r="Z637" s="518" t="s">
        <v>910</v>
      </c>
      <c r="AA637" s="518" t="s">
        <v>910</v>
      </c>
      <c r="AB637" s="518" t="s">
        <v>910</v>
      </c>
      <c r="AC637" s="518" t="s">
        <v>910</v>
      </c>
    </row>
    <row r="638" customFormat="false" ht="12" hidden="false" customHeight="false" outlineLevel="0" collapsed="false">
      <c r="A638" s="43" t="s">
        <v>911</v>
      </c>
      <c r="E638" s="449" t="n">
        <v>0</v>
      </c>
      <c r="F638" s="449" t="n">
        <v>260</v>
      </c>
      <c r="G638" s="449" t="n">
        <v>0</v>
      </c>
      <c r="H638" s="449" t="n">
        <v>0</v>
      </c>
    </row>
    <row r="639" customFormat="false" ht="11.25" hidden="false" customHeight="false" outlineLevel="0" collapsed="false">
      <c r="A639" s="43" t="s">
        <v>912</v>
      </c>
      <c r="I639" s="530" t="n">
        <v>0.34</v>
      </c>
      <c r="J639" s="530" t="n">
        <f aca="false">I639</f>
        <v>0.34</v>
      </c>
      <c r="K639" s="530" t="n">
        <f aca="false">J639</f>
        <v>0.34</v>
      </c>
      <c r="L639" s="530" t="n">
        <f aca="false">K639</f>
        <v>0.34</v>
      </c>
      <c r="M639" s="530" t="n">
        <f aca="false">L639</f>
        <v>0.34</v>
      </c>
      <c r="N639" s="530" t="n">
        <f aca="false">M639</f>
        <v>0.34</v>
      </c>
      <c r="O639" s="530" t="n">
        <f aca="false">N639</f>
        <v>0.34</v>
      </c>
      <c r="P639" s="530" t="n">
        <f aca="false">O639</f>
        <v>0.34</v>
      </c>
      <c r="Q639" s="530" t="n">
        <f aca="false">P639</f>
        <v>0.34</v>
      </c>
      <c r="R639" s="530" t="n">
        <f aca="false">Q639</f>
        <v>0.34</v>
      </c>
      <c r="S639" s="530" t="n">
        <f aca="false">R639</f>
        <v>0.34</v>
      </c>
      <c r="T639" s="530" t="n">
        <f aca="false">S639</f>
        <v>0.34</v>
      </c>
      <c r="U639" s="530" t="n">
        <f aca="false">T639</f>
        <v>0.34</v>
      </c>
      <c r="V639" s="530" t="n">
        <f aca="false">U639</f>
        <v>0.34</v>
      </c>
      <c r="W639" s="530" t="n">
        <f aca="false">V639</f>
        <v>0.34</v>
      </c>
      <c r="X639" s="530" t="n">
        <f aca="false">W639</f>
        <v>0.34</v>
      </c>
      <c r="Y639" s="530" t="n">
        <f aca="false">X639</f>
        <v>0.34</v>
      </c>
      <c r="Z639" s="530" t="n">
        <f aca="false">Y639</f>
        <v>0.34</v>
      </c>
      <c r="AA639" s="530" t="n">
        <f aca="false">Z639</f>
        <v>0.34</v>
      </c>
      <c r="AB639" s="530" t="n">
        <f aca="false">AA639</f>
        <v>0.34</v>
      </c>
      <c r="AC639" s="530" t="n">
        <f aca="false">AB639</f>
        <v>0.34</v>
      </c>
    </row>
    <row r="640" customFormat="false" ht="11.25" hidden="false" customHeight="false" outlineLevel="0" collapsed="false">
      <c r="A640" s="43" t="s">
        <v>913</v>
      </c>
      <c r="I640" s="496" t="n">
        <v>0</v>
      </c>
      <c r="J640" s="496" t="n">
        <f aca="false">I640</f>
        <v>0</v>
      </c>
      <c r="K640" s="496" t="n">
        <f aca="false">J640</f>
        <v>0</v>
      </c>
      <c r="L640" s="496" t="n">
        <f aca="false">K640</f>
        <v>0</v>
      </c>
      <c r="M640" s="496" t="n">
        <f aca="false">L640</f>
        <v>0</v>
      </c>
      <c r="N640" s="496" t="n">
        <f aca="false">M640</f>
        <v>0</v>
      </c>
      <c r="O640" s="496" t="n">
        <f aca="false">N640</f>
        <v>0</v>
      </c>
      <c r="P640" s="496" t="n">
        <f aca="false">O640</f>
        <v>0</v>
      </c>
      <c r="Q640" s="496" t="n">
        <f aca="false">P640</f>
        <v>0</v>
      </c>
      <c r="R640" s="496" t="n">
        <f aca="false">Q640</f>
        <v>0</v>
      </c>
      <c r="S640" s="496" t="n">
        <f aca="false">R640</f>
        <v>0</v>
      </c>
      <c r="T640" s="496" t="n">
        <f aca="false">S640</f>
        <v>0</v>
      </c>
      <c r="U640" s="496" t="n">
        <f aca="false">T640</f>
        <v>0</v>
      </c>
      <c r="V640" s="496" t="n">
        <f aca="false">U640</f>
        <v>0</v>
      </c>
      <c r="W640" s="496" t="n">
        <f aca="false">V640</f>
        <v>0</v>
      </c>
      <c r="X640" s="496" t="n">
        <f aca="false">W640</f>
        <v>0</v>
      </c>
      <c r="Y640" s="496" t="n">
        <f aca="false">X640</f>
        <v>0</v>
      </c>
      <c r="Z640" s="496" t="n">
        <f aca="false">Y640</f>
        <v>0</v>
      </c>
      <c r="AA640" s="496" t="n">
        <f aca="false">Z640</f>
        <v>0</v>
      </c>
      <c r="AB640" s="496" t="n">
        <f aca="false">AA640</f>
        <v>0</v>
      </c>
      <c r="AC640" s="496" t="n">
        <f aca="false">AB640</f>
        <v>0</v>
      </c>
    </row>
    <row r="641" customFormat="false" ht="11.25" hidden="false" customHeight="false" outlineLevel="0" collapsed="false">
      <c r="A641" s="43" t="s">
        <v>914</v>
      </c>
      <c r="I641" s="530" t="n">
        <v>0.2</v>
      </c>
      <c r="J641" s="530" t="n">
        <f aca="false">I641</f>
        <v>0.2</v>
      </c>
      <c r="K641" s="530" t="n">
        <f aca="false">J641</f>
        <v>0.2</v>
      </c>
      <c r="L641" s="530" t="n">
        <f aca="false">K641</f>
        <v>0.2</v>
      </c>
      <c r="M641" s="530" t="n">
        <f aca="false">L641</f>
        <v>0.2</v>
      </c>
      <c r="N641" s="530" t="n">
        <f aca="false">M641</f>
        <v>0.2</v>
      </c>
      <c r="O641" s="530" t="n">
        <f aca="false">N641</f>
        <v>0.2</v>
      </c>
      <c r="P641" s="530" t="n">
        <f aca="false">O641</f>
        <v>0.2</v>
      </c>
      <c r="Q641" s="530" t="n">
        <f aca="false">P641</f>
        <v>0.2</v>
      </c>
      <c r="R641" s="530" t="n">
        <f aca="false">Q641</f>
        <v>0.2</v>
      </c>
      <c r="S641" s="530" t="n">
        <f aca="false">R641</f>
        <v>0.2</v>
      </c>
      <c r="T641" s="530" t="n">
        <f aca="false">S641</f>
        <v>0.2</v>
      </c>
      <c r="U641" s="530" t="n">
        <f aca="false">T641</f>
        <v>0.2</v>
      </c>
      <c r="V641" s="530" t="n">
        <f aca="false">U641</f>
        <v>0.2</v>
      </c>
      <c r="W641" s="530" t="n">
        <f aca="false">V641</f>
        <v>0.2</v>
      </c>
      <c r="X641" s="530" t="n">
        <f aca="false">W641</f>
        <v>0.2</v>
      </c>
      <c r="Y641" s="530" t="n">
        <f aca="false">X641</f>
        <v>0.2</v>
      </c>
      <c r="Z641" s="530" t="n">
        <f aca="false">Y641</f>
        <v>0.2</v>
      </c>
      <c r="AA641" s="530" t="n">
        <f aca="false">Z641</f>
        <v>0.2</v>
      </c>
      <c r="AB641" s="530" t="n">
        <f aca="false">AA641</f>
        <v>0.2</v>
      </c>
      <c r="AC641" s="530" t="n">
        <f aca="false">AB641</f>
        <v>0.2</v>
      </c>
    </row>
    <row r="642" customFormat="false" ht="11.25" hidden="false" customHeight="false" outlineLevel="0" collapsed="false">
      <c r="A642" s="67"/>
      <c r="B642" s="67"/>
      <c r="C642" s="67"/>
      <c r="D642" s="67"/>
      <c r="E642" s="67"/>
      <c r="F642" s="67"/>
      <c r="G642" s="67"/>
      <c r="I642" s="171"/>
    </row>
    <row r="643" customFormat="false" ht="11.25" hidden="false" customHeight="false" outlineLevel="0" collapsed="false">
      <c r="A643" s="43" t="s">
        <v>915</v>
      </c>
      <c r="C643" s="67"/>
      <c r="E643" s="65" t="s">
        <v>916</v>
      </c>
      <c r="F643" s="449" t="n">
        <v>14000</v>
      </c>
      <c r="G643" s="67"/>
      <c r="H643" s="67"/>
      <c r="I643" s="172"/>
      <c r="J643" s="172"/>
      <c r="K643" s="172"/>
    </row>
    <row r="644" customFormat="false" ht="11.25" hidden="false" customHeight="false" outlineLevel="0" collapsed="false">
      <c r="A644" s="43"/>
      <c r="C644" s="67"/>
      <c r="E644" s="65" t="s">
        <v>917</v>
      </c>
      <c r="F644" s="449" t="n">
        <v>8000</v>
      </c>
      <c r="G644" s="67"/>
      <c r="H644" s="67"/>
      <c r="I644" s="171"/>
    </row>
    <row r="645" customFormat="false" ht="11.25" hidden="false" customHeight="false" outlineLevel="0" collapsed="false">
      <c r="A645" s="43"/>
      <c r="C645" s="67"/>
      <c r="E645" s="65" t="s">
        <v>918</v>
      </c>
      <c r="F645" s="449" t="n">
        <v>2000</v>
      </c>
      <c r="G645" s="67"/>
      <c r="H645" s="67"/>
      <c r="I645" s="171"/>
      <c r="L645" s="172"/>
      <c r="M645" s="172"/>
      <c r="N645" s="172"/>
      <c r="O645" s="172"/>
      <c r="P645" s="172"/>
      <c r="Q645" s="172"/>
      <c r="R645" s="172"/>
      <c r="S645" s="172"/>
      <c r="T645" s="172"/>
      <c r="U645" s="172"/>
      <c r="V645" s="172"/>
      <c r="W645" s="172"/>
      <c r="X645" s="172"/>
      <c r="Y645" s="172"/>
      <c r="Z645" s="172"/>
      <c r="AA645" s="172"/>
      <c r="AB645" s="172"/>
      <c r="AC645" s="172"/>
    </row>
    <row r="646" customFormat="false" ht="11.25" hidden="false" customHeight="false" outlineLevel="0" collapsed="false">
      <c r="A646" s="43" t="s">
        <v>919</v>
      </c>
      <c r="F646" s="449" t="n">
        <v>11000</v>
      </c>
      <c r="G646" s="67"/>
      <c r="H646" s="67"/>
      <c r="I646" s="171"/>
      <c r="L646" s="172"/>
      <c r="M646" s="172"/>
      <c r="N646" s="172"/>
      <c r="O646" s="172"/>
      <c r="P646" s="172"/>
      <c r="Q646" s="172"/>
      <c r="R646" s="172"/>
      <c r="S646" s="172"/>
      <c r="T646" s="172"/>
      <c r="U646" s="172"/>
      <c r="V646" s="172"/>
      <c r="W646" s="172"/>
      <c r="X646" s="172"/>
      <c r="Y646" s="172"/>
      <c r="Z646" s="172"/>
      <c r="AA646" s="172"/>
      <c r="AB646" s="172"/>
      <c r="AC646" s="172"/>
    </row>
    <row r="647" customFormat="false" ht="11.25" hidden="false" customHeight="false" outlineLevel="0" collapsed="false">
      <c r="A647" s="43"/>
      <c r="C647" s="67"/>
      <c r="F647" s="65"/>
      <c r="G647" s="171"/>
      <c r="H647" s="67"/>
      <c r="I647" s="171"/>
      <c r="L647" s="172"/>
      <c r="M647" s="172"/>
      <c r="N647" s="172"/>
      <c r="O647" s="172"/>
      <c r="P647" s="172"/>
      <c r="Q647" s="172"/>
      <c r="R647" s="172"/>
      <c r="S647" s="172"/>
      <c r="T647" s="172"/>
      <c r="U647" s="172"/>
      <c r="V647" s="172"/>
      <c r="W647" s="172"/>
      <c r="X647" s="172"/>
      <c r="Y647" s="172"/>
      <c r="Z647" s="172"/>
      <c r="AA647" s="172"/>
      <c r="AB647" s="172"/>
      <c r="AC647" s="172"/>
    </row>
    <row r="648" customFormat="false" ht="11.25" hidden="false" customHeight="false" outlineLevel="0" collapsed="false">
      <c r="A648" s="43" t="s">
        <v>920</v>
      </c>
      <c r="F648" s="98"/>
      <c r="G648" s="67"/>
      <c r="I648" s="530" t="n">
        <v>0.7</v>
      </c>
      <c r="J648" s="530" t="n">
        <f aca="false">I648</f>
        <v>0.7</v>
      </c>
      <c r="K648" s="530" t="n">
        <f aca="false">J648</f>
        <v>0.7</v>
      </c>
      <c r="L648" s="530" t="n">
        <f aca="false">K648</f>
        <v>0.7</v>
      </c>
      <c r="M648" s="530" t="n">
        <f aca="false">L648</f>
        <v>0.7</v>
      </c>
      <c r="N648" s="530" t="n">
        <f aca="false">M648</f>
        <v>0.7</v>
      </c>
      <c r="O648" s="530" t="n">
        <f aca="false">N648</f>
        <v>0.7</v>
      </c>
      <c r="P648" s="530" t="n">
        <f aca="false">O648</f>
        <v>0.7</v>
      </c>
      <c r="Q648" s="530" t="n">
        <f aca="false">P648</f>
        <v>0.7</v>
      </c>
      <c r="R648" s="530" t="n">
        <f aca="false">Q648</f>
        <v>0.7</v>
      </c>
      <c r="S648" s="530" t="n">
        <f aca="false">R648</f>
        <v>0.7</v>
      </c>
      <c r="T648" s="530" t="n">
        <f aca="false">S648</f>
        <v>0.7</v>
      </c>
      <c r="U648" s="530" t="n">
        <f aca="false">T648</f>
        <v>0.7</v>
      </c>
      <c r="V648" s="530" t="n">
        <f aca="false">U648</f>
        <v>0.7</v>
      </c>
      <c r="W648" s="530" t="n">
        <f aca="false">V648</f>
        <v>0.7</v>
      </c>
      <c r="X648" s="530" t="n">
        <f aca="false">W648</f>
        <v>0.7</v>
      </c>
      <c r="Y648" s="530" t="n">
        <f aca="false">X648</f>
        <v>0.7</v>
      </c>
      <c r="Z648" s="530" t="n">
        <f aca="false">Y648</f>
        <v>0.7</v>
      </c>
      <c r="AA648" s="530" t="n">
        <f aca="false">Z648</f>
        <v>0.7</v>
      </c>
      <c r="AB648" s="530" t="n">
        <f aca="false">AA648</f>
        <v>0.7</v>
      </c>
      <c r="AC648" s="530" t="n">
        <f aca="false">AB648</f>
        <v>0.7</v>
      </c>
    </row>
    <row r="649" customFormat="false" ht="11.25" hidden="false" customHeight="false" outlineLevel="0" collapsed="false">
      <c r="A649" s="67"/>
      <c r="B649" s="67"/>
      <c r="C649" s="67"/>
      <c r="D649" s="67"/>
      <c r="E649" s="67"/>
      <c r="F649" s="67"/>
      <c r="G649" s="67"/>
      <c r="H649" s="67"/>
      <c r="I649" s="67"/>
      <c r="J649" s="67"/>
      <c r="K649" s="67"/>
      <c r="L649" s="67"/>
      <c r="M649" s="67"/>
      <c r="N649" s="67"/>
      <c r="O649" s="67"/>
      <c r="P649" s="67"/>
      <c r="Q649" s="67"/>
      <c r="R649" s="67"/>
      <c r="S649" s="67"/>
      <c r="T649" s="67"/>
      <c r="U649" s="67"/>
      <c r="V649" s="67"/>
      <c r="W649" s="67"/>
      <c r="X649" s="67"/>
      <c r="Y649" s="67"/>
      <c r="Z649" s="67"/>
      <c r="AA649" s="67"/>
      <c r="AB649" s="67"/>
      <c r="AC649" s="67"/>
    </row>
    <row r="650" customFormat="false" ht="12" hidden="false" customHeight="false" outlineLevel="0" collapsed="false">
      <c r="A650" s="531"/>
      <c r="B650" s="529"/>
      <c r="C650" s="105"/>
      <c r="D650" s="529"/>
      <c r="E650" s="529"/>
      <c r="F650" s="529"/>
      <c r="G650" s="105"/>
      <c r="H650" s="532"/>
      <c r="I650" s="533"/>
      <c r="J650" s="529"/>
      <c r="K650" s="529"/>
      <c r="L650" s="534"/>
      <c r="M650" s="534"/>
      <c r="N650" s="534"/>
      <c r="O650" s="534"/>
      <c r="P650" s="534"/>
      <c r="Q650" s="534"/>
      <c r="R650" s="534"/>
      <c r="S650" s="534"/>
      <c r="T650" s="534"/>
      <c r="U650" s="534"/>
      <c r="V650" s="534"/>
      <c r="W650" s="534"/>
      <c r="X650" s="534"/>
      <c r="Y650" s="534"/>
      <c r="Z650" s="534"/>
      <c r="AA650" s="534"/>
      <c r="AB650" s="534"/>
      <c r="AC650" s="534"/>
    </row>
    <row r="651" customFormat="false" ht="12.75" hidden="false" customHeight="false" outlineLevel="0" collapsed="false">
      <c r="A651" s="43"/>
    </row>
    <row r="652" customFormat="false" ht="12.75" hidden="false" customHeight="false" outlineLevel="0" collapsed="false">
      <c r="A652" s="4" t="s">
        <v>921</v>
      </c>
      <c r="D652" s="417"/>
      <c r="E652" s="260"/>
      <c r="F652" s="260"/>
      <c r="G652" s="260"/>
      <c r="H652" s="535" t="str">
        <f aca="false">$H$579&amp;"/"&amp;TEXT($H$580,"0")</f>
        <v>6 M/1999</v>
      </c>
      <c r="I652" s="535" t="str">
        <f aca="false">$I$579&amp;"/"&amp;TEXT($I$580,"0")</f>
        <v>6 M/1999</v>
      </c>
      <c r="J652" s="535" t="n">
        <f aca="false">J580</f>
        <v>2000</v>
      </c>
      <c r="K652" s="535" t="n">
        <f aca="false">K580</f>
        <v>2001</v>
      </c>
      <c r="L652" s="535" t="n">
        <f aca="false">L580</f>
        <v>2002</v>
      </c>
      <c r="M652" s="535" t="n">
        <f aca="false">M580</f>
        <v>2003</v>
      </c>
      <c r="N652" s="535" t="n">
        <f aca="false">N580</f>
        <v>2004</v>
      </c>
      <c r="O652" s="535" t="n">
        <f aca="false">O580</f>
        <v>2005</v>
      </c>
      <c r="P652" s="535" t="n">
        <f aca="false">P580</f>
        <v>2006</v>
      </c>
      <c r="Q652" s="535" t="n">
        <f aca="false">Q580</f>
        <v>2007</v>
      </c>
      <c r="R652" s="535" t="n">
        <f aca="false">R580</f>
        <v>2008</v>
      </c>
      <c r="S652" s="535" t="n">
        <f aca="false">S580</f>
        <v>2009</v>
      </c>
      <c r="T652" s="535" t="n">
        <f aca="false">T580</f>
        <v>2010</v>
      </c>
      <c r="U652" s="535" t="n">
        <f aca="false">U580</f>
        <v>2011</v>
      </c>
      <c r="V652" s="535" t="n">
        <f aca="false">V580</f>
        <v>2012</v>
      </c>
      <c r="W652" s="535" t="n">
        <f aca="false">W580</f>
        <v>2013</v>
      </c>
      <c r="X652" s="535" t="n">
        <f aca="false">X580</f>
        <v>2014</v>
      </c>
      <c r="Y652" s="535" t="n">
        <f aca="false">Y580</f>
        <v>2015</v>
      </c>
      <c r="Z652" s="535" t="n">
        <f aca="false">Z580</f>
        <v>2016</v>
      </c>
      <c r="AA652" s="535" t="n">
        <f aca="false">AA580</f>
        <v>2017</v>
      </c>
      <c r="AB652" s="535" t="n">
        <f aca="false">AB580</f>
        <v>2018</v>
      </c>
      <c r="AC652" s="535" t="n">
        <f aca="false">AC580</f>
        <v>2019</v>
      </c>
    </row>
    <row r="653" customFormat="false" ht="12" hidden="false" customHeight="false" outlineLevel="0" collapsed="false">
      <c r="A653" s="168" t="s">
        <v>922</v>
      </c>
      <c r="D653" s="417"/>
      <c r="E653" s="417"/>
      <c r="F653" s="417"/>
      <c r="G653" s="417"/>
      <c r="H653" s="417"/>
      <c r="I653" s="149"/>
      <c r="J653" s="417"/>
      <c r="K653" s="417"/>
      <c r="L653" s="417"/>
      <c r="M653" s="417"/>
      <c r="N653" s="417"/>
      <c r="O653" s="417"/>
      <c r="P653" s="417"/>
      <c r="Q653" s="417"/>
      <c r="R653" s="417"/>
      <c r="S653" s="417"/>
      <c r="T653" s="417"/>
      <c r="U653" s="417"/>
      <c r="V653" s="417"/>
      <c r="W653" s="417"/>
      <c r="X653" s="417"/>
      <c r="Y653" s="417"/>
      <c r="Z653" s="417"/>
      <c r="AA653" s="417"/>
      <c r="AB653" s="417"/>
      <c r="AC653" s="417"/>
    </row>
    <row r="654" customFormat="false" ht="11.25" hidden="false" customHeight="false" outlineLevel="0" collapsed="false">
      <c r="A654" s="35" t="s">
        <v>923</v>
      </c>
      <c r="C654" s="417"/>
      <c r="D654" s="417"/>
      <c r="E654" s="417"/>
      <c r="F654" s="417"/>
      <c r="G654" s="417"/>
      <c r="H654" s="67"/>
      <c r="I654" s="432" t="e">
        <f aca="false">I104</f>
        <v>#VALUE!</v>
      </c>
      <c r="J654" s="432" t="e">
        <f aca="false">J104</f>
        <v>#VALUE!</v>
      </c>
      <c r="K654" s="417" t="e">
        <f aca="false">K104</f>
        <v>#VALUE!</v>
      </c>
      <c r="L654" s="417" t="e">
        <f aca="false">L104</f>
        <v>#VALUE!</v>
      </c>
      <c r="M654" s="417" t="e">
        <f aca="false">M104</f>
        <v>#VALUE!</v>
      </c>
      <c r="N654" s="417" t="e">
        <f aca="false">N104</f>
        <v>#VALUE!</v>
      </c>
      <c r="O654" s="417" t="e">
        <f aca="false">O104</f>
        <v>#VALUE!</v>
      </c>
      <c r="P654" s="417" t="e">
        <f aca="false">P104</f>
        <v>#VALUE!</v>
      </c>
      <c r="Q654" s="417" t="e">
        <f aca="false">Q104</f>
        <v>#VALUE!</v>
      </c>
      <c r="R654" s="417" t="e">
        <f aca="false">R104</f>
        <v>#VALUE!</v>
      </c>
      <c r="S654" s="417" t="e">
        <f aca="false">S104</f>
        <v>#VALUE!</v>
      </c>
      <c r="T654" s="417" t="e">
        <f aca="false">T104</f>
        <v>#VALUE!</v>
      </c>
      <c r="U654" s="417" t="e">
        <f aca="false">U104</f>
        <v>#VALUE!</v>
      </c>
      <c r="V654" s="417" t="e">
        <f aca="false">V104</f>
        <v>#VALUE!</v>
      </c>
      <c r="W654" s="417" t="e">
        <f aca="false">W104</f>
        <v>#VALUE!</v>
      </c>
      <c r="X654" s="417" t="e">
        <f aca="false">X104</f>
        <v>#VALUE!</v>
      </c>
      <c r="Y654" s="417" t="e">
        <f aca="false">Y104</f>
        <v>#VALUE!</v>
      </c>
      <c r="Z654" s="417" t="e">
        <f aca="false">Z104</f>
        <v>#VALUE!</v>
      </c>
      <c r="AA654" s="417" t="e">
        <f aca="false">AA104</f>
        <v>#VALUE!</v>
      </c>
      <c r="AB654" s="417" t="e">
        <f aca="false">AB104</f>
        <v>#VALUE!</v>
      </c>
      <c r="AC654" s="417" t="e">
        <f aca="false">AC104</f>
        <v>#VALUE!</v>
      </c>
    </row>
    <row r="655" customFormat="false" ht="11.25" hidden="false" customHeight="false" outlineLevel="0" collapsed="false">
      <c r="A655" s="35" t="s">
        <v>924</v>
      </c>
      <c r="B655" s="35" t="s">
        <v>925</v>
      </c>
      <c r="C655" s="417"/>
      <c r="D655" s="417"/>
      <c r="E655" s="417"/>
      <c r="F655" s="417"/>
      <c r="G655" s="417"/>
      <c r="H655" s="67"/>
      <c r="I655" s="432" t="n">
        <f aca="false">I78</f>
        <v>0</v>
      </c>
      <c r="J655" s="432" t="n">
        <f aca="false">J78</f>
        <v>0</v>
      </c>
      <c r="K655" s="417" t="n">
        <f aca="false">K78</f>
        <v>0</v>
      </c>
      <c r="L655" s="417" t="n">
        <f aca="false">L78</f>
        <v>0</v>
      </c>
      <c r="M655" s="417" t="n">
        <f aca="false">M78</f>
        <v>0</v>
      </c>
      <c r="N655" s="417" t="n">
        <f aca="false">N78</f>
        <v>0</v>
      </c>
      <c r="O655" s="417" t="n">
        <f aca="false">O78</f>
        <v>0</v>
      </c>
      <c r="P655" s="417" t="n">
        <f aca="false">P78</f>
        <v>0</v>
      </c>
      <c r="Q655" s="417" t="n">
        <f aca="false">Q78</f>
        <v>0</v>
      </c>
      <c r="R655" s="417" t="n">
        <f aca="false">R78</f>
        <v>0</v>
      </c>
      <c r="S655" s="417" t="n">
        <f aca="false">S78</f>
        <v>0</v>
      </c>
      <c r="T655" s="417" t="n">
        <f aca="false">T78</f>
        <v>0</v>
      </c>
      <c r="U655" s="417" t="n">
        <f aca="false">U78</f>
        <v>0</v>
      </c>
      <c r="V655" s="417" t="n">
        <f aca="false">V78</f>
        <v>0</v>
      </c>
      <c r="W655" s="417" t="n">
        <f aca="false">W78</f>
        <v>0</v>
      </c>
      <c r="X655" s="417" t="n">
        <f aca="false">X78</f>
        <v>0</v>
      </c>
      <c r="Y655" s="417" t="n">
        <f aca="false">Y78</f>
        <v>0</v>
      </c>
      <c r="Z655" s="417" t="n">
        <f aca="false">Z78</f>
        <v>0</v>
      </c>
      <c r="AA655" s="417" t="n">
        <f aca="false">AA78</f>
        <v>0</v>
      </c>
      <c r="AB655" s="417" t="n">
        <f aca="false">AB78</f>
        <v>0</v>
      </c>
      <c r="AC655" s="417" t="n">
        <f aca="false">AC78</f>
        <v>0</v>
      </c>
    </row>
    <row r="656" customFormat="false" ht="11.25" hidden="false" customHeight="false" outlineLevel="0" collapsed="false">
      <c r="A656" s="67"/>
      <c r="B656" s="35" t="s">
        <v>926</v>
      </c>
      <c r="C656" s="417"/>
      <c r="D656" s="417"/>
      <c r="E656" s="417"/>
      <c r="F656" s="417"/>
      <c r="G656" s="417"/>
      <c r="H656" s="67"/>
      <c r="I656" s="432" t="n">
        <f aca="false">I945+I607</f>
        <v>0</v>
      </c>
      <c r="J656" s="432" t="n">
        <f aca="false">J945+J607</f>
        <v>0</v>
      </c>
      <c r="K656" s="432" t="n">
        <f aca="false">K945+K607</f>
        <v>0</v>
      </c>
      <c r="L656" s="432" t="n">
        <f aca="false">L945+L607</f>
        <v>0</v>
      </c>
      <c r="M656" s="432" t="n">
        <f aca="false">M945+M607</f>
        <v>0</v>
      </c>
      <c r="N656" s="432" t="n">
        <f aca="false">N945+N607</f>
        <v>0</v>
      </c>
      <c r="O656" s="432" t="n">
        <f aca="false">O945+O607</f>
        <v>0</v>
      </c>
      <c r="P656" s="432" t="n">
        <f aca="false">P945+P607</f>
        <v>0</v>
      </c>
      <c r="Q656" s="432" t="n">
        <f aca="false">Q945+Q607</f>
        <v>0</v>
      </c>
      <c r="R656" s="432" t="n">
        <f aca="false">R945+R607</f>
        <v>0</v>
      </c>
      <c r="S656" s="432" t="n">
        <f aca="false">S945+S607</f>
        <v>0</v>
      </c>
      <c r="T656" s="432" t="n">
        <f aca="false">T945+T607</f>
        <v>0</v>
      </c>
      <c r="U656" s="432" t="n">
        <f aca="false">U945+U607</f>
        <v>0</v>
      </c>
      <c r="V656" s="432" t="n">
        <f aca="false">V945+V607</f>
        <v>0</v>
      </c>
      <c r="W656" s="432" t="n">
        <f aca="false">W945+W607</f>
        <v>0</v>
      </c>
      <c r="X656" s="432" t="n">
        <f aca="false">X945+X607</f>
        <v>0</v>
      </c>
      <c r="Y656" s="432" t="n">
        <f aca="false">Y945+Y607</f>
        <v>0</v>
      </c>
      <c r="Z656" s="432" t="n">
        <f aca="false">Z945+Z607</f>
        <v>0</v>
      </c>
      <c r="AA656" s="432" t="n">
        <f aca="false">AA945+AA607</f>
        <v>0</v>
      </c>
      <c r="AB656" s="432" t="n">
        <f aca="false">AB945+AB607</f>
        <v>0</v>
      </c>
      <c r="AC656" s="432" t="n">
        <f aca="false">AC945+AC607</f>
        <v>0</v>
      </c>
    </row>
    <row r="657" customFormat="false" ht="11.25" hidden="false" customHeight="false" outlineLevel="0" collapsed="false">
      <c r="A657" s="431"/>
      <c r="B657" s="5" t="s">
        <v>927</v>
      </c>
      <c r="C657" s="417"/>
      <c r="D657" s="417"/>
      <c r="E657" s="417"/>
      <c r="F657" s="417"/>
      <c r="G657" s="417"/>
      <c r="H657" s="67"/>
      <c r="I657" s="432" t="n">
        <f aca="false">I954</f>
        <v>0</v>
      </c>
      <c r="J657" s="432" t="n">
        <f aca="false">J954</f>
        <v>0</v>
      </c>
      <c r="K657" s="432" t="n">
        <f aca="false">K954</f>
        <v>0</v>
      </c>
      <c r="L657" s="432" t="n">
        <f aca="false">L954</f>
        <v>0</v>
      </c>
      <c r="M657" s="432" t="n">
        <f aca="false">M954</f>
        <v>0</v>
      </c>
      <c r="N657" s="432" t="n">
        <f aca="false">N954</f>
        <v>0</v>
      </c>
      <c r="O657" s="432" t="n">
        <f aca="false">O954</f>
        <v>4.37940610692124</v>
      </c>
      <c r="P657" s="432" t="n">
        <f aca="false">P954</f>
        <v>4.73479130132525</v>
      </c>
      <c r="Q657" s="432" t="n">
        <f aca="false">Q954</f>
        <v>7.10183406065871</v>
      </c>
      <c r="R657" s="432" t="n">
        <f aca="false">R954</f>
        <v>6.06029350365411</v>
      </c>
      <c r="S657" s="432" t="n">
        <f aca="false">S954</f>
        <v>5.13462160166333</v>
      </c>
      <c r="T657" s="432" t="n">
        <f aca="false">T954</f>
        <v>4.31369340045704</v>
      </c>
      <c r="U657" s="432" t="n">
        <f aca="false">U954</f>
        <v>3.61604708594512</v>
      </c>
      <c r="V657" s="432" t="n">
        <f aca="false">V954</f>
        <v>2.96902765639283</v>
      </c>
      <c r="W657" s="432" t="n">
        <f aca="false">W954</f>
        <v>2.43484435655219</v>
      </c>
      <c r="X657" s="432" t="n">
        <f aca="false">X954</f>
        <v>1.9752031273748</v>
      </c>
      <c r="Y657" s="432" t="n">
        <f aca="false">Y954</f>
        <v>1.55663930896327</v>
      </c>
      <c r="Z657" s="432" t="n">
        <f aca="false">Z954</f>
        <v>1.14351365103143</v>
      </c>
      <c r="AA657" s="432" t="n">
        <f aca="false">AA954</f>
        <v>0.874427280159617</v>
      </c>
      <c r="AB657" s="432" t="n">
        <f aca="false">AB954</f>
        <v>0.672671998471635</v>
      </c>
      <c r="AC657" s="432" t="n">
        <f aca="false">AC954</f>
        <v>0.555985560429433</v>
      </c>
    </row>
    <row r="658" customFormat="false" ht="11.25" hidden="false" customHeight="false" outlineLevel="0" collapsed="false">
      <c r="A658" s="67"/>
      <c r="B658" s="5" t="s">
        <v>928</v>
      </c>
      <c r="H658" s="67"/>
      <c r="I658" s="149" t="n">
        <f aca="false">-I103</f>
        <v>-0</v>
      </c>
      <c r="J658" s="149" t="n">
        <f aca="false">-J103</f>
        <v>-0</v>
      </c>
      <c r="K658" s="149" t="n">
        <f aca="false">-K103</f>
        <v>-0</v>
      </c>
      <c r="L658" s="149" t="n">
        <f aca="false">-L103</f>
        <v>-0</v>
      </c>
      <c r="M658" s="149" t="n">
        <f aca="false">-M103</f>
        <v>-0</v>
      </c>
      <c r="N658" s="149" t="n">
        <f aca="false">-N103</f>
        <v>-0</v>
      </c>
      <c r="O658" s="149" t="n">
        <f aca="false">-O103</f>
        <v>-0</v>
      </c>
      <c r="P658" s="149" t="n">
        <f aca="false">-P103</f>
        <v>-0</v>
      </c>
      <c r="Q658" s="149" t="n">
        <f aca="false">-Q103</f>
        <v>-0</v>
      </c>
      <c r="R658" s="149" t="n">
        <f aca="false">-R103</f>
        <v>-0</v>
      </c>
      <c r="S658" s="149" t="n">
        <f aca="false">-S103</f>
        <v>-0</v>
      </c>
      <c r="T658" s="149" t="n">
        <f aca="false">-T103</f>
        <v>-0</v>
      </c>
      <c r="U658" s="149" t="n">
        <f aca="false">-U103</f>
        <v>-0</v>
      </c>
      <c r="V658" s="149" t="n">
        <f aca="false">-V103</f>
        <v>-0</v>
      </c>
      <c r="W658" s="149" t="n">
        <f aca="false">-W103</f>
        <v>-0</v>
      </c>
      <c r="X658" s="149" t="n">
        <f aca="false">-X103</f>
        <v>-0</v>
      </c>
      <c r="Y658" s="149" t="n">
        <f aca="false">-Y103</f>
        <v>-0</v>
      </c>
      <c r="Z658" s="149" t="n">
        <f aca="false">-Z103</f>
        <v>-0</v>
      </c>
      <c r="AA658" s="149" t="n">
        <f aca="false">-AA103</f>
        <v>-0</v>
      </c>
      <c r="AB658" s="149" t="n">
        <f aca="false">-AB103</f>
        <v>-0</v>
      </c>
      <c r="AC658" s="149" t="n">
        <f aca="false">-AC103</f>
        <v>-0</v>
      </c>
    </row>
    <row r="659" customFormat="false" ht="11.25" hidden="false" customHeight="false" outlineLevel="0" collapsed="false">
      <c r="A659" s="67"/>
      <c r="B659" s="44" t="s">
        <v>929</v>
      </c>
      <c r="H659" s="67"/>
      <c r="I659" s="149" t="n">
        <f aca="false">I759</f>
        <v>-0</v>
      </c>
      <c r="J659" s="149" t="n">
        <f aca="false">J759</f>
        <v>-0</v>
      </c>
      <c r="K659" s="149" t="n">
        <f aca="false">K759</f>
        <v>-0</v>
      </c>
      <c r="L659" s="149" t="n">
        <f aca="false">L759</f>
        <v>-0</v>
      </c>
      <c r="M659" s="149" t="n">
        <f aca="false">M759</f>
        <v>-0</v>
      </c>
      <c r="N659" s="149" t="n">
        <f aca="false">N759</f>
        <v>-0</v>
      </c>
      <c r="O659" s="149" t="n">
        <f aca="false">O759</f>
        <v>-0</v>
      </c>
      <c r="P659" s="149" t="n">
        <f aca="false">P759</f>
        <v>-0</v>
      </c>
      <c r="Q659" s="149" t="n">
        <f aca="false">Q759</f>
        <v>-0</v>
      </c>
      <c r="R659" s="149" t="n">
        <f aca="false">R759</f>
        <v>-0</v>
      </c>
      <c r="S659" s="149" t="n">
        <f aca="false">S759</f>
        <v>-0</v>
      </c>
      <c r="T659" s="149" t="n">
        <f aca="false">T759</f>
        <v>-0</v>
      </c>
      <c r="U659" s="149" t="n">
        <f aca="false">U759</f>
        <v>-0</v>
      </c>
      <c r="V659" s="149" t="n">
        <f aca="false">V759</f>
        <v>-0</v>
      </c>
      <c r="W659" s="149" t="n">
        <f aca="false">W759</f>
        <v>-0</v>
      </c>
      <c r="X659" s="149" t="n">
        <f aca="false">X759</f>
        <v>-0</v>
      </c>
      <c r="Y659" s="149" t="n">
        <f aca="false">Y759</f>
        <v>0</v>
      </c>
      <c r="Z659" s="149" t="n">
        <f aca="false">Z759</f>
        <v>0</v>
      </c>
      <c r="AA659" s="149" t="n">
        <f aca="false">AA759</f>
        <v>0</v>
      </c>
      <c r="AB659" s="149" t="n">
        <f aca="false">AB759</f>
        <v>0</v>
      </c>
      <c r="AC659" s="149" t="n">
        <f aca="false">AC759</f>
        <v>0</v>
      </c>
    </row>
    <row r="660" customFormat="false" ht="11.25" hidden="false" customHeight="false" outlineLevel="0" collapsed="false">
      <c r="A660" s="35" t="s">
        <v>930</v>
      </c>
      <c r="B660" s="5" t="s">
        <v>931</v>
      </c>
      <c r="C660" s="417"/>
      <c r="D660" s="172"/>
      <c r="E660" s="172"/>
      <c r="F660" s="172"/>
      <c r="G660" s="172"/>
      <c r="H660" s="67"/>
      <c r="I660" s="432" t="n">
        <f aca="false">-(I946+I611)</f>
        <v>-0</v>
      </c>
      <c r="J660" s="432" t="n">
        <f aca="false">-(J946+J611)</f>
        <v>-0</v>
      </c>
      <c r="K660" s="432" t="n">
        <f aca="false">-(K946+K611)</f>
        <v>-0</v>
      </c>
      <c r="L660" s="432" t="n">
        <f aca="false">-(L946+L611)</f>
        <v>-0</v>
      </c>
      <c r="M660" s="432" t="n">
        <f aca="false">-(M946+M611)</f>
        <v>-0</v>
      </c>
      <c r="N660" s="432" t="n">
        <f aca="false">-(N946+N611)</f>
        <v>-0</v>
      </c>
      <c r="O660" s="432" t="n">
        <f aca="false">-(O946+O611)</f>
        <v>-0</v>
      </c>
      <c r="P660" s="432" t="n">
        <f aca="false">-(P946+P611)</f>
        <v>-0</v>
      </c>
      <c r="Q660" s="432" t="n">
        <f aca="false">-(Q946+Q611)</f>
        <v>-0</v>
      </c>
      <c r="R660" s="432" t="n">
        <f aca="false">-(R946+R611)</f>
        <v>-0</v>
      </c>
      <c r="S660" s="432" t="n">
        <f aca="false">-(S946+S611)</f>
        <v>-0</v>
      </c>
      <c r="T660" s="432" t="n">
        <f aca="false">-(T946+T611)</f>
        <v>-0</v>
      </c>
      <c r="U660" s="432" t="n">
        <f aca="false">-(U946+U611)</f>
        <v>-0</v>
      </c>
      <c r="V660" s="432" t="n">
        <f aca="false">-(V946+V611)</f>
        <v>-0</v>
      </c>
      <c r="W660" s="432" t="n">
        <f aca="false">-(W946+W611)</f>
        <v>-0</v>
      </c>
      <c r="X660" s="432" t="n">
        <f aca="false">-(X946+X611)</f>
        <v>-0</v>
      </c>
      <c r="Y660" s="432" t="n">
        <f aca="false">-(Y946+Y611)</f>
        <v>-0</v>
      </c>
      <c r="Z660" s="432" t="n">
        <f aca="false">-(Z946+Z611)</f>
        <v>-0</v>
      </c>
      <c r="AA660" s="432" t="n">
        <f aca="false">-(AA946+AA611)</f>
        <v>-0</v>
      </c>
      <c r="AB660" s="432" t="n">
        <f aca="false">-(AB946+AB611)</f>
        <v>-0</v>
      </c>
      <c r="AC660" s="432" t="n">
        <f aca="false">-(AC946+AC611)</f>
        <v>-0</v>
      </c>
    </row>
    <row r="661" customFormat="false" ht="11.25" hidden="false" customHeight="false" outlineLevel="0" collapsed="false">
      <c r="B661" s="5" t="s">
        <v>932</v>
      </c>
      <c r="C661" s="417"/>
      <c r="D661" s="172"/>
      <c r="E661" s="172"/>
      <c r="F661" s="172"/>
      <c r="G661" s="172"/>
      <c r="H661" s="67"/>
      <c r="I661" s="432" t="n">
        <f aca="false">-I955</f>
        <v>-0</v>
      </c>
      <c r="J661" s="432" t="n">
        <f aca="false">-J955</f>
        <v>-0</v>
      </c>
      <c r="K661" s="432" t="n">
        <f aca="false">-K955</f>
        <v>-0</v>
      </c>
      <c r="L661" s="432" t="n">
        <f aca="false">-L955</f>
        <v>-0</v>
      </c>
      <c r="M661" s="432" t="n">
        <f aca="false">-M955</f>
        <v>-0</v>
      </c>
      <c r="N661" s="432" t="n">
        <f aca="false">-N955</f>
        <v>-0</v>
      </c>
      <c r="O661" s="432" t="n">
        <f aca="false">-O955</f>
        <v>-4.37940610692124</v>
      </c>
      <c r="P661" s="432" t="n">
        <f aca="false">-P955</f>
        <v>-4.73479130132525</v>
      </c>
      <c r="Q661" s="432" t="n">
        <f aca="false">-Q955</f>
        <v>-7.10183406065871</v>
      </c>
      <c r="R661" s="432" t="n">
        <f aca="false">-R955</f>
        <v>-6.06029350365411</v>
      </c>
      <c r="S661" s="432" t="n">
        <f aca="false">-S955</f>
        <v>-5.13462160166333</v>
      </c>
      <c r="T661" s="432" t="n">
        <f aca="false">-T955</f>
        <v>-4.31369340045704</v>
      </c>
      <c r="U661" s="432" t="n">
        <f aca="false">-U955</f>
        <v>-3.61604708594512</v>
      </c>
      <c r="V661" s="432" t="n">
        <f aca="false">-V955</f>
        <v>-2.96902765639283</v>
      </c>
      <c r="W661" s="432" t="n">
        <f aca="false">-W955</f>
        <v>-2.43484435655219</v>
      </c>
      <c r="X661" s="432" t="n">
        <f aca="false">-X955</f>
        <v>-1.9752031273748</v>
      </c>
      <c r="Y661" s="432" t="n">
        <f aca="false">-Y955</f>
        <v>-1.55663930896327</v>
      </c>
      <c r="Z661" s="432" t="n">
        <f aca="false">-Z955</f>
        <v>-1.14351365103143</v>
      </c>
      <c r="AA661" s="432" t="n">
        <f aca="false">-AA955</f>
        <v>-0.874427280159617</v>
      </c>
      <c r="AB661" s="432" t="n">
        <f aca="false">-AB955</f>
        <v>-0.672671998471635</v>
      </c>
      <c r="AC661" s="432" t="n">
        <f aca="false">-AC955</f>
        <v>-0.555985560429433</v>
      </c>
    </row>
    <row r="662" customFormat="false" ht="11.25" hidden="false" customHeight="false" outlineLevel="0" collapsed="false">
      <c r="A662" s="67"/>
      <c r="B662" s="5" t="s">
        <v>933</v>
      </c>
      <c r="H662" s="67"/>
      <c r="I662" s="149" t="n">
        <f aca="false">I610</f>
        <v>0</v>
      </c>
      <c r="J662" s="149" t="n">
        <f aca="false">J610</f>
        <v>0</v>
      </c>
      <c r="K662" s="35" t="n">
        <f aca="false">K610</f>
        <v>0</v>
      </c>
      <c r="L662" s="35" t="n">
        <f aca="false">L610</f>
        <v>0</v>
      </c>
      <c r="M662" s="35" t="n">
        <f aca="false">M610</f>
        <v>0</v>
      </c>
      <c r="N662" s="35" t="n">
        <f aca="false">N610</f>
        <v>0</v>
      </c>
      <c r="O662" s="35" t="n">
        <f aca="false">O610</f>
        <v>0</v>
      </c>
      <c r="P662" s="35" t="n">
        <f aca="false">P610</f>
        <v>0</v>
      </c>
      <c r="Q662" s="35" t="n">
        <f aca="false">Q610</f>
        <v>0</v>
      </c>
      <c r="R662" s="35" t="n">
        <f aca="false">R610</f>
        <v>0</v>
      </c>
      <c r="S662" s="35" t="n">
        <f aca="false">S610</f>
        <v>0</v>
      </c>
      <c r="T662" s="35" t="n">
        <f aca="false">T610</f>
        <v>0</v>
      </c>
      <c r="U662" s="35" t="n">
        <f aca="false">U610</f>
        <v>0</v>
      </c>
      <c r="V662" s="35" t="n">
        <f aca="false">V610</f>
        <v>0</v>
      </c>
      <c r="W662" s="35" t="n">
        <f aca="false">W610</f>
        <v>0</v>
      </c>
      <c r="X662" s="35" t="n">
        <f aca="false">X610</f>
        <v>0</v>
      </c>
      <c r="Y662" s="35" t="n">
        <f aca="false">Y610</f>
        <v>0</v>
      </c>
      <c r="Z662" s="35" t="n">
        <f aca="false">Z610</f>
        <v>0</v>
      </c>
      <c r="AA662" s="35" t="n">
        <f aca="false">AA610</f>
        <v>0</v>
      </c>
      <c r="AB662" s="35" t="n">
        <f aca="false">AB610</f>
        <v>0</v>
      </c>
      <c r="AC662" s="35" t="n">
        <f aca="false">AC610</f>
        <v>0</v>
      </c>
    </row>
    <row r="663" customFormat="false" ht="11.25" hidden="false" customHeight="false" outlineLevel="0" collapsed="false">
      <c r="A663" s="67"/>
      <c r="B663" s="44" t="s">
        <v>934</v>
      </c>
      <c r="G663" s="67"/>
      <c r="H663" s="67"/>
      <c r="I663" s="149" t="n">
        <f aca="false">-I493</f>
        <v>-0</v>
      </c>
      <c r="J663" s="149" t="n">
        <f aca="false">-J493</f>
        <v>-0</v>
      </c>
      <c r="K663" s="149" t="n">
        <f aca="false">-K493</f>
        <v>-0</v>
      </c>
      <c r="L663" s="149" t="n">
        <f aca="false">-L493</f>
        <v>-0</v>
      </c>
      <c r="M663" s="149" t="n">
        <f aca="false">-M493</f>
        <v>-0</v>
      </c>
      <c r="N663" s="149" t="n">
        <f aca="false">-N493</f>
        <v>-0</v>
      </c>
      <c r="O663" s="149" t="n">
        <f aca="false">-O493</f>
        <v>-0</v>
      </c>
      <c r="P663" s="149" t="n">
        <f aca="false">-P493</f>
        <v>-0</v>
      </c>
      <c r="Q663" s="149" t="n">
        <f aca="false">-Q493</f>
        <v>-0</v>
      </c>
      <c r="R663" s="149" t="n">
        <f aca="false">-R493</f>
        <v>-0</v>
      </c>
      <c r="S663" s="149" t="n">
        <f aca="false">-S493</f>
        <v>-0</v>
      </c>
      <c r="T663" s="149" t="n">
        <f aca="false">-T493</f>
        <v>-0</v>
      </c>
      <c r="U663" s="149" t="n">
        <f aca="false">-U493</f>
        <v>-0</v>
      </c>
      <c r="V663" s="149" t="n">
        <f aca="false">-V493</f>
        <v>-0</v>
      </c>
      <c r="W663" s="149" t="n">
        <f aca="false">-W493</f>
        <v>-0</v>
      </c>
      <c r="X663" s="149" t="n">
        <f aca="false">-X493</f>
        <v>-0</v>
      </c>
      <c r="Y663" s="149" t="n">
        <f aca="false">-Y493</f>
        <v>-0</v>
      </c>
      <c r="Z663" s="149" t="n">
        <f aca="false">-Z493</f>
        <v>-0</v>
      </c>
      <c r="AA663" s="149" t="n">
        <f aca="false">-AA493</f>
        <v>-0</v>
      </c>
      <c r="AB663" s="149" t="n">
        <f aca="false">-AB493</f>
        <v>-0</v>
      </c>
      <c r="AC663" s="149" t="n">
        <f aca="false">-AC493</f>
        <v>-0</v>
      </c>
    </row>
    <row r="664" customFormat="false" ht="11.25" hidden="false" customHeight="false" outlineLevel="0" collapsed="false">
      <c r="A664" s="67"/>
      <c r="B664" s="5" t="s">
        <v>935</v>
      </c>
      <c r="H664" s="67"/>
      <c r="I664" s="149" t="n">
        <f aca="false">-I777</f>
        <v>-0</v>
      </c>
      <c r="J664" s="149" t="n">
        <f aca="false">-J777</f>
        <v>-0</v>
      </c>
      <c r="K664" s="149" t="n">
        <f aca="false">-K777</f>
        <v>-0</v>
      </c>
      <c r="L664" s="149" t="n">
        <f aca="false">-L777</f>
        <v>-0</v>
      </c>
      <c r="M664" s="149" t="n">
        <f aca="false">-M777</f>
        <v>-0</v>
      </c>
      <c r="N664" s="149" t="n">
        <f aca="false">-N777</f>
        <v>-0</v>
      </c>
      <c r="O664" s="149" t="n">
        <f aca="false">-O777</f>
        <v>-0</v>
      </c>
      <c r="P664" s="149" t="n">
        <f aca="false">-P777</f>
        <v>-0</v>
      </c>
      <c r="Q664" s="149" t="n">
        <f aca="false">-Q777</f>
        <v>-0</v>
      </c>
      <c r="R664" s="149" t="n">
        <f aca="false">-R777</f>
        <v>-0</v>
      </c>
      <c r="S664" s="149" t="n">
        <f aca="false">-S777</f>
        <v>-0</v>
      </c>
      <c r="T664" s="149" t="n">
        <f aca="false">-T777</f>
        <v>-0</v>
      </c>
      <c r="U664" s="149" t="n">
        <f aca="false">-U777</f>
        <v>-0</v>
      </c>
      <c r="V664" s="149" t="n">
        <f aca="false">-V777</f>
        <v>-0</v>
      </c>
      <c r="W664" s="149" t="n">
        <f aca="false">-W777</f>
        <v>-0</v>
      </c>
      <c r="X664" s="149" t="n">
        <f aca="false">-X777</f>
        <v>-0</v>
      </c>
      <c r="Y664" s="149" t="n">
        <f aca="false">-Y777</f>
        <v>-0</v>
      </c>
      <c r="Z664" s="149" t="n">
        <f aca="false">-Z777</f>
        <v>-0</v>
      </c>
      <c r="AA664" s="149" t="n">
        <f aca="false">-AA777</f>
        <v>-0</v>
      </c>
      <c r="AB664" s="149" t="n">
        <f aca="false">-AB777</f>
        <v>-0</v>
      </c>
      <c r="AC664" s="149" t="n">
        <f aca="false">-AC777</f>
        <v>-0</v>
      </c>
    </row>
    <row r="665" customFormat="false" ht="11.25" hidden="false" customHeight="false" outlineLevel="0" collapsed="false">
      <c r="A665" s="35" t="s">
        <v>936</v>
      </c>
      <c r="C665" s="417"/>
      <c r="D665" s="417"/>
      <c r="E665" s="417"/>
      <c r="F665" s="417"/>
      <c r="G665" s="417"/>
      <c r="H665" s="67"/>
      <c r="I665" s="419" t="e">
        <f aca="false">SUM(I654:I664)</f>
        <v>#VALUE!</v>
      </c>
      <c r="J665" s="419" t="e">
        <f aca="false">SUM(J654:J664)</f>
        <v>#VALUE!</v>
      </c>
      <c r="K665" s="419" t="e">
        <f aca="false">SUM(K654:K664)</f>
        <v>#VALUE!</v>
      </c>
      <c r="L665" s="419" t="e">
        <f aca="false">SUM(L654:L664)</f>
        <v>#VALUE!</v>
      </c>
      <c r="M665" s="419" t="e">
        <f aca="false">SUM(M654:M664)</f>
        <v>#VALUE!</v>
      </c>
      <c r="N665" s="419" t="e">
        <f aca="false">SUM(N654:N664)</f>
        <v>#VALUE!</v>
      </c>
      <c r="O665" s="419" t="e">
        <f aca="false">SUM(O654:O664)</f>
        <v>#VALUE!</v>
      </c>
      <c r="P665" s="419" t="e">
        <f aca="false">SUM(P654:P664)</f>
        <v>#VALUE!</v>
      </c>
      <c r="Q665" s="419" t="e">
        <f aca="false">SUM(Q654:Q664)</f>
        <v>#VALUE!</v>
      </c>
      <c r="R665" s="419" t="e">
        <f aca="false">SUM(R654:R664)</f>
        <v>#VALUE!</v>
      </c>
      <c r="S665" s="419" t="e">
        <f aca="false">SUM(S654:S664)</f>
        <v>#VALUE!</v>
      </c>
      <c r="T665" s="419" t="e">
        <f aca="false">SUM(T654:T664)</f>
        <v>#VALUE!</v>
      </c>
      <c r="U665" s="419" t="e">
        <f aca="false">SUM(U654:U664)</f>
        <v>#VALUE!</v>
      </c>
      <c r="V665" s="419" t="e">
        <f aca="false">SUM(V654:V664)</f>
        <v>#VALUE!</v>
      </c>
      <c r="W665" s="419" t="e">
        <f aca="false">SUM(W654:W664)</f>
        <v>#VALUE!</v>
      </c>
      <c r="X665" s="419" t="e">
        <f aca="false">SUM(X654:X664)</f>
        <v>#VALUE!</v>
      </c>
      <c r="Y665" s="419" t="e">
        <f aca="false">SUM(Y654:Y664)</f>
        <v>#VALUE!</v>
      </c>
      <c r="Z665" s="419" t="e">
        <f aca="false">SUM(Z654:Z664)</f>
        <v>#VALUE!</v>
      </c>
      <c r="AA665" s="419" t="e">
        <f aca="false">SUM(AA654:AA664)</f>
        <v>#VALUE!</v>
      </c>
      <c r="AB665" s="419" t="e">
        <f aca="false">SUM(AB654:AB664)</f>
        <v>#VALUE!</v>
      </c>
      <c r="AC665" s="419" t="e">
        <f aca="false">SUM(AC654:AC664)</f>
        <v>#VALUE!</v>
      </c>
    </row>
    <row r="666" customFormat="false" ht="11.25" hidden="false" customHeight="false" outlineLevel="0" collapsed="false">
      <c r="H666" s="67"/>
      <c r="I666" s="149"/>
    </row>
    <row r="667" customFormat="false" ht="11.25" hidden="false" customHeight="false" outlineLevel="0" collapsed="false">
      <c r="A667" s="35" t="s">
        <v>937</v>
      </c>
      <c r="H667" s="67"/>
      <c r="I667" s="149" t="n">
        <f aca="false">+F644</f>
        <v>8000</v>
      </c>
      <c r="J667" s="35" t="e">
        <f aca="false">I670</f>
        <v>#VALUE!</v>
      </c>
      <c r="K667" s="35" t="e">
        <f aca="false">J670</f>
        <v>#VALUE!</v>
      </c>
      <c r="L667" s="35" t="e">
        <f aca="false">K670</f>
        <v>#VALUE!</v>
      </c>
      <c r="M667" s="35" t="e">
        <f aca="false">L670</f>
        <v>#VALUE!</v>
      </c>
      <c r="N667" s="35" t="e">
        <f aca="false">M670</f>
        <v>#VALUE!</v>
      </c>
      <c r="O667" s="35" t="e">
        <f aca="false">N670</f>
        <v>#VALUE!</v>
      </c>
      <c r="P667" s="35" t="e">
        <f aca="false">O670</f>
        <v>#VALUE!</v>
      </c>
      <c r="Q667" s="35" t="e">
        <f aca="false">P670</f>
        <v>#VALUE!</v>
      </c>
      <c r="R667" s="35" t="e">
        <f aca="false">Q670</f>
        <v>#VALUE!</v>
      </c>
      <c r="S667" s="35" t="e">
        <f aca="false">R670</f>
        <v>#VALUE!</v>
      </c>
      <c r="T667" s="35" t="e">
        <f aca="false">S670</f>
        <v>#VALUE!</v>
      </c>
      <c r="U667" s="35" t="e">
        <f aca="false">T670</f>
        <v>#VALUE!</v>
      </c>
      <c r="V667" s="35" t="e">
        <f aca="false">U670</f>
        <v>#VALUE!</v>
      </c>
      <c r="W667" s="35" t="e">
        <f aca="false">V670</f>
        <v>#VALUE!</v>
      </c>
      <c r="X667" s="35" t="e">
        <f aca="false">W670</f>
        <v>#VALUE!</v>
      </c>
      <c r="Y667" s="35" t="e">
        <f aca="false">X670</f>
        <v>#VALUE!</v>
      </c>
      <c r="Z667" s="35" t="e">
        <f aca="false">Y670</f>
        <v>#VALUE!</v>
      </c>
      <c r="AA667" s="35" t="e">
        <f aca="false">Z670</f>
        <v>#VALUE!</v>
      </c>
      <c r="AB667" s="35" t="e">
        <f aca="false">AA670</f>
        <v>#VALUE!</v>
      </c>
      <c r="AC667" s="35" t="e">
        <f aca="false">AB670</f>
        <v>#VALUE!</v>
      </c>
    </row>
    <row r="668" customFormat="false" ht="11.25" hidden="false" customHeight="false" outlineLevel="0" collapsed="false">
      <c r="A668" s="35" t="s">
        <v>938</v>
      </c>
      <c r="H668" s="67"/>
      <c r="I668" s="149" t="e">
        <f aca="false">IF(I665&lt;=0,I665,0)</f>
        <v>#VALUE!</v>
      </c>
      <c r="J668" s="35" t="e">
        <f aca="false">IF(J665&lt;=0,J665,0)</f>
        <v>#VALUE!</v>
      </c>
      <c r="K668" s="35" t="e">
        <f aca="false">IF(K665&lt;=0,K665,0)</f>
        <v>#VALUE!</v>
      </c>
      <c r="L668" s="35" t="e">
        <f aca="false">IF(L665&lt;=0,L665,0)</f>
        <v>#VALUE!</v>
      </c>
      <c r="M668" s="35" t="e">
        <f aca="false">IF(M665&lt;=0,M665,0)</f>
        <v>#VALUE!</v>
      </c>
      <c r="N668" s="35" t="e">
        <f aca="false">IF(N665&lt;=0,N665,0)</f>
        <v>#VALUE!</v>
      </c>
      <c r="O668" s="35" t="e">
        <f aca="false">IF(O665&lt;=0,O665,0)</f>
        <v>#VALUE!</v>
      </c>
      <c r="P668" s="35" t="e">
        <f aca="false">IF(P665&lt;=0,P665,0)</f>
        <v>#VALUE!</v>
      </c>
      <c r="Q668" s="35" t="e">
        <f aca="false">IF(Q665&lt;=0,Q665,0)</f>
        <v>#VALUE!</v>
      </c>
      <c r="R668" s="35" t="e">
        <f aca="false">IF(R665&lt;=0,R665,0)</f>
        <v>#VALUE!</v>
      </c>
      <c r="S668" s="35" t="e">
        <f aca="false">IF(S665&lt;=0,S665,0)</f>
        <v>#VALUE!</v>
      </c>
      <c r="T668" s="35" t="e">
        <f aca="false">IF(T665&lt;=0,T665,0)</f>
        <v>#VALUE!</v>
      </c>
      <c r="U668" s="35" t="e">
        <f aca="false">IF(U665&lt;=0,U665,0)</f>
        <v>#VALUE!</v>
      </c>
      <c r="V668" s="35" t="e">
        <f aca="false">IF(V665&lt;=0,V665,0)</f>
        <v>#VALUE!</v>
      </c>
      <c r="W668" s="35" t="e">
        <f aca="false">IF(W665&lt;=0,W665,0)</f>
        <v>#VALUE!</v>
      </c>
      <c r="X668" s="35" t="e">
        <f aca="false">IF(X665&lt;=0,X665,0)</f>
        <v>#VALUE!</v>
      </c>
      <c r="Y668" s="35" t="e">
        <f aca="false">IF(Y665&lt;=0,Y665,0)</f>
        <v>#VALUE!</v>
      </c>
      <c r="Z668" s="35" t="e">
        <f aca="false">IF(Z665&lt;=0,Z665,0)</f>
        <v>#VALUE!</v>
      </c>
      <c r="AA668" s="35" t="e">
        <f aca="false">IF(AA665&lt;=0,AA665,0)</f>
        <v>#VALUE!</v>
      </c>
      <c r="AB668" s="35" t="e">
        <f aca="false">IF(AB665&lt;=0,AB665,0)</f>
        <v>#VALUE!</v>
      </c>
      <c r="AC668" s="35" t="e">
        <f aca="false">IF(AC665&lt;=0,AC665,0)</f>
        <v>#VALUE!</v>
      </c>
    </row>
    <row r="669" customFormat="false" ht="11.25" hidden="false" customHeight="false" outlineLevel="0" collapsed="false">
      <c r="A669" s="35" t="s">
        <v>939</v>
      </c>
      <c r="H669" s="67"/>
      <c r="I669" s="149" t="e">
        <f aca="false">IF(I665&gt;0,IF(I667&lt;=I665,I667,I665),0)</f>
        <v>#VALUE!</v>
      </c>
      <c r="J669" s="35" t="e">
        <f aca="false">IF(J665&gt;0,IF(J667&lt;=J665,J667,J665),0)</f>
        <v>#VALUE!</v>
      </c>
      <c r="K669" s="35" t="e">
        <f aca="false">IF(K665&gt;0,IF(K667&lt;=K665,K667,K665),0)</f>
        <v>#VALUE!</v>
      </c>
      <c r="L669" s="35" t="e">
        <f aca="false">IF(L665&gt;0,IF(L667&lt;=L665,L667,L665),0)</f>
        <v>#VALUE!</v>
      </c>
      <c r="M669" s="35" t="e">
        <f aca="false">IF(M665&gt;0,IF(M667&lt;=M665,M667,M665),0)</f>
        <v>#VALUE!</v>
      </c>
      <c r="N669" s="35" t="e">
        <f aca="false">IF(N665&gt;0,IF(N667&lt;=N665,N667,N665),0)</f>
        <v>#VALUE!</v>
      </c>
      <c r="O669" s="35" t="e">
        <f aca="false">IF(O665&gt;0,IF(O667&lt;=O665,O667,O665),0)</f>
        <v>#VALUE!</v>
      </c>
      <c r="P669" s="35" t="e">
        <f aca="false">IF(P665&gt;0,IF(P667&lt;=P665,P667,P665),0)</f>
        <v>#VALUE!</v>
      </c>
      <c r="Q669" s="35" t="e">
        <f aca="false">IF(Q665&gt;0,IF(Q667&lt;=Q665,Q667,Q665),0)</f>
        <v>#VALUE!</v>
      </c>
      <c r="R669" s="35" t="e">
        <f aca="false">IF(R665&gt;0,IF(R667&lt;=R665,R667,R665),0)</f>
        <v>#VALUE!</v>
      </c>
      <c r="S669" s="35" t="e">
        <f aca="false">IF(S665&gt;0,IF(S667&lt;=S665,S667,S665),0)</f>
        <v>#VALUE!</v>
      </c>
      <c r="T669" s="35" t="e">
        <f aca="false">IF(T665&gt;0,IF(T667&lt;=T665,T667,T665),0)</f>
        <v>#VALUE!</v>
      </c>
      <c r="U669" s="35" t="e">
        <f aca="false">IF(U665&gt;0,IF(U667&lt;=U665,U667,U665),0)</f>
        <v>#VALUE!</v>
      </c>
      <c r="V669" s="35" t="e">
        <f aca="false">IF(V665&gt;0,IF(V667&lt;=V665,V667,V665),0)</f>
        <v>#VALUE!</v>
      </c>
      <c r="W669" s="35" t="e">
        <f aca="false">IF(W665&gt;0,IF(W667&lt;=W665,W667,W665),0)</f>
        <v>#VALUE!</v>
      </c>
      <c r="X669" s="35" t="e">
        <f aca="false">IF(X665&gt;0,IF(X667&lt;=X665,X667,X665),0)</f>
        <v>#VALUE!</v>
      </c>
      <c r="Y669" s="35" t="e">
        <f aca="false">IF(Y665&gt;0,IF(Y667&lt;=Y665,Y667,Y665),0)</f>
        <v>#VALUE!</v>
      </c>
      <c r="Z669" s="35" t="e">
        <f aca="false">IF(Z665&gt;0,IF(Z667&lt;=Z665,Z667,Z665),0)</f>
        <v>#VALUE!</v>
      </c>
      <c r="AA669" s="35" t="e">
        <f aca="false">IF(AA665&gt;0,IF(AA667&lt;=AA665,AA667,AA665),0)</f>
        <v>#VALUE!</v>
      </c>
      <c r="AB669" s="35" t="e">
        <f aca="false">IF(AB665&gt;0,IF(AB667&lt;=AB665,AB667,AB665),0)</f>
        <v>#VALUE!</v>
      </c>
      <c r="AC669" s="35" t="e">
        <f aca="false">IF(AC665&gt;0,IF(AC667&lt;=AC665,AC667,AC665),0)</f>
        <v>#VALUE!</v>
      </c>
    </row>
    <row r="670" customFormat="false" ht="11.25" hidden="false" customHeight="false" outlineLevel="0" collapsed="false">
      <c r="A670" s="35" t="s">
        <v>940</v>
      </c>
      <c r="H670" s="67"/>
      <c r="I670" s="158" t="e">
        <f aca="false">I667-I668-I669</f>
        <v>#VALUE!</v>
      </c>
      <c r="J670" s="158" t="e">
        <f aca="false">J667-J668-J669</f>
        <v>#VALUE!</v>
      </c>
      <c r="K670" s="158" t="e">
        <f aca="false">K667-K668-K669</f>
        <v>#VALUE!</v>
      </c>
      <c r="L670" s="158" t="e">
        <f aca="false">L667-L668-L669</f>
        <v>#VALUE!</v>
      </c>
      <c r="M670" s="158" t="e">
        <f aca="false">M667-M668-M669</f>
        <v>#VALUE!</v>
      </c>
      <c r="N670" s="158" t="e">
        <f aca="false">N667-N668-N669</f>
        <v>#VALUE!</v>
      </c>
      <c r="O670" s="158" t="e">
        <f aca="false">O667-O668-O669</f>
        <v>#VALUE!</v>
      </c>
      <c r="P670" s="158" t="e">
        <f aca="false">P667-P668-P669</f>
        <v>#VALUE!</v>
      </c>
      <c r="Q670" s="158" t="e">
        <f aca="false">Q667-Q668-Q669</f>
        <v>#VALUE!</v>
      </c>
      <c r="R670" s="158" t="e">
        <f aca="false">R667-R668-R669</f>
        <v>#VALUE!</v>
      </c>
      <c r="S670" s="158" t="e">
        <f aca="false">S667-S668-S669</f>
        <v>#VALUE!</v>
      </c>
      <c r="T670" s="158" t="e">
        <f aca="false">T667-T668-T669</f>
        <v>#VALUE!</v>
      </c>
      <c r="U670" s="158" t="e">
        <f aca="false">U667-U668-U669</f>
        <v>#VALUE!</v>
      </c>
      <c r="V670" s="158" t="e">
        <f aca="false">V667-V668-V669</f>
        <v>#VALUE!</v>
      </c>
      <c r="W670" s="158" t="e">
        <f aca="false">W667-W668-W669</f>
        <v>#VALUE!</v>
      </c>
      <c r="X670" s="158" t="e">
        <f aca="false">X667-X668-X669</f>
        <v>#VALUE!</v>
      </c>
      <c r="Y670" s="158" t="e">
        <f aca="false">Y667-Y668-Y669</f>
        <v>#VALUE!</v>
      </c>
      <c r="Z670" s="158" t="e">
        <f aca="false">Z667-Z668-Z669</f>
        <v>#VALUE!</v>
      </c>
      <c r="AA670" s="158" t="e">
        <f aca="false">AA667-AA668-AA669</f>
        <v>#VALUE!</v>
      </c>
      <c r="AB670" s="158" t="e">
        <f aca="false">AB667-AB668-AB669</f>
        <v>#VALUE!</v>
      </c>
      <c r="AC670" s="158" t="e">
        <f aca="false">AC667-AC668-AC669</f>
        <v>#VALUE!</v>
      </c>
    </row>
    <row r="671" customFormat="false" ht="11.25" hidden="false" customHeight="false" outlineLevel="0" collapsed="false">
      <c r="H671" s="67"/>
      <c r="I671" s="149"/>
    </row>
    <row r="672" customFormat="false" ht="11.25" hidden="false" customHeight="false" outlineLevel="0" collapsed="false">
      <c r="A672" s="35" t="s">
        <v>941</v>
      </c>
      <c r="H672" s="67"/>
      <c r="I672" s="149" t="e">
        <f aca="false">IF(I665&lt;=0,0,I665-I669)</f>
        <v>#VALUE!</v>
      </c>
      <c r="J672" s="35" t="e">
        <f aca="false">IF(J665&lt;=0,0,J665-J669)</f>
        <v>#VALUE!</v>
      </c>
      <c r="K672" s="35" t="e">
        <f aca="false">IF(K665&lt;=0,0,K665-K669)</f>
        <v>#VALUE!</v>
      </c>
      <c r="L672" s="35" t="e">
        <f aca="false">IF(L665&lt;=0,0,L665-L669)</f>
        <v>#VALUE!</v>
      </c>
      <c r="M672" s="35" t="e">
        <f aca="false">IF(M665&lt;=0,0,M665-M669)</f>
        <v>#VALUE!</v>
      </c>
      <c r="N672" s="35" t="e">
        <f aca="false">IF(N665&lt;=0,0,N665-N669)</f>
        <v>#VALUE!</v>
      </c>
      <c r="O672" s="35" t="e">
        <f aca="false">IF(O665&lt;=0,0,O665-O669)</f>
        <v>#VALUE!</v>
      </c>
      <c r="P672" s="35" t="e">
        <f aca="false">IF(P665&lt;=0,0,P665-P669)</f>
        <v>#VALUE!</v>
      </c>
      <c r="Q672" s="35" t="e">
        <f aca="false">IF(Q665&lt;=0,0,Q665-Q669)</f>
        <v>#VALUE!</v>
      </c>
      <c r="R672" s="35" t="e">
        <f aca="false">IF(R665&lt;=0,0,R665-R669)</f>
        <v>#VALUE!</v>
      </c>
      <c r="S672" s="35" t="e">
        <f aca="false">IF(S665&lt;=0,0,S665-S669)</f>
        <v>#VALUE!</v>
      </c>
      <c r="T672" s="35" t="e">
        <f aca="false">IF(T665&lt;=0,0,T665-T669)</f>
        <v>#VALUE!</v>
      </c>
      <c r="U672" s="35" t="e">
        <f aca="false">IF(U665&lt;=0,0,U665-U669)</f>
        <v>#VALUE!</v>
      </c>
      <c r="V672" s="35" t="e">
        <f aca="false">IF(V665&lt;=0,0,V665-V669)</f>
        <v>#VALUE!</v>
      </c>
      <c r="W672" s="35" t="e">
        <f aca="false">IF(W665&lt;=0,0,W665-W669)</f>
        <v>#VALUE!</v>
      </c>
      <c r="X672" s="35" t="e">
        <f aca="false">IF(X665&lt;=0,0,X665-X669)</f>
        <v>#VALUE!</v>
      </c>
      <c r="Y672" s="35" t="e">
        <f aca="false">IF(Y665&lt;=0,0,Y665-Y669)</f>
        <v>#VALUE!</v>
      </c>
      <c r="Z672" s="35" t="e">
        <f aca="false">IF(Z665&lt;=0,0,Z665-Z669)</f>
        <v>#VALUE!</v>
      </c>
      <c r="AA672" s="35" t="e">
        <f aca="false">IF(AA665&lt;=0,0,AA665-AA669)</f>
        <v>#VALUE!</v>
      </c>
      <c r="AB672" s="35" t="e">
        <f aca="false">IF(AB665&lt;=0,0,AB665-AB669)</f>
        <v>#VALUE!</v>
      </c>
      <c r="AC672" s="35" t="e">
        <f aca="false">IF(AC665&lt;=0,0,AC665-AC669)</f>
        <v>#VALUE!</v>
      </c>
    </row>
    <row r="673" customFormat="false" ht="11.25" hidden="false" customHeight="false" outlineLevel="0" collapsed="false">
      <c r="H673" s="67"/>
      <c r="I673" s="149"/>
    </row>
    <row r="674" customFormat="false" ht="11.25" hidden="false" customHeight="false" outlineLevel="0" collapsed="false">
      <c r="A674" s="35" t="s">
        <v>942</v>
      </c>
      <c r="B674" s="67"/>
      <c r="C674" s="370" t="n">
        <f aca="false">I640</f>
        <v>0</v>
      </c>
      <c r="H674" s="67"/>
      <c r="I674" s="432" t="e">
        <f aca="false">I672*I640</f>
        <v>#VALUE!</v>
      </c>
      <c r="J674" s="417" t="e">
        <f aca="false">J672*J640</f>
        <v>#VALUE!</v>
      </c>
      <c r="K674" s="417" t="e">
        <f aca="false">K672*K640</f>
        <v>#VALUE!</v>
      </c>
      <c r="L674" s="417" t="e">
        <f aca="false">L672*L640</f>
        <v>#VALUE!</v>
      </c>
      <c r="M674" s="417" t="e">
        <f aca="false">M672*M640</f>
        <v>#VALUE!</v>
      </c>
      <c r="N674" s="417" t="e">
        <f aca="false">N672*N640</f>
        <v>#VALUE!</v>
      </c>
      <c r="O674" s="417" t="e">
        <f aca="false">O672*O640</f>
        <v>#VALUE!</v>
      </c>
      <c r="P674" s="417" t="e">
        <f aca="false">P672*P640</f>
        <v>#VALUE!</v>
      </c>
      <c r="Q674" s="417" t="e">
        <f aca="false">Q672*Q640</f>
        <v>#VALUE!</v>
      </c>
      <c r="R674" s="417" t="e">
        <f aca="false">R672*R640</f>
        <v>#VALUE!</v>
      </c>
      <c r="S674" s="417" t="e">
        <f aca="false">S672*S640</f>
        <v>#VALUE!</v>
      </c>
      <c r="T674" s="417" t="e">
        <f aca="false">T672*T640</f>
        <v>#VALUE!</v>
      </c>
      <c r="U674" s="417" t="e">
        <f aca="false">U672*U640</f>
        <v>#VALUE!</v>
      </c>
      <c r="V674" s="417" t="e">
        <f aca="false">V672*V640</f>
        <v>#VALUE!</v>
      </c>
      <c r="W674" s="417" t="e">
        <f aca="false">W672*W640</f>
        <v>#VALUE!</v>
      </c>
      <c r="X674" s="417" t="e">
        <f aca="false">X672*X640</f>
        <v>#VALUE!</v>
      </c>
      <c r="Y674" s="417" t="e">
        <f aca="false">Y672*Y640</f>
        <v>#VALUE!</v>
      </c>
      <c r="Z674" s="417" t="e">
        <f aca="false">Z672*Z640</f>
        <v>#VALUE!</v>
      </c>
      <c r="AA674" s="417" t="e">
        <f aca="false">AA672*AA640</f>
        <v>#VALUE!</v>
      </c>
      <c r="AB674" s="417" t="e">
        <f aca="false">AB672*AB640</f>
        <v>#VALUE!</v>
      </c>
      <c r="AC674" s="417" t="e">
        <f aca="false">AC672*AC640</f>
        <v>#VALUE!</v>
      </c>
    </row>
    <row r="675" customFormat="false" ht="11.25" hidden="false" customHeight="false" outlineLevel="0" collapsed="false">
      <c r="A675" s="35" t="s">
        <v>943</v>
      </c>
      <c r="B675" s="67"/>
      <c r="C675" s="370" t="n">
        <f aca="false">I639</f>
        <v>0.34</v>
      </c>
      <c r="H675" s="67"/>
      <c r="I675" s="149" t="e">
        <f aca="false">(I672-I674)*I639</f>
        <v>#VALUE!</v>
      </c>
      <c r="J675" s="35" t="e">
        <f aca="false">(J672-J674)*J639</f>
        <v>#VALUE!</v>
      </c>
      <c r="K675" s="35" t="e">
        <f aca="false">(K672-K674)*K639</f>
        <v>#VALUE!</v>
      </c>
      <c r="L675" s="35" t="e">
        <f aca="false">(L672-L674)*L639</f>
        <v>#VALUE!</v>
      </c>
      <c r="M675" s="35" t="e">
        <f aca="false">(M672-M674)*M639</f>
        <v>#VALUE!</v>
      </c>
      <c r="N675" s="35" t="e">
        <f aca="false">(N672-N674)*N639</f>
        <v>#VALUE!</v>
      </c>
      <c r="O675" s="35" t="e">
        <f aca="false">(O672-O674)*O639</f>
        <v>#VALUE!</v>
      </c>
      <c r="P675" s="35" t="e">
        <f aca="false">(P672-P674)*P639</f>
        <v>#VALUE!</v>
      </c>
      <c r="Q675" s="35" t="e">
        <f aca="false">(Q672-Q674)*Q639</f>
        <v>#VALUE!</v>
      </c>
      <c r="R675" s="35" t="e">
        <f aca="false">(R672-R674)*R639</f>
        <v>#VALUE!</v>
      </c>
      <c r="S675" s="35" t="e">
        <f aca="false">(S672-S674)*S639</f>
        <v>#VALUE!</v>
      </c>
      <c r="T675" s="35" t="e">
        <f aca="false">(T672-T674)*T639</f>
        <v>#VALUE!</v>
      </c>
      <c r="U675" s="35" t="e">
        <f aca="false">(U672-U674)*U639</f>
        <v>#VALUE!</v>
      </c>
      <c r="V675" s="35" t="e">
        <f aca="false">(V672-V674)*V639</f>
        <v>#VALUE!</v>
      </c>
      <c r="W675" s="35" t="e">
        <f aca="false">(W672-W674)*W639</f>
        <v>#VALUE!</v>
      </c>
      <c r="X675" s="35" t="e">
        <f aca="false">(X672-X674)*X639</f>
        <v>#VALUE!</v>
      </c>
      <c r="Y675" s="35" t="e">
        <f aca="false">(Y672-Y674)*Y639</f>
        <v>#VALUE!</v>
      </c>
      <c r="Z675" s="35" t="e">
        <f aca="false">(Z672-Z674)*Z639</f>
        <v>#VALUE!</v>
      </c>
      <c r="AA675" s="35" t="e">
        <f aca="false">(AA672-AA674)*AA639</f>
        <v>#VALUE!</v>
      </c>
      <c r="AB675" s="35" t="e">
        <f aca="false">(AB672-AB674)*AB639</f>
        <v>#VALUE!</v>
      </c>
      <c r="AC675" s="35" t="e">
        <f aca="false">(AC672-AC674)*AC639</f>
        <v>#VALUE!</v>
      </c>
    </row>
    <row r="676" customFormat="false" ht="12" hidden="false" customHeight="false" outlineLevel="0" collapsed="false">
      <c r="A676" s="35" t="s">
        <v>944</v>
      </c>
      <c r="C676" s="417"/>
      <c r="D676" s="417"/>
      <c r="E676" s="417"/>
      <c r="F676" s="417"/>
      <c r="G676" s="417"/>
      <c r="H676" s="67"/>
      <c r="I676" s="388" t="e">
        <f aca="false">I674+I675</f>
        <v>#VALUE!</v>
      </c>
      <c r="J676" s="388" t="e">
        <f aca="false">J674+J675</f>
        <v>#VALUE!</v>
      </c>
      <c r="K676" s="388" t="e">
        <f aca="false">K674+K675</f>
        <v>#VALUE!</v>
      </c>
      <c r="L676" s="388" t="e">
        <f aca="false">L674+L675</f>
        <v>#VALUE!</v>
      </c>
      <c r="M676" s="388" t="e">
        <f aca="false">M674+M675</f>
        <v>#VALUE!</v>
      </c>
      <c r="N676" s="388" t="e">
        <f aca="false">N674+N675</f>
        <v>#VALUE!</v>
      </c>
      <c r="O676" s="388" t="e">
        <f aca="false">O674+O675</f>
        <v>#VALUE!</v>
      </c>
      <c r="P676" s="388" t="e">
        <f aca="false">P674+P675</f>
        <v>#VALUE!</v>
      </c>
      <c r="Q676" s="388" t="e">
        <f aca="false">Q674+Q675</f>
        <v>#VALUE!</v>
      </c>
      <c r="R676" s="388" t="e">
        <f aca="false">R674+R675</f>
        <v>#VALUE!</v>
      </c>
      <c r="S676" s="388" t="e">
        <f aca="false">S674+S675</f>
        <v>#VALUE!</v>
      </c>
      <c r="T676" s="388" t="e">
        <f aca="false">T674+T675</f>
        <v>#VALUE!</v>
      </c>
      <c r="U676" s="388" t="e">
        <f aca="false">U674+U675</f>
        <v>#VALUE!</v>
      </c>
      <c r="V676" s="388" t="e">
        <f aca="false">V674+V675</f>
        <v>#VALUE!</v>
      </c>
      <c r="W676" s="388" t="e">
        <f aca="false">W674+W675</f>
        <v>#VALUE!</v>
      </c>
      <c r="X676" s="388" t="e">
        <f aca="false">X674+X675</f>
        <v>#VALUE!</v>
      </c>
      <c r="Y676" s="388" t="e">
        <f aca="false">Y674+Y675</f>
        <v>#VALUE!</v>
      </c>
      <c r="Z676" s="388" t="e">
        <f aca="false">Z674+Z675</f>
        <v>#VALUE!</v>
      </c>
      <c r="AA676" s="388" t="e">
        <f aca="false">AA674+AA675</f>
        <v>#VALUE!</v>
      </c>
      <c r="AB676" s="388" t="e">
        <f aca="false">AB674+AB675</f>
        <v>#VALUE!</v>
      </c>
      <c r="AC676" s="388" t="e">
        <f aca="false">AC674+AC675</f>
        <v>#VALUE!</v>
      </c>
    </row>
    <row r="677" customFormat="false" ht="12" hidden="false" customHeight="false" outlineLevel="0" collapsed="false">
      <c r="I677" s="439"/>
    </row>
    <row r="678" customFormat="false" ht="12" hidden="false" customHeight="false" outlineLevel="0" collapsed="false">
      <c r="C678" s="417"/>
      <c r="D678" s="417"/>
      <c r="E678" s="417"/>
      <c r="F678" s="417"/>
      <c r="G678" s="417"/>
      <c r="H678" s="417"/>
      <c r="I678" s="432"/>
      <c r="J678" s="432"/>
      <c r="K678" s="432"/>
      <c r="L678" s="432"/>
      <c r="M678" s="432"/>
      <c r="N678" s="432"/>
      <c r="O678" s="432"/>
      <c r="P678" s="432"/>
      <c r="Q678" s="432"/>
      <c r="R678" s="432"/>
      <c r="S678" s="432"/>
      <c r="T678" s="432"/>
      <c r="U678" s="432"/>
      <c r="V678" s="432"/>
      <c r="W678" s="432"/>
      <c r="X678" s="432"/>
      <c r="Y678" s="67"/>
      <c r="Z678" s="67"/>
      <c r="AA678" s="67"/>
      <c r="AB678" s="67"/>
      <c r="AC678" s="67"/>
    </row>
    <row r="679" customFormat="false" ht="12" hidden="false" customHeight="false" outlineLevel="0" collapsed="false">
      <c r="A679" s="536"/>
      <c r="B679" s="536"/>
      <c r="C679" s="537"/>
      <c r="D679" s="537"/>
      <c r="E679" s="537"/>
      <c r="F679" s="537"/>
      <c r="G679" s="537"/>
      <c r="H679" s="130"/>
      <c r="I679" s="130"/>
      <c r="J679" s="130"/>
      <c r="K679" s="538"/>
      <c r="L679" s="539"/>
      <c r="M679" s="537"/>
      <c r="N679" s="537"/>
      <c r="O679" s="537"/>
      <c r="P679" s="537"/>
      <c r="Q679" s="537"/>
      <c r="R679" s="537" t="s">
        <v>945</v>
      </c>
      <c r="S679" s="537"/>
      <c r="T679" s="536"/>
      <c r="U679" s="536"/>
      <c r="V679" s="536"/>
      <c r="W679" s="536"/>
      <c r="X679" s="536"/>
      <c r="Y679" s="536"/>
      <c r="Z679" s="536"/>
      <c r="AA679" s="536"/>
      <c r="AB679" s="536"/>
      <c r="AC679" s="536"/>
    </row>
    <row r="680" customFormat="false" ht="11.25" hidden="false" customHeight="false" outlineLevel="0" collapsed="false">
      <c r="A680" s="4" t="s">
        <v>946</v>
      </c>
      <c r="C680" s="417"/>
      <c r="D680" s="417"/>
      <c r="E680" s="417"/>
      <c r="F680" s="417"/>
      <c r="G680" s="417"/>
      <c r="H680" s="67"/>
      <c r="I680" s="67"/>
      <c r="J680" s="67"/>
      <c r="K680" s="417"/>
      <c r="L680" s="540"/>
      <c r="M680" s="417"/>
      <c r="N680" s="417"/>
      <c r="O680" s="417"/>
      <c r="P680" s="417"/>
      <c r="Q680" s="417"/>
      <c r="R680" s="417"/>
      <c r="S680" s="417"/>
    </row>
    <row r="681" customFormat="false" ht="11.25" hidden="false" customHeight="false" outlineLevel="0" collapsed="false">
      <c r="A681" s="35" t="str">
        <f aca="false">A654</f>
        <v>Income before Taxes</v>
      </c>
      <c r="C681" s="417"/>
      <c r="D681" s="417"/>
      <c r="E681" s="417"/>
      <c r="F681" s="417"/>
      <c r="G681" s="417"/>
      <c r="H681" s="67"/>
      <c r="I681" s="432" t="e">
        <f aca="false">I104</f>
        <v>#VALUE!</v>
      </c>
      <c r="J681" s="417" t="e">
        <f aca="false">J101</f>
        <v>#VALUE!</v>
      </c>
      <c r="K681" s="417" t="e">
        <f aca="false">K104</f>
        <v>#VALUE!</v>
      </c>
      <c r="L681" s="417" t="e">
        <f aca="false">L104</f>
        <v>#VALUE!</v>
      </c>
      <c r="M681" s="417" t="e">
        <f aca="false">M104</f>
        <v>#VALUE!</v>
      </c>
      <c r="N681" s="417" t="e">
        <f aca="false">N104</f>
        <v>#VALUE!</v>
      </c>
      <c r="O681" s="417" t="e">
        <f aca="false">O104</f>
        <v>#VALUE!</v>
      </c>
      <c r="P681" s="417" t="e">
        <f aca="false">P104</f>
        <v>#VALUE!</v>
      </c>
      <c r="Q681" s="417" t="e">
        <f aca="false">Q104</f>
        <v>#VALUE!</v>
      </c>
      <c r="R681" s="417" t="e">
        <f aca="false">R104</f>
        <v>#VALUE!</v>
      </c>
      <c r="S681" s="417" t="e">
        <f aca="false">S104</f>
        <v>#VALUE!</v>
      </c>
      <c r="T681" s="417" t="e">
        <f aca="false">T104</f>
        <v>#VALUE!</v>
      </c>
      <c r="U681" s="417" t="e">
        <f aca="false">U104</f>
        <v>#VALUE!</v>
      </c>
      <c r="V681" s="417" t="e">
        <f aca="false">V104</f>
        <v>#VALUE!</v>
      </c>
      <c r="W681" s="417" t="e">
        <f aca="false">W104</f>
        <v>#VALUE!</v>
      </c>
      <c r="X681" s="417" t="e">
        <f aca="false">X104</f>
        <v>#VALUE!</v>
      </c>
      <c r="Y681" s="417" t="e">
        <f aca="false">Y104</f>
        <v>#VALUE!</v>
      </c>
      <c r="Z681" s="417" t="e">
        <f aca="false">Z104</f>
        <v>#VALUE!</v>
      </c>
      <c r="AA681" s="417" t="e">
        <f aca="false">AA104</f>
        <v>#VALUE!</v>
      </c>
      <c r="AB681" s="417" t="e">
        <f aca="false">AB104</f>
        <v>#VALUE!</v>
      </c>
      <c r="AC681" s="417" t="e">
        <f aca="false">AC104</f>
        <v>#VALUE!</v>
      </c>
    </row>
    <row r="682" customFormat="false" ht="11.25" hidden="false" customHeight="false" outlineLevel="0" collapsed="false">
      <c r="A682" s="35" t="s">
        <v>947</v>
      </c>
      <c r="C682" s="417"/>
      <c r="D682" s="417"/>
      <c r="E682" s="417"/>
      <c r="F682" s="417"/>
      <c r="G682" s="417"/>
      <c r="H682" s="67"/>
      <c r="I682" s="432" t="n">
        <f aca="false">I78</f>
        <v>0</v>
      </c>
      <c r="J682" s="417" t="n">
        <f aca="false">J78</f>
        <v>0</v>
      </c>
      <c r="K682" s="417" t="n">
        <f aca="false">K78</f>
        <v>0</v>
      </c>
      <c r="L682" s="417" t="n">
        <f aca="false">L78</f>
        <v>0</v>
      </c>
      <c r="M682" s="417" t="n">
        <f aca="false">M78</f>
        <v>0</v>
      </c>
      <c r="N682" s="417" t="n">
        <f aca="false">N78</f>
        <v>0</v>
      </c>
      <c r="O682" s="417" t="n">
        <f aca="false">O78</f>
        <v>0</v>
      </c>
      <c r="P682" s="417" t="n">
        <f aca="false">P78</f>
        <v>0</v>
      </c>
      <c r="Q682" s="417" t="n">
        <f aca="false">Q78</f>
        <v>0</v>
      </c>
      <c r="R682" s="417" t="n">
        <f aca="false">R78</f>
        <v>0</v>
      </c>
      <c r="S682" s="417" t="n">
        <f aca="false">S78</f>
        <v>0</v>
      </c>
      <c r="T682" s="417" t="n">
        <f aca="false">T78</f>
        <v>0</v>
      </c>
      <c r="U682" s="417" t="n">
        <f aca="false">U78</f>
        <v>0</v>
      </c>
      <c r="V682" s="417" t="n">
        <f aca="false">V78</f>
        <v>0</v>
      </c>
      <c r="W682" s="417" t="n">
        <f aca="false">W78</f>
        <v>0</v>
      </c>
      <c r="X682" s="417" t="n">
        <f aca="false">X78</f>
        <v>0</v>
      </c>
      <c r="Y682" s="417" t="n">
        <f aca="false">Y78</f>
        <v>0</v>
      </c>
      <c r="Z682" s="417" t="n">
        <f aca="false">Z78</f>
        <v>0</v>
      </c>
      <c r="AA682" s="417" t="n">
        <f aca="false">AA78</f>
        <v>0</v>
      </c>
      <c r="AB682" s="417" t="n">
        <f aca="false">AB78</f>
        <v>0</v>
      </c>
      <c r="AC682" s="417" t="n">
        <f aca="false">AC78</f>
        <v>0</v>
      </c>
    </row>
    <row r="683" customFormat="false" ht="11.25" hidden="false" customHeight="false" outlineLevel="0" collapsed="false">
      <c r="A683" s="43" t="s">
        <v>948</v>
      </c>
      <c r="C683" s="417"/>
      <c r="D683" s="417"/>
      <c r="E683" s="417"/>
      <c r="F683" s="417"/>
      <c r="G683" s="417"/>
      <c r="H683" s="67"/>
      <c r="I683" s="419" t="e">
        <f aca="false">I681+I682</f>
        <v>#VALUE!</v>
      </c>
      <c r="J683" s="419" t="e">
        <f aca="false">J681+J682</f>
        <v>#VALUE!</v>
      </c>
      <c r="K683" s="419" t="e">
        <f aca="false">K681+K682</f>
        <v>#VALUE!</v>
      </c>
      <c r="L683" s="419" t="e">
        <f aca="false">L681+L682</f>
        <v>#VALUE!</v>
      </c>
      <c r="M683" s="419" t="e">
        <f aca="false">M681+M682</f>
        <v>#VALUE!</v>
      </c>
      <c r="N683" s="419" t="e">
        <f aca="false">N681+N682</f>
        <v>#VALUE!</v>
      </c>
      <c r="O683" s="419" t="e">
        <f aca="false">O681+O682</f>
        <v>#VALUE!</v>
      </c>
      <c r="P683" s="419" t="e">
        <f aca="false">P681+P682</f>
        <v>#VALUE!</v>
      </c>
      <c r="Q683" s="419" t="e">
        <f aca="false">Q681+Q682</f>
        <v>#VALUE!</v>
      </c>
      <c r="R683" s="419" t="e">
        <f aca="false">R681+R682</f>
        <v>#VALUE!</v>
      </c>
      <c r="S683" s="419" t="e">
        <f aca="false">S681+S682</f>
        <v>#VALUE!</v>
      </c>
      <c r="T683" s="419" t="e">
        <f aca="false">T681+T682</f>
        <v>#VALUE!</v>
      </c>
      <c r="U683" s="419" t="e">
        <f aca="false">U681+U682</f>
        <v>#VALUE!</v>
      </c>
      <c r="V683" s="419" t="e">
        <f aca="false">V681+V682</f>
        <v>#VALUE!</v>
      </c>
      <c r="W683" s="419" t="e">
        <f aca="false">W681+W682</f>
        <v>#VALUE!</v>
      </c>
      <c r="X683" s="419" t="e">
        <f aca="false">X681+X682</f>
        <v>#VALUE!</v>
      </c>
      <c r="Y683" s="419" t="e">
        <f aca="false">Y681+Y682</f>
        <v>#VALUE!</v>
      </c>
      <c r="Z683" s="419" t="e">
        <f aca="false">Z681+Z682</f>
        <v>#VALUE!</v>
      </c>
      <c r="AA683" s="419" t="e">
        <f aca="false">AA681+AA682</f>
        <v>#VALUE!</v>
      </c>
      <c r="AB683" s="419" t="e">
        <f aca="false">AB681+AB682</f>
        <v>#VALUE!</v>
      </c>
      <c r="AC683" s="419" t="e">
        <f aca="false">AC681+AC682</f>
        <v>#VALUE!</v>
      </c>
    </row>
    <row r="684" customFormat="false" ht="11.25" hidden="false" customHeight="false" outlineLevel="0" collapsed="false">
      <c r="C684" s="417"/>
      <c r="D684" s="417"/>
      <c r="E684" s="417"/>
      <c r="F684" s="417"/>
      <c r="G684" s="417"/>
      <c r="H684" s="67"/>
      <c r="I684" s="432"/>
      <c r="J684" s="417"/>
      <c r="K684" s="417"/>
      <c r="L684" s="417"/>
      <c r="M684" s="417"/>
      <c r="N684" s="417"/>
      <c r="O684" s="417"/>
      <c r="P684" s="417"/>
      <c r="Q684" s="417"/>
      <c r="R684" s="417"/>
      <c r="S684" s="417"/>
      <c r="T684" s="417"/>
      <c r="U684" s="417"/>
      <c r="V684" s="417"/>
      <c r="W684" s="417"/>
      <c r="X684" s="417"/>
      <c r="Y684" s="417"/>
      <c r="Z684" s="417"/>
      <c r="AA684" s="417"/>
      <c r="AB684" s="417"/>
      <c r="AC684" s="417"/>
    </row>
    <row r="685" customFormat="false" ht="11.25" hidden="false" customHeight="false" outlineLevel="0" collapsed="false">
      <c r="A685" s="35" t="s">
        <v>937</v>
      </c>
      <c r="H685" s="67"/>
      <c r="I685" s="149" t="n">
        <f aca="false">+F643</f>
        <v>14000</v>
      </c>
      <c r="J685" s="35" t="e">
        <f aca="false">I688</f>
        <v>#VALUE!</v>
      </c>
      <c r="K685" s="35" t="e">
        <f aca="false">J688</f>
        <v>#VALUE!</v>
      </c>
      <c r="L685" s="35" t="e">
        <f aca="false">K688</f>
        <v>#VALUE!</v>
      </c>
      <c r="M685" s="35" t="e">
        <f aca="false">L688</f>
        <v>#VALUE!</v>
      </c>
      <c r="N685" s="35" t="e">
        <f aca="false">M688</f>
        <v>#VALUE!</v>
      </c>
      <c r="O685" s="35" t="e">
        <f aca="false">N688</f>
        <v>#VALUE!</v>
      </c>
      <c r="P685" s="35" t="e">
        <f aca="false">O688</f>
        <v>#VALUE!</v>
      </c>
      <c r="Q685" s="35" t="e">
        <f aca="false">P688</f>
        <v>#VALUE!</v>
      </c>
      <c r="R685" s="35" t="e">
        <f aca="false">Q688</f>
        <v>#VALUE!</v>
      </c>
      <c r="S685" s="35" t="e">
        <f aca="false">R688</f>
        <v>#VALUE!</v>
      </c>
      <c r="T685" s="35" t="e">
        <f aca="false">S688</f>
        <v>#VALUE!</v>
      </c>
      <c r="U685" s="35" t="e">
        <f aca="false">T688</f>
        <v>#VALUE!</v>
      </c>
      <c r="V685" s="35" t="e">
        <f aca="false">U688</f>
        <v>#VALUE!</v>
      </c>
      <c r="W685" s="35" t="e">
        <f aca="false">V688</f>
        <v>#VALUE!</v>
      </c>
      <c r="X685" s="35" t="e">
        <f aca="false">W688</f>
        <v>#VALUE!</v>
      </c>
      <c r="Y685" s="35" t="e">
        <f aca="false">X688</f>
        <v>#VALUE!</v>
      </c>
      <c r="Z685" s="35" t="e">
        <f aca="false">Y688</f>
        <v>#VALUE!</v>
      </c>
      <c r="AA685" s="35" t="e">
        <f aca="false">Z688</f>
        <v>#VALUE!</v>
      </c>
      <c r="AB685" s="35" t="e">
        <f aca="false">AA688</f>
        <v>#VALUE!</v>
      </c>
      <c r="AC685" s="35" t="e">
        <f aca="false">AB688</f>
        <v>#VALUE!</v>
      </c>
    </row>
    <row r="686" customFormat="false" ht="11.25" hidden="false" customHeight="false" outlineLevel="0" collapsed="false">
      <c r="A686" s="35" t="s">
        <v>938</v>
      </c>
      <c r="H686" s="67"/>
      <c r="I686" s="149" t="e">
        <f aca="false">IF(I683&lt;=0,I683,0)</f>
        <v>#VALUE!</v>
      </c>
      <c r="J686" s="35" t="e">
        <f aca="false">IF(J683&lt;=0,J683,0)</f>
        <v>#VALUE!</v>
      </c>
      <c r="K686" s="35" t="e">
        <f aca="false">IF(K683&lt;=0,K683,0)</f>
        <v>#VALUE!</v>
      </c>
      <c r="L686" s="35" t="e">
        <f aca="false">IF(L683&lt;=0,L683,0)</f>
        <v>#VALUE!</v>
      </c>
      <c r="M686" s="35" t="e">
        <f aca="false">IF(M683&lt;=0,M683,0)</f>
        <v>#VALUE!</v>
      </c>
      <c r="N686" s="35" t="e">
        <f aca="false">IF(N683&lt;=0,N683,0)</f>
        <v>#VALUE!</v>
      </c>
      <c r="O686" s="35" t="e">
        <f aca="false">IF(O683&lt;=0,O683,0)</f>
        <v>#VALUE!</v>
      </c>
      <c r="P686" s="35" t="e">
        <f aca="false">IF(P683&lt;=0,P683,0)</f>
        <v>#VALUE!</v>
      </c>
      <c r="Q686" s="35" t="e">
        <f aca="false">IF(Q683&lt;=0,Q683,0)</f>
        <v>#VALUE!</v>
      </c>
      <c r="R686" s="35" t="e">
        <f aca="false">IF(R683&lt;=0,R683,0)</f>
        <v>#VALUE!</v>
      </c>
      <c r="S686" s="35" t="e">
        <f aca="false">IF(S683&lt;=0,S683,0)</f>
        <v>#VALUE!</v>
      </c>
      <c r="T686" s="35" t="e">
        <f aca="false">IF(T683&lt;=0,T683,0)</f>
        <v>#VALUE!</v>
      </c>
      <c r="U686" s="35" t="e">
        <f aca="false">IF(U683&lt;=0,U683,0)</f>
        <v>#VALUE!</v>
      </c>
      <c r="V686" s="35" t="e">
        <f aca="false">IF(V683&lt;=0,V683,0)</f>
        <v>#VALUE!</v>
      </c>
      <c r="W686" s="35" t="e">
        <f aca="false">IF(W683&lt;=0,W683,0)</f>
        <v>#VALUE!</v>
      </c>
      <c r="X686" s="35" t="e">
        <f aca="false">IF(X683&lt;=0,X683,0)</f>
        <v>#VALUE!</v>
      </c>
      <c r="Y686" s="35" t="e">
        <f aca="false">IF(Y683&lt;=0,Y683,0)</f>
        <v>#VALUE!</v>
      </c>
      <c r="Z686" s="35" t="e">
        <f aca="false">IF(Z683&lt;=0,Z683,0)</f>
        <v>#VALUE!</v>
      </c>
      <c r="AA686" s="35" t="e">
        <f aca="false">IF(AA683&lt;=0,AA683,0)</f>
        <v>#VALUE!</v>
      </c>
      <c r="AB686" s="35" t="e">
        <f aca="false">IF(AB683&lt;=0,AB683,0)</f>
        <v>#VALUE!</v>
      </c>
      <c r="AC686" s="35" t="e">
        <f aca="false">IF(AC683&lt;=0,AC683,0)</f>
        <v>#VALUE!</v>
      </c>
    </row>
    <row r="687" customFormat="false" ht="11.25" hidden="false" customHeight="false" outlineLevel="0" collapsed="false">
      <c r="A687" s="35" t="s">
        <v>939</v>
      </c>
      <c r="H687" s="67"/>
      <c r="I687" s="149" t="e">
        <f aca="false">IF(I683&gt;0,IF(I685&lt;=I683,I685,I683),0)</f>
        <v>#VALUE!</v>
      </c>
      <c r="J687" s="35" t="e">
        <f aca="false">IF(J683&gt;0,IF(J685&lt;=J683,J685,J683),0)</f>
        <v>#VALUE!</v>
      </c>
      <c r="K687" s="35" t="e">
        <f aca="false">IF(K683&gt;0,IF(K685&lt;=K683,K685,K683),0)</f>
        <v>#VALUE!</v>
      </c>
      <c r="L687" s="35" t="e">
        <f aca="false">IF(L683&gt;0,IF(L685&lt;=L683,L685,L683),0)</f>
        <v>#VALUE!</v>
      </c>
      <c r="M687" s="35" t="e">
        <f aca="false">IF(M683&gt;0,IF(M685&lt;=M683,M685,M683),0)</f>
        <v>#VALUE!</v>
      </c>
      <c r="N687" s="35" t="e">
        <f aca="false">IF(N683&gt;0,IF(N685&lt;=N683,N685,N683),0)</f>
        <v>#VALUE!</v>
      </c>
      <c r="O687" s="35" t="e">
        <f aca="false">IF(O683&gt;0,IF(O685&lt;=O683,O685,O683),0)</f>
        <v>#VALUE!</v>
      </c>
      <c r="P687" s="35" t="e">
        <f aca="false">IF(P683&gt;0,IF(P685&lt;=P683,P685,P683),0)</f>
        <v>#VALUE!</v>
      </c>
      <c r="Q687" s="35" t="e">
        <f aca="false">IF(Q683&gt;0,IF(Q685&lt;=Q683,Q685,Q683),0)</f>
        <v>#VALUE!</v>
      </c>
      <c r="R687" s="35" t="e">
        <f aca="false">IF(R683&gt;0,IF(R685&lt;=R683,R685,R683),0)</f>
        <v>#VALUE!</v>
      </c>
      <c r="S687" s="35" t="e">
        <f aca="false">IF(S683&gt;0,IF(S685&lt;=S683,S685,S683),0)</f>
        <v>#VALUE!</v>
      </c>
      <c r="T687" s="35" t="e">
        <f aca="false">IF(T683&gt;0,IF(T685&lt;=T683,T685,T683),0)</f>
        <v>#VALUE!</v>
      </c>
      <c r="U687" s="35" t="e">
        <f aca="false">IF(U683&gt;0,IF(U685&lt;=U683,U685,U683),0)</f>
        <v>#VALUE!</v>
      </c>
      <c r="V687" s="35" t="e">
        <f aca="false">IF(V683&gt;0,IF(V685&lt;=V683,V685,V683),0)</f>
        <v>#VALUE!</v>
      </c>
      <c r="W687" s="35" t="e">
        <f aca="false">IF(W683&gt;0,IF(W685&lt;=W683,W685,W683),0)</f>
        <v>#VALUE!</v>
      </c>
      <c r="X687" s="35" t="e">
        <f aca="false">IF(X683&gt;0,IF(X685&lt;=X683,X685,X683),0)</f>
        <v>#VALUE!</v>
      </c>
      <c r="Y687" s="35" t="e">
        <f aca="false">IF(Y683&gt;0,IF(Y685&lt;=Y683,Y685,Y683),0)</f>
        <v>#VALUE!</v>
      </c>
      <c r="Z687" s="35" t="e">
        <f aca="false">IF(Z683&gt;0,IF(Z685&lt;=Z683,Z685,Z683),0)</f>
        <v>#VALUE!</v>
      </c>
      <c r="AA687" s="35" t="e">
        <f aca="false">IF(AA683&gt;0,IF(AA685&lt;=AA683,AA685,AA683),0)</f>
        <v>#VALUE!</v>
      </c>
      <c r="AB687" s="35" t="e">
        <f aca="false">IF(AB683&gt;0,IF(AB685&lt;=AB683,AB685,AB683),0)</f>
        <v>#VALUE!</v>
      </c>
      <c r="AC687" s="35" t="e">
        <f aca="false">IF(AC683&gt;0,IF(AC685&lt;=AC683,AC685,AC683),0)</f>
        <v>#VALUE!</v>
      </c>
    </row>
    <row r="688" customFormat="false" ht="11.25" hidden="false" customHeight="false" outlineLevel="0" collapsed="false">
      <c r="A688" s="35" t="s">
        <v>940</v>
      </c>
      <c r="H688" s="67"/>
      <c r="I688" s="158" t="e">
        <f aca="false">I685-I686-I687</f>
        <v>#VALUE!</v>
      </c>
      <c r="J688" s="158" t="e">
        <f aca="false">J685-J686-J687</f>
        <v>#VALUE!</v>
      </c>
      <c r="K688" s="158" t="e">
        <f aca="false">K685-K686-K687</f>
        <v>#VALUE!</v>
      </c>
      <c r="L688" s="158" t="e">
        <f aca="false">L685-L686-L687</f>
        <v>#VALUE!</v>
      </c>
      <c r="M688" s="158" t="e">
        <f aca="false">M685-M686-M687</f>
        <v>#VALUE!</v>
      </c>
      <c r="N688" s="158" t="e">
        <f aca="false">N685-N686-N687</f>
        <v>#VALUE!</v>
      </c>
      <c r="O688" s="158" t="e">
        <f aca="false">O685-O686-O687</f>
        <v>#VALUE!</v>
      </c>
      <c r="P688" s="158" t="e">
        <f aca="false">P685-P686-P687</f>
        <v>#VALUE!</v>
      </c>
      <c r="Q688" s="158" t="e">
        <f aca="false">Q685-Q686-Q687</f>
        <v>#VALUE!</v>
      </c>
      <c r="R688" s="158" t="e">
        <f aca="false">R685-R686-R687</f>
        <v>#VALUE!</v>
      </c>
      <c r="S688" s="158" t="e">
        <f aca="false">S685-S686-S687</f>
        <v>#VALUE!</v>
      </c>
      <c r="T688" s="158" t="e">
        <f aca="false">T685-T686-T687</f>
        <v>#VALUE!</v>
      </c>
      <c r="U688" s="158" t="e">
        <f aca="false">U685-U686-U687</f>
        <v>#VALUE!</v>
      </c>
      <c r="V688" s="158" t="e">
        <f aca="false">V685-V686-V687</f>
        <v>#VALUE!</v>
      </c>
      <c r="W688" s="158" t="e">
        <f aca="false">W685-W686-W687</f>
        <v>#VALUE!</v>
      </c>
      <c r="X688" s="158" t="e">
        <f aca="false">X685-X686-X687</f>
        <v>#VALUE!</v>
      </c>
      <c r="Y688" s="158" t="e">
        <f aca="false">Y685-Y686-Y687</f>
        <v>#VALUE!</v>
      </c>
      <c r="Z688" s="158" t="e">
        <f aca="false">Z685-Z686-Z687</f>
        <v>#VALUE!</v>
      </c>
      <c r="AA688" s="158" t="e">
        <f aca="false">AA685-AA686-AA687</f>
        <v>#VALUE!</v>
      </c>
      <c r="AB688" s="158" t="e">
        <f aca="false">AB685-AB686-AB687</f>
        <v>#VALUE!</v>
      </c>
      <c r="AC688" s="158" t="e">
        <f aca="false">AC685-AC686-AC687</f>
        <v>#VALUE!</v>
      </c>
    </row>
    <row r="689" customFormat="false" ht="11.25" hidden="false" customHeight="false" outlineLevel="0" collapsed="false">
      <c r="H689" s="67"/>
      <c r="I689" s="149"/>
    </row>
    <row r="690" customFormat="false" ht="11.25" hidden="false" customHeight="false" outlineLevel="0" collapsed="false">
      <c r="A690" s="35" t="s">
        <v>949</v>
      </c>
      <c r="H690" s="67"/>
      <c r="I690" s="149" t="e">
        <f aca="false">IF(I683&lt;=0,0,I683-I687)</f>
        <v>#VALUE!</v>
      </c>
      <c r="J690" s="35" t="e">
        <f aca="false">IF(J683&lt;=0,0,J683-J687)</f>
        <v>#VALUE!</v>
      </c>
      <c r="K690" s="35" t="e">
        <f aca="false">IF(K683&lt;=0,0,K683-K687)</f>
        <v>#VALUE!</v>
      </c>
      <c r="L690" s="35" t="e">
        <f aca="false">IF(L683&lt;=0,0,L683-L687)</f>
        <v>#VALUE!</v>
      </c>
      <c r="M690" s="35" t="e">
        <f aca="false">IF(M683&lt;=0,0,M683-M687)</f>
        <v>#VALUE!</v>
      </c>
      <c r="N690" s="35" t="e">
        <f aca="false">IF(N683&lt;=0,0,N683-N687)</f>
        <v>#VALUE!</v>
      </c>
      <c r="O690" s="35" t="e">
        <f aca="false">IF(O683&lt;=0,0,O683-O687)</f>
        <v>#VALUE!</v>
      </c>
      <c r="P690" s="35" t="e">
        <f aca="false">IF(P683&lt;=0,0,P683-P687)</f>
        <v>#VALUE!</v>
      </c>
      <c r="Q690" s="35" t="e">
        <f aca="false">IF(Q683&lt;=0,0,Q683-Q687)</f>
        <v>#VALUE!</v>
      </c>
      <c r="R690" s="35" t="e">
        <f aca="false">IF(R683&lt;=0,0,R683-R687)</f>
        <v>#VALUE!</v>
      </c>
      <c r="S690" s="35" t="e">
        <f aca="false">IF(S683&lt;=0,0,S683-S687)</f>
        <v>#VALUE!</v>
      </c>
      <c r="T690" s="35" t="e">
        <f aca="false">IF(T683&lt;=0,0,T683-T687)</f>
        <v>#VALUE!</v>
      </c>
      <c r="U690" s="35" t="e">
        <f aca="false">IF(U683&lt;=0,0,U683-U687)</f>
        <v>#VALUE!</v>
      </c>
      <c r="V690" s="35" t="e">
        <f aca="false">IF(V683&lt;=0,0,V683-V687)</f>
        <v>#VALUE!</v>
      </c>
      <c r="W690" s="35" t="e">
        <f aca="false">IF(W683&lt;=0,0,W683-W687)</f>
        <v>#VALUE!</v>
      </c>
      <c r="X690" s="35" t="e">
        <f aca="false">IF(X683&lt;=0,0,X683-X687)</f>
        <v>#VALUE!</v>
      </c>
      <c r="Y690" s="35" t="e">
        <f aca="false">IF(Y683&lt;=0,0,Y683-Y687)</f>
        <v>#VALUE!</v>
      </c>
      <c r="Z690" s="35" t="e">
        <f aca="false">IF(Z683&lt;=0,0,Z683-Z687)</f>
        <v>#VALUE!</v>
      </c>
      <c r="AA690" s="35" t="e">
        <f aca="false">IF(AA683&lt;=0,0,AA683-AA687)</f>
        <v>#VALUE!</v>
      </c>
      <c r="AB690" s="35" t="e">
        <f aca="false">IF(AB683&lt;=0,0,AB683-AB687)</f>
        <v>#VALUE!</v>
      </c>
      <c r="AC690" s="35" t="e">
        <f aca="false">IF(AC683&lt;=0,0,AC683-AC687)</f>
        <v>#VALUE!</v>
      </c>
    </row>
    <row r="691" customFormat="false" ht="11.25" hidden="false" customHeight="false" outlineLevel="0" collapsed="false">
      <c r="H691" s="67"/>
      <c r="I691" s="149"/>
    </row>
    <row r="692" customFormat="false" ht="11.25" hidden="false" customHeight="false" outlineLevel="0" collapsed="false">
      <c r="A692" s="35" t="s">
        <v>942</v>
      </c>
      <c r="B692" s="67"/>
      <c r="C692" s="370" t="n">
        <f aca="false">I640</f>
        <v>0</v>
      </c>
      <c r="H692" s="67"/>
      <c r="I692" s="432" t="e">
        <f aca="false">I690*I640</f>
        <v>#VALUE!</v>
      </c>
      <c r="J692" s="417" t="e">
        <f aca="false">J690*J640</f>
        <v>#VALUE!</v>
      </c>
      <c r="K692" s="417" t="e">
        <f aca="false">K690*K640</f>
        <v>#VALUE!</v>
      </c>
      <c r="L692" s="417" t="e">
        <f aca="false">L690*L640</f>
        <v>#VALUE!</v>
      </c>
      <c r="M692" s="417" t="e">
        <f aca="false">M690*M640</f>
        <v>#VALUE!</v>
      </c>
      <c r="N692" s="417" t="e">
        <f aca="false">N690*N640</f>
        <v>#VALUE!</v>
      </c>
      <c r="O692" s="417" t="e">
        <f aca="false">O690*O640</f>
        <v>#VALUE!</v>
      </c>
      <c r="P692" s="417" t="e">
        <f aca="false">P690*P640</f>
        <v>#VALUE!</v>
      </c>
      <c r="Q692" s="417" t="e">
        <f aca="false">Q690*Q640</f>
        <v>#VALUE!</v>
      </c>
      <c r="R692" s="417" t="e">
        <f aca="false">R690*R640</f>
        <v>#VALUE!</v>
      </c>
      <c r="S692" s="417" t="e">
        <f aca="false">S690*S640</f>
        <v>#VALUE!</v>
      </c>
      <c r="T692" s="417" t="e">
        <f aca="false">T690*T640</f>
        <v>#VALUE!</v>
      </c>
      <c r="U692" s="417" t="e">
        <f aca="false">U690*U640</f>
        <v>#VALUE!</v>
      </c>
      <c r="V692" s="417" t="e">
        <f aca="false">V690*V640</f>
        <v>#VALUE!</v>
      </c>
      <c r="W692" s="417" t="e">
        <f aca="false">W690*W640</f>
        <v>#VALUE!</v>
      </c>
      <c r="X692" s="417" t="e">
        <f aca="false">X690*X640</f>
        <v>#VALUE!</v>
      </c>
      <c r="Y692" s="417" t="e">
        <f aca="false">Y690*Y640</f>
        <v>#VALUE!</v>
      </c>
      <c r="Z692" s="417" t="e">
        <f aca="false">Z690*Z640</f>
        <v>#VALUE!</v>
      </c>
      <c r="AA692" s="417" t="e">
        <f aca="false">AA690*AA640</f>
        <v>#VALUE!</v>
      </c>
      <c r="AB692" s="417" t="e">
        <f aca="false">AB690*AB640</f>
        <v>#VALUE!</v>
      </c>
      <c r="AC692" s="417" t="e">
        <f aca="false">AC690*AC640</f>
        <v>#VALUE!</v>
      </c>
    </row>
    <row r="693" customFormat="false" ht="11.25" hidden="false" customHeight="false" outlineLevel="0" collapsed="false">
      <c r="A693" s="35" t="s">
        <v>943</v>
      </c>
      <c r="B693" s="67"/>
      <c r="C693" s="370" t="n">
        <f aca="false">I639</f>
        <v>0.34</v>
      </c>
      <c r="H693" s="67"/>
      <c r="I693" s="149" t="e">
        <f aca="false">(I690-I692)*I639</f>
        <v>#VALUE!</v>
      </c>
      <c r="J693" s="35" t="e">
        <f aca="false">(J690-J692)*J639</f>
        <v>#VALUE!</v>
      </c>
      <c r="K693" s="35" t="e">
        <f aca="false">(K690-K692)*K639</f>
        <v>#VALUE!</v>
      </c>
      <c r="L693" s="35" t="e">
        <f aca="false">(L690-L692)*L639</f>
        <v>#VALUE!</v>
      </c>
      <c r="M693" s="35" t="e">
        <f aca="false">(M690-M692)*M639</f>
        <v>#VALUE!</v>
      </c>
      <c r="N693" s="35" t="e">
        <f aca="false">(N690-N692)*N639</f>
        <v>#VALUE!</v>
      </c>
      <c r="O693" s="35" t="e">
        <f aca="false">(O690-O692)*O639</f>
        <v>#VALUE!</v>
      </c>
      <c r="P693" s="35" t="e">
        <f aca="false">(P690-P692)*P639</f>
        <v>#VALUE!</v>
      </c>
      <c r="Q693" s="35" t="e">
        <f aca="false">(Q690-Q692)*Q639</f>
        <v>#VALUE!</v>
      </c>
      <c r="R693" s="35" t="e">
        <f aca="false">(R690-R692)*R639</f>
        <v>#VALUE!</v>
      </c>
      <c r="S693" s="35" t="e">
        <f aca="false">(S690-S692)*S639</f>
        <v>#VALUE!</v>
      </c>
      <c r="T693" s="35" t="e">
        <f aca="false">(T690-T692)*T639</f>
        <v>#VALUE!</v>
      </c>
      <c r="U693" s="35" t="e">
        <f aca="false">(U690-U692)*U639</f>
        <v>#VALUE!</v>
      </c>
      <c r="V693" s="35" t="e">
        <f aca="false">(V690-V692)*V639</f>
        <v>#VALUE!</v>
      </c>
      <c r="W693" s="35" t="e">
        <f aca="false">(W690-W692)*W639</f>
        <v>#VALUE!</v>
      </c>
      <c r="X693" s="35" t="e">
        <f aca="false">(X690-X692)*X639</f>
        <v>#VALUE!</v>
      </c>
      <c r="Y693" s="35" t="e">
        <f aca="false">(Y690-Y692)*Y639</f>
        <v>#VALUE!</v>
      </c>
      <c r="Z693" s="35" t="e">
        <f aca="false">(Z690-Z692)*Z639</f>
        <v>#VALUE!</v>
      </c>
      <c r="AA693" s="35" t="e">
        <f aca="false">(AA690-AA692)*AA639</f>
        <v>#VALUE!</v>
      </c>
      <c r="AB693" s="35" t="e">
        <f aca="false">(AB690-AB692)*AB639</f>
        <v>#VALUE!</v>
      </c>
      <c r="AC693" s="35" t="e">
        <f aca="false">(AC690-AC692)*AC639</f>
        <v>#VALUE!</v>
      </c>
    </row>
    <row r="694" customFormat="false" ht="12" hidden="false" customHeight="false" outlineLevel="0" collapsed="false">
      <c r="A694" s="35" t="s">
        <v>950</v>
      </c>
      <c r="H694" s="67"/>
      <c r="I694" s="388" t="e">
        <f aca="false">I692+I693</f>
        <v>#VALUE!</v>
      </c>
      <c r="J694" s="388" t="e">
        <f aca="false">J692+J693</f>
        <v>#VALUE!</v>
      </c>
      <c r="K694" s="388" t="e">
        <f aca="false">K692+K693</f>
        <v>#VALUE!</v>
      </c>
      <c r="L694" s="388" t="e">
        <f aca="false">L692+L693</f>
        <v>#VALUE!</v>
      </c>
      <c r="M694" s="388" t="e">
        <f aca="false">M692+M693</f>
        <v>#VALUE!</v>
      </c>
      <c r="N694" s="388" t="e">
        <f aca="false">N692+N693</f>
        <v>#VALUE!</v>
      </c>
      <c r="O694" s="388" t="e">
        <f aca="false">O692+O693</f>
        <v>#VALUE!</v>
      </c>
      <c r="P694" s="388" t="e">
        <f aca="false">P692+P693</f>
        <v>#VALUE!</v>
      </c>
      <c r="Q694" s="388" t="e">
        <f aca="false">Q692+Q693</f>
        <v>#VALUE!</v>
      </c>
      <c r="R694" s="388" t="e">
        <f aca="false">R692+R693</f>
        <v>#VALUE!</v>
      </c>
      <c r="S694" s="388" t="e">
        <f aca="false">S692+S693</f>
        <v>#VALUE!</v>
      </c>
      <c r="T694" s="388" t="e">
        <f aca="false">T692+T693</f>
        <v>#VALUE!</v>
      </c>
      <c r="U694" s="388" t="e">
        <f aca="false">U692+U693</f>
        <v>#VALUE!</v>
      </c>
      <c r="V694" s="388" t="e">
        <f aca="false">V692+V693</f>
        <v>#VALUE!</v>
      </c>
      <c r="W694" s="388" t="e">
        <f aca="false">W692+W693</f>
        <v>#VALUE!</v>
      </c>
      <c r="X694" s="388" t="e">
        <f aca="false">X692+X693</f>
        <v>#VALUE!</v>
      </c>
      <c r="Y694" s="388" t="e">
        <f aca="false">Y692+Y693</f>
        <v>#VALUE!</v>
      </c>
      <c r="Z694" s="388" t="e">
        <f aca="false">Z692+Z693</f>
        <v>#VALUE!</v>
      </c>
      <c r="AA694" s="388" t="e">
        <f aca="false">AA692+AA693</f>
        <v>#VALUE!</v>
      </c>
      <c r="AB694" s="388" t="e">
        <f aca="false">AB692+AB693</f>
        <v>#VALUE!</v>
      </c>
      <c r="AC694" s="388" t="e">
        <f aca="false">AC692+AC693</f>
        <v>#VALUE!</v>
      </c>
    </row>
    <row r="695" customFormat="false" ht="12" hidden="false" customHeight="false" outlineLevel="0" collapsed="false"/>
    <row r="696" customFormat="false" ht="12" hidden="false" customHeight="false" outlineLevel="0" collapsed="false">
      <c r="A696" s="4" t="s">
        <v>951</v>
      </c>
      <c r="I696" s="67"/>
    </row>
    <row r="697" customFormat="false" ht="12.75" hidden="false" customHeight="false" outlineLevel="0" collapsed="false">
      <c r="A697" s="67"/>
      <c r="H697" s="535" t="str">
        <f aca="false">$H$579&amp;"/"&amp;TEXT($H$580,"0")</f>
        <v>6 M/1999</v>
      </c>
      <c r="I697" s="535" t="str">
        <f aca="false">$I$579&amp;"/"&amp;TEXT($I$580,"0")</f>
        <v>6 M/1999</v>
      </c>
      <c r="J697" s="535" t="n">
        <f aca="false">J580</f>
        <v>2000</v>
      </c>
      <c r="K697" s="535" t="n">
        <f aca="false">K580</f>
        <v>2001</v>
      </c>
      <c r="L697" s="535" t="n">
        <f aca="false">L580</f>
        <v>2002</v>
      </c>
      <c r="M697" s="535" t="n">
        <f aca="false">M580</f>
        <v>2003</v>
      </c>
      <c r="N697" s="535" t="n">
        <f aca="false">N580</f>
        <v>2004</v>
      </c>
      <c r="O697" s="535" t="n">
        <f aca="false">O580</f>
        <v>2005</v>
      </c>
      <c r="P697" s="535" t="n">
        <f aca="false">P580</f>
        <v>2006</v>
      </c>
      <c r="Q697" s="535" t="n">
        <f aca="false">Q580</f>
        <v>2007</v>
      </c>
      <c r="R697" s="535" t="n">
        <f aca="false">R580</f>
        <v>2008</v>
      </c>
      <c r="S697" s="535" t="n">
        <f aca="false">S580</f>
        <v>2009</v>
      </c>
      <c r="T697" s="535" t="n">
        <f aca="false">T580</f>
        <v>2010</v>
      </c>
      <c r="U697" s="535" t="n">
        <f aca="false">U580</f>
        <v>2011</v>
      </c>
      <c r="V697" s="535" t="n">
        <f aca="false">V580</f>
        <v>2012</v>
      </c>
      <c r="W697" s="535" t="n">
        <f aca="false">W580</f>
        <v>2013</v>
      </c>
      <c r="X697" s="535" t="n">
        <f aca="false">X580</f>
        <v>2014</v>
      </c>
      <c r="Y697" s="535" t="n">
        <f aca="false">Y580</f>
        <v>2015</v>
      </c>
      <c r="Z697" s="535" t="n">
        <f aca="false">Z580</f>
        <v>2016</v>
      </c>
      <c r="AA697" s="535" t="n">
        <f aca="false">AA580</f>
        <v>2017</v>
      </c>
      <c r="AB697" s="535" t="n">
        <f aca="false">AB580</f>
        <v>2018</v>
      </c>
      <c r="AC697" s="535" t="n">
        <f aca="false">AC580</f>
        <v>2019</v>
      </c>
    </row>
    <row r="698" customFormat="false" ht="12" hidden="false" customHeight="false" outlineLevel="0" collapsed="false">
      <c r="A698" s="153" t="s">
        <v>952</v>
      </c>
      <c r="C698" s="417"/>
      <c r="D698" s="417"/>
      <c r="E698" s="417"/>
      <c r="F698" s="417"/>
      <c r="G698" s="417"/>
      <c r="H698" s="417"/>
      <c r="I698" s="432"/>
      <c r="J698" s="417"/>
      <c r="K698" s="417"/>
      <c r="L698" s="417"/>
      <c r="M698" s="417"/>
      <c r="N698" s="417"/>
      <c r="O698" s="417"/>
      <c r="P698" s="417"/>
      <c r="Q698" s="417"/>
      <c r="R698" s="417"/>
      <c r="S698" s="417"/>
      <c r="T698" s="417"/>
      <c r="U698" s="417"/>
      <c r="V698" s="417"/>
      <c r="W698" s="417"/>
      <c r="X698" s="417"/>
      <c r="Y698" s="417"/>
      <c r="Z698" s="417"/>
      <c r="AA698" s="417"/>
      <c r="AB698" s="417"/>
      <c r="AC698" s="417"/>
    </row>
    <row r="699" customFormat="false" ht="11.25" hidden="false" customHeight="false" outlineLevel="0" collapsed="false">
      <c r="A699" s="35" t="s">
        <v>953</v>
      </c>
      <c r="C699" s="417"/>
      <c r="D699" s="417"/>
      <c r="E699" s="417"/>
      <c r="F699" s="417"/>
      <c r="G699" s="417"/>
      <c r="H699" s="67"/>
      <c r="I699" s="432" t="n">
        <f aca="false">H665</f>
        <v>0</v>
      </c>
      <c r="J699" s="432" t="e">
        <f aca="false">I665</f>
        <v>#VALUE!</v>
      </c>
      <c r="K699" s="432" t="e">
        <f aca="false">J665</f>
        <v>#VALUE!</v>
      </c>
      <c r="L699" s="432" t="e">
        <f aca="false">K665</f>
        <v>#VALUE!</v>
      </c>
      <c r="M699" s="432" t="e">
        <f aca="false">L665</f>
        <v>#VALUE!</v>
      </c>
      <c r="N699" s="432" t="e">
        <f aca="false">M665</f>
        <v>#VALUE!</v>
      </c>
      <c r="O699" s="432" t="e">
        <f aca="false">N665</f>
        <v>#VALUE!</v>
      </c>
      <c r="P699" s="432" t="e">
        <f aca="false">O665</f>
        <v>#VALUE!</v>
      </c>
      <c r="Q699" s="432" t="e">
        <f aca="false">P665</f>
        <v>#VALUE!</v>
      </c>
      <c r="R699" s="432" t="e">
        <f aca="false">Q665</f>
        <v>#VALUE!</v>
      </c>
      <c r="S699" s="432" t="e">
        <f aca="false">R665</f>
        <v>#VALUE!</v>
      </c>
      <c r="T699" s="432" t="e">
        <f aca="false">S665</f>
        <v>#VALUE!</v>
      </c>
      <c r="U699" s="432" t="e">
        <f aca="false">T665</f>
        <v>#VALUE!</v>
      </c>
      <c r="V699" s="432" t="e">
        <f aca="false">U665</f>
        <v>#VALUE!</v>
      </c>
      <c r="W699" s="432" t="e">
        <f aca="false">V665</f>
        <v>#VALUE!</v>
      </c>
      <c r="X699" s="432" t="e">
        <f aca="false">W665</f>
        <v>#VALUE!</v>
      </c>
      <c r="Y699" s="432" t="e">
        <f aca="false">X665</f>
        <v>#VALUE!</v>
      </c>
      <c r="Z699" s="432" t="e">
        <f aca="false">Y665</f>
        <v>#VALUE!</v>
      </c>
      <c r="AA699" s="432" t="e">
        <f aca="false">Z665</f>
        <v>#VALUE!</v>
      </c>
      <c r="AB699" s="432" t="e">
        <f aca="false">AA665</f>
        <v>#VALUE!</v>
      </c>
      <c r="AC699" s="432" t="e">
        <f aca="false">AB665</f>
        <v>#VALUE!</v>
      </c>
    </row>
    <row r="700" customFormat="false" ht="11.25" hidden="false" customHeight="false" outlineLevel="0" collapsed="false">
      <c r="A700" s="35" t="s">
        <v>924</v>
      </c>
      <c r="B700" s="35" t="s">
        <v>926</v>
      </c>
      <c r="H700" s="67"/>
      <c r="I700" s="432" t="n">
        <f aca="false">I656</f>
        <v>0</v>
      </c>
      <c r="J700" s="432" t="n">
        <f aca="false">J656</f>
        <v>0</v>
      </c>
      <c r="K700" s="432" t="n">
        <f aca="false">K656</f>
        <v>0</v>
      </c>
      <c r="L700" s="432" t="n">
        <f aca="false">L656</f>
        <v>0</v>
      </c>
      <c r="M700" s="432" t="n">
        <f aca="false">M656</f>
        <v>0</v>
      </c>
      <c r="N700" s="432" t="n">
        <f aca="false">N656</f>
        <v>0</v>
      </c>
      <c r="O700" s="432" t="n">
        <f aca="false">O656</f>
        <v>0</v>
      </c>
      <c r="P700" s="432" t="n">
        <f aca="false">P656</f>
        <v>0</v>
      </c>
      <c r="Q700" s="432" t="n">
        <f aca="false">Q656</f>
        <v>0</v>
      </c>
      <c r="R700" s="432" t="n">
        <f aca="false">R656</f>
        <v>0</v>
      </c>
      <c r="S700" s="432" t="n">
        <f aca="false">S656</f>
        <v>0</v>
      </c>
      <c r="T700" s="432" t="n">
        <f aca="false">T656</f>
        <v>0</v>
      </c>
      <c r="U700" s="432" t="n">
        <f aca="false">U656</f>
        <v>0</v>
      </c>
      <c r="V700" s="432" t="n">
        <f aca="false">V656</f>
        <v>0</v>
      </c>
      <c r="W700" s="432" t="n">
        <f aca="false">W656</f>
        <v>0</v>
      </c>
      <c r="X700" s="432" t="n">
        <f aca="false">X656</f>
        <v>0</v>
      </c>
      <c r="Y700" s="432" t="n">
        <f aca="false">Y656</f>
        <v>0</v>
      </c>
      <c r="Z700" s="432" t="n">
        <f aca="false">Z656</f>
        <v>0</v>
      </c>
      <c r="AA700" s="432" t="n">
        <f aca="false">AA656</f>
        <v>0</v>
      </c>
      <c r="AB700" s="432" t="n">
        <f aca="false">AB656</f>
        <v>0</v>
      </c>
      <c r="AC700" s="432" t="n">
        <f aca="false">AC656</f>
        <v>0</v>
      </c>
    </row>
    <row r="701" customFormat="false" ht="11.25" hidden="false" customHeight="false" outlineLevel="0" collapsed="false">
      <c r="A701" s="35" t="s">
        <v>954</v>
      </c>
      <c r="B701" s="43" t="s">
        <v>955</v>
      </c>
      <c r="H701" s="67"/>
      <c r="I701" s="432" t="n">
        <f aca="false">-IF(I947=0,(I946+I611),(I947+I615))</f>
        <v>-0</v>
      </c>
      <c r="J701" s="432" t="n">
        <f aca="false">-IF(J947=0,(J946+J611),(J947+J615))</f>
        <v>-0</v>
      </c>
      <c r="K701" s="432" t="n">
        <f aca="false">-IF(K947=0,(K946+K611),(K947+K615))</f>
        <v>-0</v>
      </c>
      <c r="L701" s="432" t="n">
        <f aca="false">-IF(L947=0,(L946+L611),(L947+L615))</f>
        <v>-0</v>
      </c>
      <c r="M701" s="432" t="n">
        <f aca="false">-IF(M947=0,(M946+M611),(M947+M615))</f>
        <v>-0</v>
      </c>
      <c r="N701" s="432" t="n">
        <f aca="false">-IF(N947=0,(N946+N611),(N947+N615))</f>
        <v>-0</v>
      </c>
      <c r="O701" s="432" t="n">
        <f aca="false">-IF(O947=0,(O946+O611),(O947+O615))</f>
        <v>-0</v>
      </c>
      <c r="P701" s="432" t="n">
        <f aca="false">-IF(P947=0,(P946+P611),(P947+P615))</f>
        <v>-0</v>
      </c>
      <c r="Q701" s="432" t="n">
        <f aca="false">-IF(Q947=0,(Q946+Q611),(Q947+Q615))</f>
        <v>-0</v>
      </c>
      <c r="R701" s="432" t="n">
        <f aca="false">-IF(R947=0,(R946+R611),(R947+R615))</f>
        <v>-0</v>
      </c>
      <c r="S701" s="432" t="n">
        <f aca="false">-IF(S947=0,(S946+S611),(S947+S615))</f>
        <v>-0</v>
      </c>
      <c r="T701" s="432" t="n">
        <f aca="false">-IF(T947=0,(T946+T611),(T947+T615))</f>
        <v>-0</v>
      </c>
      <c r="U701" s="432" t="n">
        <f aca="false">-IF(U947=0,(U946+U611),(U947+U615))</f>
        <v>-0</v>
      </c>
      <c r="V701" s="432" t="n">
        <f aca="false">-IF(V947=0,(V946+V611),(V947+V615))</f>
        <v>-0</v>
      </c>
      <c r="W701" s="432" t="n">
        <f aca="false">-IF(W947=0,(W946+W611),(W947+W615))</f>
        <v>-0</v>
      </c>
      <c r="X701" s="432" t="n">
        <f aca="false">-IF(X947=0,(X946+X611),(X947+X615))</f>
        <v>-0</v>
      </c>
      <c r="Y701" s="432" t="n">
        <f aca="false">-IF(Y947=0,(Y946+Y611),(Y947+Y615))</f>
        <v>-0</v>
      </c>
      <c r="Z701" s="432" t="n">
        <f aca="false">-IF(Z947=0,(Z946+Z611),(Z947+Z615))</f>
        <v>-0</v>
      </c>
      <c r="AA701" s="432" t="n">
        <f aca="false">-IF(AA947=0,(AA946+AA611),(AA947+AA615))</f>
        <v>-0</v>
      </c>
      <c r="AB701" s="432" t="n">
        <f aca="false">-IF(AB947=0,(AB946+AB611),(AB947+AB615))</f>
        <v>-0</v>
      </c>
      <c r="AC701" s="432" t="n">
        <f aca="false">-IF(AC947=0,(AC946+AC611),(AC947+AC615))</f>
        <v>-0</v>
      </c>
    </row>
    <row r="702" customFormat="false" ht="11.25" hidden="false" customHeight="false" outlineLevel="0" collapsed="false">
      <c r="A702" s="43" t="s">
        <v>956</v>
      </c>
      <c r="H702" s="67"/>
      <c r="I702" s="419" t="n">
        <f aca="false">SUM(I699:I701)</f>
        <v>0</v>
      </c>
      <c r="J702" s="419" t="e">
        <f aca="false">SUM(J699:J701)</f>
        <v>#VALUE!</v>
      </c>
      <c r="K702" s="419" t="e">
        <f aca="false">SUM(K699:K701)</f>
        <v>#VALUE!</v>
      </c>
      <c r="L702" s="419" t="e">
        <f aca="false">SUM(L699:L701)</f>
        <v>#VALUE!</v>
      </c>
      <c r="M702" s="419" t="e">
        <f aca="false">SUM(M699:M701)</f>
        <v>#VALUE!</v>
      </c>
      <c r="N702" s="419" t="e">
        <f aca="false">SUM(N699:N701)</f>
        <v>#VALUE!</v>
      </c>
      <c r="O702" s="419" t="e">
        <f aca="false">SUM(O699:O701)</f>
        <v>#VALUE!</v>
      </c>
      <c r="P702" s="419" t="e">
        <f aca="false">SUM(P699:P701)</f>
        <v>#VALUE!</v>
      </c>
      <c r="Q702" s="419" t="e">
        <f aca="false">SUM(Q699:Q701)</f>
        <v>#VALUE!</v>
      </c>
      <c r="R702" s="419" t="e">
        <f aca="false">SUM(R699:R701)</f>
        <v>#VALUE!</v>
      </c>
      <c r="S702" s="419" t="e">
        <f aca="false">SUM(S699:S701)</f>
        <v>#VALUE!</v>
      </c>
      <c r="T702" s="419" t="e">
        <f aca="false">SUM(T699:T701)</f>
        <v>#VALUE!</v>
      </c>
      <c r="U702" s="419" t="e">
        <f aca="false">SUM(U699:U701)</f>
        <v>#VALUE!</v>
      </c>
      <c r="V702" s="419" t="e">
        <f aca="false">SUM(V699:V701)</f>
        <v>#VALUE!</v>
      </c>
      <c r="W702" s="419" t="e">
        <f aca="false">SUM(W699:W701)</f>
        <v>#VALUE!</v>
      </c>
      <c r="X702" s="419" t="e">
        <f aca="false">SUM(X699:X701)</f>
        <v>#VALUE!</v>
      </c>
      <c r="Y702" s="419" t="e">
        <f aca="false">SUM(Y699:Y701)</f>
        <v>#VALUE!</v>
      </c>
      <c r="Z702" s="419" t="e">
        <f aca="false">SUM(Z699:Z701)</f>
        <v>#VALUE!</v>
      </c>
      <c r="AA702" s="419" t="e">
        <f aca="false">SUM(AA699:AA701)</f>
        <v>#VALUE!</v>
      </c>
      <c r="AB702" s="419" t="e">
        <f aca="false">SUM(AB699:AB701)</f>
        <v>#VALUE!</v>
      </c>
      <c r="AC702" s="419" t="e">
        <f aca="false">SUM(AC699:AC701)</f>
        <v>#VALUE!</v>
      </c>
    </row>
    <row r="703" customFormat="false" ht="11.25" hidden="false" customHeight="false" outlineLevel="0" collapsed="false">
      <c r="A703" s="43" t="s">
        <v>957</v>
      </c>
      <c r="H703" s="67"/>
      <c r="I703" s="432" t="n">
        <f aca="false">+I748</f>
        <v>310.96378931941</v>
      </c>
      <c r="J703" s="432" t="n">
        <f aca="false">+J748</f>
        <v>714.471877563819</v>
      </c>
      <c r="K703" s="432" t="n">
        <f aca="false">+K748</f>
        <v>668.976898151473</v>
      </c>
      <c r="L703" s="432" t="n">
        <f aca="false">+L748</f>
        <v>634.71963435813</v>
      </c>
      <c r="M703" s="432" t="n">
        <f aca="false">+M748</f>
        <v>596.734669650823</v>
      </c>
      <c r="N703" s="432" t="n">
        <f aca="false">+N748</f>
        <v>549.727621684733</v>
      </c>
      <c r="O703" s="432" t="n">
        <f aca="false">+O748</f>
        <v>500.783088821702</v>
      </c>
      <c r="P703" s="432" t="n">
        <f aca="false">+P748</f>
        <v>423.695552474862</v>
      </c>
      <c r="Q703" s="432" t="n">
        <f aca="false">+Q748</f>
        <v>386.194444507076</v>
      </c>
      <c r="R703" s="432" t="n">
        <f aca="false">+R748</f>
        <v>327.646241462345</v>
      </c>
      <c r="S703" s="432" t="n">
        <f aca="false">+S748</f>
        <v>271.330785296896</v>
      </c>
      <c r="T703" s="432" t="n">
        <f aca="false">+T748</f>
        <v>232.035691249259</v>
      </c>
      <c r="U703" s="432" t="n">
        <f aca="false">+U748</f>
        <v>198.656591443046</v>
      </c>
      <c r="V703" s="432" t="n">
        <f aca="false">+V748</f>
        <v>167.726415864959</v>
      </c>
      <c r="W703" s="432" t="n">
        <f aca="false">+W748</f>
        <v>128.988381175216</v>
      </c>
      <c r="X703" s="432" t="n">
        <f aca="false">+X748</f>
        <v>107.028941637605</v>
      </c>
      <c r="Y703" s="432" t="n">
        <f aca="false">+Y748</f>
        <v>77.4903759819317</v>
      </c>
      <c r="Z703" s="432" t="n">
        <f aca="false">+Z748</f>
        <v>54.6015429260135</v>
      </c>
      <c r="AA703" s="432" t="n">
        <f aca="false">+AA748</f>
        <v>41.7574755424801</v>
      </c>
      <c r="AB703" s="432" t="n">
        <f aca="false">+AB748</f>
        <v>32.1256465918464</v>
      </c>
      <c r="AC703" s="432" t="n">
        <f aca="false">+AC748</f>
        <v>26.5478225810011</v>
      </c>
    </row>
    <row r="704" customFormat="false" ht="11.25" hidden="false" customHeight="false" outlineLevel="0" collapsed="false">
      <c r="A704" s="43" t="s">
        <v>958</v>
      </c>
      <c r="H704" s="67"/>
      <c r="I704" s="419" t="n">
        <f aca="false">+I703+I702</f>
        <v>310.96378931941</v>
      </c>
      <c r="J704" s="419" t="e">
        <f aca="false">+J703+J702</f>
        <v>#VALUE!</v>
      </c>
      <c r="K704" s="419" t="e">
        <f aca="false">+K703+K702</f>
        <v>#VALUE!</v>
      </c>
      <c r="L704" s="419" t="e">
        <f aca="false">+L703+L702</f>
        <v>#VALUE!</v>
      </c>
      <c r="M704" s="419" t="e">
        <f aca="false">+M703+M702</f>
        <v>#VALUE!</v>
      </c>
      <c r="N704" s="419" t="e">
        <f aca="false">+N703+N702</f>
        <v>#VALUE!</v>
      </c>
      <c r="O704" s="419" t="e">
        <f aca="false">+O703+O702</f>
        <v>#VALUE!</v>
      </c>
      <c r="P704" s="419" t="e">
        <f aca="false">+P703+P702</f>
        <v>#VALUE!</v>
      </c>
      <c r="Q704" s="419" t="e">
        <f aca="false">+Q703+Q702</f>
        <v>#VALUE!</v>
      </c>
      <c r="R704" s="419" t="e">
        <f aca="false">+R703+R702</f>
        <v>#VALUE!</v>
      </c>
      <c r="S704" s="419" t="e">
        <f aca="false">+S703+S702</f>
        <v>#VALUE!</v>
      </c>
      <c r="T704" s="419" t="e">
        <f aca="false">+T703+T702</f>
        <v>#VALUE!</v>
      </c>
      <c r="U704" s="419" t="e">
        <f aca="false">+U703+U702</f>
        <v>#VALUE!</v>
      </c>
      <c r="V704" s="419" t="e">
        <f aca="false">+V703+V702</f>
        <v>#VALUE!</v>
      </c>
      <c r="W704" s="419" t="e">
        <f aca="false">+W703+W702</f>
        <v>#VALUE!</v>
      </c>
      <c r="X704" s="419" t="e">
        <f aca="false">+X703+X702</f>
        <v>#VALUE!</v>
      </c>
      <c r="Y704" s="419" t="e">
        <f aca="false">+Y703+Y702</f>
        <v>#VALUE!</v>
      </c>
      <c r="Z704" s="419" t="e">
        <f aca="false">+Z703+Z702</f>
        <v>#VALUE!</v>
      </c>
      <c r="AA704" s="419" t="e">
        <f aca="false">+AA703+AA702</f>
        <v>#VALUE!</v>
      </c>
      <c r="AB704" s="419" t="e">
        <f aca="false">+AB703+AB702</f>
        <v>#VALUE!</v>
      </c>
      <c r="AC704" s="419" t="e">
        <f aca="false">+AC703+AC702</f>
        <v>#VALUE!</v>
      </c>
    </row>
    <row r="705" customFormat="false" ht="11.25" hidden="false" customHeight="false" outlineLevel="0" collapsed="false">
      <c r="A705" s="43" t="s">
        <v>959</v>
      </c>
      <c r="H705" s="67"/>
      <c r="I705" s="541" t="n">
        <v>-0.4</v>
      </c>
      <c r="J705" s="541" t="n">
        <f aca="false">I705</f>
        <v>-0.4</v>
      </c>
      <c r="K705" s="541" t="n">
        <f aca="false">J705</f>
        <v>-0.4</v>
      </c>
      <c r="L705" s="541" t="n">
        <f aca="false">K705</f>
        <v>-0.4</v>
      </c>
      <c r="M705" s="541" t="n">
        <f aca="false">L705</f>
        <v>-0.4</v>
      </c>
      <c r="N705" s="541" t="n">
        <f aca="false">M705</f>
        <v>-0.4</v>
      </c>
      <c r="O705" s="541" t="n">
        <f aca="false">N705</f>
        <v>-0.4</v>
      </c>
      <c r="P705" s="541" t="n">
        <f aca="false">O705</f>
        <v>-0.4</v>
      </c>
      <c r="Q705" s="541" t="n">
        <f aca="false">P705</f>
        <v>-0.4</v>
      </c>
      <c r="R705" s="541" t="n">
        <f aca="false">Q705</f>
        <v>-0.4</v>
      </c>
      <c r="S705" s="541" t="n">
        <f aca="false">R705</f>
        <v>-0.4</v>
      </c>
      <c r="T705" s="541" t="n">
        <f aca="false">S705</f>
        <v>-0.4</v>
      </c>
      <c r="U705" s="541" t="n">
        <f aca="false">T705</f>
        <v>-0.4</v>
      </c>
      <c r="V705" s="541" t="n">
        <f aca="false">U705</f>
        <v>-0.4</v>
      </c>
      <c r="W705" s="541" t="n">
        <f aca="false">V705</f>
        <v>-0.4</v>
      </c>
      <c r="X705" s="541" t="n">
        <f aca="false">W705</f>
        <v>-0.4</v>
      </c>
      <c r="Y705" s="541" t="n">
        <f aca="false">X705</f>
        <v>-0.4</v>
      </c>
      <c r="Z705" s="541" t="n">
        <f aca="false">Y705</f>
        <v>-0.4</v>
      </c>
      <c r="AA705" s="541" t="n">
        <f aca="false">Z705</f>
        <v>-0.4</v>
      </c>
      <c r="AB705" s="541" t="n">
        <f aca="false">AA705</f>
        <v>-0.4</v>
      </c>
      <c r="AC705" s="541" t="n">
        <f aca="false">AB705</f>
        <v>-0.4</v>
      </c>
    </row>
    <row r="706" customFormat="false" ht="11.25" hidden="false" customHeight="false" outlineLevel="0" collapsed="false">
      <c r="A706" s="43" t="s">
        <v>960</v>
      </c>
      <c r="H706" s="67"/>
      <c r="I706" s="158" t="n">
        <f aca="false">+I704*I705</f>
        <v>-124.385515727764</v>
      </c>
      <c r="J706" s="158" t="e">
        <f aca="false">+J704*J705</f>
        <v>#VALUE!</v>
      </c>
      <c r="K706" s="158" t="e">
        <f aca="false">+K704*K705</f>
        <v>#VALUE!</v>
      </c>
      <c r="L706" s="158" t="e">
        <f aca="false">+L704*L705</f>
        <v>#VALUE!</v>
      </c>
      <c r="M706" s="158" t="e">
        <f aca="false">+M704*M705</f>
        <v>#VALUE!</v>
      </c>
      <c r="N706" s="158" t="e">
        <f aca="false">+N704*N705</f>
        <v>#VALUE!</v>
      </c>
      <c r="O706" s="158" t="e">
        <f aca="false">+O704*O705</f>
        <v>#VALUE!</v>
      </c>
      <c r="P706" s="158" t="e">
        <f aca="false">+P704*P705</f>
        <v>#VALUE!</v>
      </c>
      <c r="Q706" s="158" t="e">
        <f aca="false">+Q704*Q705</f>
        <v>#VALUE!</v>
      </c>
      <c r="R706" s="158" t="e">
        <f aca="false">+R704*R705</f>
        <v>#VALUE!</v>
      </c>
      <c r="S706" s="158" t="e">
        <f aca="false">+S704*S705</f>
        <v>#VALUE!</v>
      </c>
      <c r="T706" s="158" t="e">
        <f aca="false">+T704*T705</f>
        <v>#VALUE!</v>
      </c>
      <c r="U706" s="158" t="e">
        <f aca="false">+U704*U705</f>
        <v>#VALUE!</v>
      </c>
      <c r="V706" s="158" t="e">
        <f aca="false">+V704*V705</f>
        <v>#VALUE!</v>
      </c>
      <c r="W706" s="158" t="e">
        <f aca="false">+W704*W705</f>
        <v>#VALUE!</v>
      </c>
      <c r="X706" s="158" t="e">
        <f aca="false">+X704*X705</f>
        <v>#VALUE!</v>
      </c>
      <c r="Y706" s="158" t="e">
        <f aca="false">+Y704*Y705</f>
        <v>#VALUE!</v>
      </c>
      <c r="Z706" s="158" t="e">
        <f aca="false">+Z704*Z705</f>
        <v>#VALUE!</v>
      </c>
      <c r="AA706" s="158" t="e">
        <f aca="false">+AA704*AA705</f>
        <v>#VALUE!</v>
      </c>
      <c r="AB706" s="158" t="e">
        <f aca="false">+AB704*AB705</f>
        <v>#VALUE!</v>
      </c>
      <c r="AC706" s="158" t="e">
        <f aca="false">+AC704*AC705</f>
        <v>#VALUE!</v>
      </c>
    </row>
    <row r="707" customFormat="false" ht="11.25" hidden="false" customHeight="false" outlineLevel="0" collapsed="false">
      <c r="A707" s="35" t="s">
        <v>961</v>
      </c>
      <c r="H707" s="67"/>
      <c r="I707" s="158" t="n">
        <f aca="false">+I704+I706</f>
        <v>186.578273591646</v>
      </c>
      <c r="J707" s="158" t="e">
        <f aca="false">+J704+J706</f>
        <v>#VALUE!</v>
      </c>
      <c r="K707" s="158" t="e">
        <f aca="false">+K704+K706</f>
        <v>#VALUE!</v>
      </c>
      <c r="L707" s="158" t="e">
        <f aca="false">+L704+L706</f>
        <v>#VALUE!</v>
      </c>
      <c r="M707" s="158" t="e">
        <f aca="false">+M704+M706</f>
        <v>#VALUE!</v>
      </c>
      <c r="N707" s="158" t="e">
        <f aca="false">+N704+N706</f>
        <v>#VALUE!</v>
      </c>
      <c r="O707" s="158" t="e">
        <f aca="false">+O704+O706</f>
        <v>#VALUE!</v>
      </c>
      <c r="P707" s="158" t="e">
        <f aca="false">+P704+P706</f>
        <v>#VALUE!</v>
      </c>
      <c r="Q707" s="158" t="e">
        <f aca="false">+Q704+Q706</f>
        <v>#VALUE!</v>
      </c>
      <c r="R707" s="158" t="e">
        <f aca="false">+R704+R706</f>
        <v>#VALUE!</v>
      </c>
      <c r="S707" s="158" t="e">
        <f aca="false">+S704+S706</f>
        <v>#VALUE!</v>
      </c>
      <c r="T707" s="158" t="e">
        <f aca="false">+T704+T706</f>
        <v>#VALUE!</v>
      </c>
      <c r="U707" s="158" t="e">
        <f aca="false">+U704+U706</f>
        <v>#VALUE!</v>
      </c>
      <c r="V707" s="158" t="e">
        <f aca="false">+V704+V706</f>
        <v>#VALUE!</v>
      </c>
      <c r="W707" s="158" t="e">
        <f aca="false">+W704+W706</f>
        <v>#VALUE!</v>
      </c>
      <c r="X707" s="158" t="e">
        <f aca="false">+X704+X706</f>
        <v>#VALUE!</v>
      </c>
      <c r="Y707" s="158" t="e">
        <f aca="false">+Y704+Y706</f>
        <v>#VALUE!</v>
      </c>
      <c r="Z707" s="158" t="e">
        <f aca="false">+Z704+Z706</f>
        <v>#VALUE!</v>
      </c>
      <c r="AA707" s="158" t="e">
        <f aca="false">+AA704+AA706</f>
        <v>#VALUE!</v>
      </c>
      <c r="AB707" s="158" t="e">
        <f aca="false">+AB704+AB706</f>
        <v>#VALUE!</v>
      </c>
      <c r="AC707" s="158" t="e">
        <f aca="false">+AC704+AC706</f>
        <v>#VALUE!</v>
      </c>
    </row>
    <row r="708" customFormat="false" ht="11.25" hidden="false" customHeight="false" outlineLevel="0" collapsed="false">
      <c r="H708" s="67"/>
      <c r="I708" s="149"/>
      <c r="J708" s="149"/>
      <c r="K708" s="149"/>
      <c r="L708" s="149"/>
      <c r="M708" s="149"/>
      <c r="N708" s="149"/>
      <c r="O708" s="149"/>
      <c r="P708" s="149"/>
      <c r="Q708" s="149"/>
      <c r="R708" s="149"/>
      <c r="S708" s="149"/>
      <c r="T708" s="149"/>
      <c r="U708" s="149"/>
      <c r="V708" s="149"/>
      <c r="W708" s="149"/>
      <c r="X708" s="149"/>
      <c r="Y708" s="149"/>
      <c r="Z708" s="149"/>
      <c r="AA708" s="149"/>
      <c r="AB708" s="149"/>
      <c r="AC708" s="149"/>
    </row>
    <row r="709" customFormat="false" ht="11.25" hidden="false" customHeight="false" outlineLevel="0" collapsed="false">
      <c r="A709" s="35" t="s">
        <v>962</v>
      </c>
      <c r="H709" s="67"/>
      <c r="I709" s="149" t="n">
        <f aca="false">IF(I707&gt;I702,I707-I702,0)</f>
        <v>186.578273591646</v>
      </c>
      <c r="J709" s="149" t="e">
        <f aca="false">IF(J707&gt;J702,J707-J702,0)</f>
        <v>#VALUE!</v>
      </c>
      <c r="K709" s="149" t="e">
        <f aca="false">IF(K707&gt;K702,K707-K702,0)</f>
        <v>#VALUE!</v>
      </c>
      <c r="L709" s="149" t="e">
        <f aca="false">IF(L707&gt;L702,L707-L702,0)</f>
        <v>#VALUE!</v>
      </c>
      <c r="M709" s="149" t="e">
        <f aca="false">IF(M707&gt;M702,M707-M702,0)</f>
        <v>#VALUE!</v>
      </c>
      <c r="N709" s="149" t="e">
        <f aca="false">IF(N707&gt;N702,N707-N702,0)</f>
        <v>#VALUE!</v>
      </c>
      <c r="O709" s="149" t="e">
        <f aca="false">IF(O707&gt;O702,O707-O702,0)</f>
        <v>#VALUE!</v>
      </c>
      <c r="P709" s="149" t="e">
        <f aca="false">IF(P707&gt;P702,P707-P702,0)</f>
        <v>#VALUE!</v>
      </c>
      <c r="Q709" s="149" t="e">
        <f aca="false">IF(Q707&gt;Q702,Q707-Q702,0)</f>
        <v>#VALUE!</v>
      </c>
      <c r="R709" s="149" t="e">
        <f aca="false">IF(R707&gt;R702,R707-R702,0)</f>
        <v>#VALUE!</v>
      </c>
      <c r="S709" s="149" t="e">
        <f aca="false">IF(S707&gt;S702,S707-S702,0)</f>
        <v>#VALUE!</v>
      </c>
      <c r="T709" s="149" t="e">
        <f aca="false">IF(T707&gt;T702,T707-T702,0)</f>
        <v>#VALUE!</v>
      </c>
      <c r="U709" s="149" t="e">
        <f aca="false">IF(U707&gt;U702,U707-U702,0)</f>
        <v>#VALUE!</v>
      </c>
      <c r="V709" s="149" t="e">
        <f aca="false">IF(V707&gt;V702,V707-V702,0)</f>
        <v>#VALUE!</v>
      </c>
      <c r="W709" s="149" t="e">
        <f aca="false">IF(W707&gt;W702,W707-W702,0)</f>
        <v>#VALUE!</v>
      </c>
      <c r="X709" s="149" t="e">
        <f aca="false">IF(X707&gt;X702,X707-X702,0)</f>
        <v>#VALUE!</v>
      </c>
      <c r="Y709" s="149" t="e">
        <f aca="false">IF(Y707&gt;Y702,Y707-Y702,0)</f>
        <v>#VALUE!</v>
      </c>
      <c r="Z709" s="149" t="e">
        <f aca="false">IF(Z707&gt;Z702,Z707-Z702,0)</f>
        <v>#VALUE!</v>
      </c>
      <c r="AA709" s="149" t="e">
        <f aca="false">IF(AA707&gt;AA702,AA707-AA702,0)</f>
        <v>#VALUE!</v>
      </c>
      <c r="AB709" s="149" t="e">
        <f aca="false">IF(AB707&gt;AB702,AB707-AB702,0)</f>
        <v>#VALUE!</v>
      </c>
      <c r="AC709" s="149" t="e">
        <f aca="false">IF(AC707&gt;AC702,AC707-AC702,0)</f>
        <v>#VALUE!</v>
      </c>
    </row>
    <row r="710" customFormat="false" ht="11.25" hidden="false" customHeight="false" outlineLevel="0" collapsed="false">
      <c r="A710" s="43" t="s">
        <v>963</v>
      </c>
      <c r="H710" s="67"/>
      <c r="I710" s="419" t="n">
        <f aca="false">+I709+I702</f>
        <v>186.578273591646</v>
      </c>
      <c r="J710" s="419" t="e">
        <f aca="false">+J709+J702</f>
        <v>#VALUE!</v>
      </c>
      <c r="K710" s="419" t="e">
        <f aca="false">+K709+K702</f>
        <v>#VALUE!</v>
      </c>
      <c r="L710" s="419" t="e">
        <f aca="false">+L709+L702</f>
        <v>#VALUE!</v>
      </c>
      <c r="M710" s="419" t="e">
        <f aca="false">+M709+M702</f>
        <v>#VALUE!</v>
      </c>
      <c r="N710" s="419" t="e">
        <f aca="false">+N709+N702</f>
        <v>#VALUE!</v>
      </c>
      <c r="O710" s="419" t="e">
        <f aca="false">+O709+O702</f>
        <v>#VALUE!</v>
      </c>
      <c r="P710" s="419" t="e">
        <f aca="false">+P709+P702</f>
        <v>#VALUE!</v>
      </c>
      <c r="Q710" s="419" t="e">
        <f aca="false">+Q709+Q702</f>
        <v>#VALUE!</v>
      </c>
      <c r="R710" s="419" t="e">
        <f aca="false">+R709+R702</f>
        <v>#VALUE!</v>
      </c>
      <c r="S710" s="419" t="e">
        <f aca="false">+S709+S702</f>
        <v>#VALUE!</v>
      </c>
      <c r="T710" s="419" t="e">
        <f aca="false">+T709+T702</f>
        <v>#VALUE!</v>
      </c>
      <c r="U710" s="419" t="e">
        <f aca="false">+U709+U702</f>
        <v>#VALUE!</v>
      </c>
      <c r="V710" s="419" t="e">
        <f aca="false">+V709+V702</f>
        <v>#VALUE!</v>
      </c>
      <c r="W710" s="419" t="e">
        <f aca="false">+W709+W702</f>
        <v>#VALUE!</v>
      </c>
      <c r="X710" s="419" t="e">
        <f aca="false">+X709+X702</f>
        <v>#VALUE!</v>
      </c>
      <c r="Y710" s="419" t="e">
        <f aca="false">+Y709+Y702</f>
        <v>#VALUE!</v>
      </c>
      <c r="Z710" s="419" t="e">
        <f aca="false">+Z709+Z702</f>
        <v>#VALUE!</v>
      </c>
      <c r="AA710" s="419" t="e">
        <f aca="false">+AA709+AA702</f>
        <v>#VALUE!</v>
      </c>
      <c r="AB710" s="419" t="e">
        <f aca="false">+AB709+AB702</f>
        <v>#VALUE!</v>
      </c>
      <c r="AC710" s="419" t="e">
        <f aca="false">+AC709+AC702</f>
        <v>#VALUE!</v>
      </c>
    </row>
    <row r="711" customFormat="false" ht="11.25" hidden="false" customHeight="false" outlineLevel="0" collapsed="false">
      <c r="H711" s="67"/>
      <c r="I711" s="432"/>
      <c r="J711" s="417"/>
      <c r="K711" s="417"/>
      <c r="L711" s="417"/>
      <c r="M711" s="417"/>
      <c r="N711" s="417"/>
      <c r="O711" s="417"/>
      <c r="P711" s="417"/>
      <c r="Q711" s="417"/>
      <c r="R711" s="417"/>
      <c r="S711" s="417"/>
      <c r="T711" s="417"/>
      <c r="U711" s="417"/>
      <c r="V711" s="417"/>
      <c r="W711" s="417"/>
      <c r="X711" s="417"/>
      <c r="Y711" s="417"/>
      <c r="Z711" s="417"/>
      <c r="AA711" s="417"/>
      <c r="AB711" s="417"/>
      <c r="AC711" s="417"/>
    </row>
    <row r="712" customFormat="false" ht="11.25" hidden="false" customHeight="false" outlineLevel="0" collapsed="false">
      <c r="A712" s="35" t="s">
        <v>937</v>
      </c>
      <c r="H712" s="67"/>
      <c r="I712" s="432" t="n">
        <f aca="false">+F645</f>
        <v>2000</v>
      </c>
      <c r="J712" s="417" t="n">
        <f aca="false">I715</f>
        <v>1832.07955376752</v>
      </c>
      <c r="K712" s="417" t="e">
        <f aca="false">J715</f>
        <v>#VALUE!</v>
      </c>
      <c r="L712" s="417" t="e">
        <f aca="false">K715</f>
        <v>#VALUE!</v>
      </c>
      <c r="M712" s="417" t="e">
        <f aca="false">L715</f>
        <v>#VALUE!</v>
      </c>
      <c r="N712" s="417" t="e">
        <f aca="false">M715</f>
        <v>#VALUE!</v>
      </c>
      <c r="O712" s="417" t="e">
        <f aca="false">N715</f>
        <v>#VALUE!</v>
      </c>
      <c r="P712" s="417" t="e">
        <f aca="false">O715</f>
        <v>#VALUE!</v>
      </c>
      <c r="Q712" s="417" t="e">
        <f aca="false">P715</f>
        <v>#VALUE!</v>
      </c>
      <c r="R712" s="417" t="e">
        <f aca="false">Q715</f>
        <v>#VALUE!</v>
      </c>
      <c r="S712" s="417" t="e">
        <f aca="false">R715</f>
        <v>#VALUE!</v>
      </c>
      <c r="T712" s="417" t="e">
        <f aca="false">S715</f>
        <v>#VALUE!</v>
      </c>
      <c r="U712" s="417" t="e">
        <f aca="false">T715</f>
        <v>#VALUE!</v>
      </c>
      <c r="V712" s="417" t="e">
        <f aca="false">U715</f>
        <v>#VALUE!</v>
      </c>
      <c r="W712" s="417" t="e">
        <f aca="false">V715</f>
        <v>#VALUE!</v>
      </c>
      <c r="X712" s="417" t="e">
        <f aca="false">W715</f>
        <v>#VALUE!</v>
      </c>
      <c r="Y712" s="417" t="e">
        <f aca="false">X715</f>
        <v>#VALUE!</v>
      </c>
      <c r="Z712" s="417" t="e">
        <f aca="false">Y715</f>
        <v>#VALUE!</v>
      </c>
      <c r="AA712" s="417" t="e">
        <f aca="false">Z715</f>
        <v>#VALUE!</v>
      </c>
      <c r="AB712" s="417" t="e">
        <f aca="false">AA715</f>
        <v>#VALUE!</v>
      </c>
      <c r="AC712" s="417" t="e">
        <f aca="false">AB715</f>
        <v>#VALUE!</v>
      </c>
    </row>
    <row r="713" customFormat="false" ht="11.25" hidden="false" customHeight="false" outlineLevel="0" collapsed="false">
      <c r="A713" s="35" t="s">
        <v>938</v>
      </c>
      <c r="D713" s="417"/>
      <c r="E713" s="417"/>
      <c r="F713" s="417"/>
      <c r="G713" s="417"/>
      <c r="H713" s="67"/>
      <c r="I713" s="432" t="n">
        <f aca="false">IF(I710&lt;=0,I710,0)</f>
        <v>0</v>
      </c>
      <c r="J713" s="417" t="e">
        <f aca="false">IF(J710&lt;=0,J710,0)</f>
        <v>#VALUE!</v>
      </c>
      <c r="K713" s="417" t="e">
        <f aca="false">IF(K710&lt;=0,K710,0)</f>
        <v>#VALUE!</v>
      </c>
      <c r="L713" s="417" t="e">
        <f aca="false">IF(L710&lt;=0,L710,0)</f>
        <v>#VALUE!</v>
      </c>
      <c r="M713" s="417" t="e">
        <f aca="false">IF(M710&lt;=0,M710,0)</f>
        <v>#VALUE!</v>
      </c>
      <c r="N713" s="417" t="e">
        <f aca="false">IF(N710&lt;=0,N710,0)</f>
        <v>#VALUE!</v>
      </c>
      <c r="O713" s="417" t="e">
        <f aca="false">IF(O710&lt;=0,O710,0)</f>
        <v>#VALUE!</v>
      </c>
      <c r="P713" s="417" t="e">
        <f aca="false">IF(P710&lt;=0,P710,0)</f>
        <v>#VALUE!</v>
      </c>
      <c r="Q713" s="417" t="e">
        <f aca="false">IF(Q710&lt;=0,Q710,0)</f>
        <v>#VALUE!</v>
      </c>
      <c r="R713" s="417" t="e">
        <f aca="false">IF(R710&lt;=0,R710,0)</f>
        <v>#VALUE!</v>
      </c>
      <c r="S713" s="417" t="e">
        <f aca="false">IF(S710&lt;=0,S710,0)</f>
        <v>#VALUE!</v>
      </c>
      <c r="T713" s="417" t="e">
        <f aca="false">IF(T710&lt;=0,T710,0)</f>
        <v>#VALUE!</v>
      </c>
      <c r="U713" s="417" t="e">
        <f aca="false">IF(U710&lt;=0,U710,0)</f>
        <v>#VALUE!</v>
      </c>
      <c r="V713" s="417" t="e">
        <f aca="false">IF(V710&lt;=0,V710,0)</f>
        <v>#VALUE!</v>
      </c>
      <c r="W713" s="417" t="e">
        <f aca="false">IF(W710&lt;=0,W710,0)</f>
        <v>#VALUE!</v>
      </c>
      <c r="X713" s="417" t="e">
        <f aca="false">IF(X710&lt;=0,X710,0)</f>
        <v>#VALUE!</v>
      </c>
      <c r="Y713" s="417" t="e">
        <f aca="false">IF(Y710&lt;=0,Y710,0)</f>
        <v>#VALUE!</v>
      </c>
      <c r="Z713" s="417" t="e">
        <f aca="false">IF(Z710&lt;=0,Z710,0)</f>
        <v>#VALUE!</v>
      </c>
      <c r="AA713" s="417" t="e">
        <f aca="false">IF(AA710&lt;=0,AA710,0)</f>
        <v>#VALUE!</v>
      </c>
      <c r="AB713" s="417" t="e">
        <f aca="false">IF(AB710&lt;=0,AB710,0)</f>
        <v>#VALUE!</v>
      </c>
      <c r="AC713" s="417" t="e">
        <f aca="false">IF(AC710&lt;=0,AC710,0)</f>
        <v>#VALUE!</v>
      </c>
    </row>
    <row r="714" customFormat="false" ht="11.25" hidden="false" customHeight="false" outlineLevel="0" collapsed="false">
      <c r="A714" s="43" t="s">
        <v>964</v>
      </c>
      <c r="C714" s="417"/>
      <c r="D714" s="417"/>
      <c r="E714" s="417"/>
      <c r="F714" s="417"/>
      <c r="G714" s="417"/>
      <c r="H714" s="67"/>
      <c r="I714" s="542" t="n">
        <f aca="false">IF(ISERR(IF(I710&lt;0,0,IF(AND(I712&lt;I710,I712/I710&lt;=0.9),I712,0.9*I710))),0,IF(I710&lt;0,0,IF(AND(I712&lt;I710,I712/I710&lt;=0.9),I712,0.9*I710)))</f>
        <v>167.920446232481</v>
      </c>
      <c r="J714" s="543" t="n">
        <f aca="false">IF(ISERR(IF(J710&lt;0,0,IF(AND(J712&lt;J710,J712/J710&lt;=0.9),J712,0.9*J710))),0,IF(J710&lt;0,0,IF(AND(J712&lt;J710,J712/J710&lt;=0.9),J712,0.9*J710)))</f>
        <v>0</v>
      </c>
      <c r="K714" s="543" t="n">
        <f aca="false">IF(ISERR(IF(K710&lt;0,0,IF(AND(K712&lt;K710,K712/K710&lt;=0.9),K712,0.9*K710))),0,IF(K710&lt;0,0,IF(AND(K712&lt;K710,K712/K710&lt;=0.9),K712,0.9*K710)))</f>
        <v>0</v>
      </c>
      <c r="L714" s="543" t="n">
        <f aca="false">IF(ISERR(IF(L710&lt;0,0,IF(AND(L712&lt;L710,L712/L710&lt;=0.9),L712,0.9*L710))),0,IF(L710&lt;0,0,IF(AND(L712&lt;L710,L712/L710&lt;=0.9),L712,0.9*L710)))</f>
        <v>0</v>
      </c>
      <c r="M714" s="543" t="n">
        <f aca="false">IF(ISERR(IF(M710&lt;0,0,IF(AND(M712&lt;M710,M712/M710&lt;=0.9),M712,0.9*M710))),0,IF(M710&lt;0,0,IF(AND(M712&lt;M710,M712/M710&lt;=0.9),M712,0.9*M710)))</f>
        <v>0</v>
      </c>
      <c r="N714" s="543" t="n">
        <f aca="false">IF(ISERR(IF(N710&lt;0,0,IF(AND(N712&lt;N710,N712/N710&lt;=0.9),N712,0.9*N710))),0,IF(N710&lt;0,0,IF(AND(N712&lt;N710,N712/N710&lt;=0.9),N712,0.9*N710)))</f>
        <v>0</v>
      </c>
      <c r="O714" s="543" t="n">
        <f aca="false">IF(ISERR(IF(O710&lt;0,0,IF(AND(O712&lt;O710,O712/O710&lt;=0.9),O712,0.9*O710))),0,IF(O710&lt;0,0,IF(AND(O712&lt;O710,O712/O710&lt;=0.9),O712,0.9*O710)))</f>
        <v>0</v>
      </c>
      <c r="P714" s="543" t="n">
        <f aca="false">IF(ISERR(IF(P710&lt;0,0,IF(AND(P712&lt;P710,P712/P710&lt;=0.9),P712,0.9*P710))),0,IF(P710&lt;0,0,IF(AND(P712&lt;P710,P712/P710&lt;=0.9),P712,0.9*P710)))</f>
        <v>0</v>
      </c>
      <c r="Q714" s="543" t="n">
        <f aca="false">IF(ISERR(IF(Q710&lt;0,0,IF(AND(Q712&lt;Q710,Q712/Q710&lt;=0.9),Q712,0.9*Q710))),0,IF(Q710&lt;0,0,IF(AND(Q712&lt;Q710,Q712/Q710&lt;=0.9),Q712,0.9*Q710)))</f>
        <v>0</v>
      </c>
      <c r="R714" s="543" t="n">
        <f aca="false">IF(ISERR(IF(R710&lt;0,0,IF(AND(R712&lt;R710,R712/R710&lt;=0.9),R712,0.9*R710))),0,IF(R710&lt;0,0,IF(AND(R712&lt;R710,R712/R710&lt;=0.9),R712,0.9*R710)))</f>
        <v>0</v>
      </c>
      <c r="S714" s="543" t="n">
        <f aca="false">IF(ISERR(IF(S710&lt;0,0,IF(AND(S712&lt;S710,S712/S710&lt;=0.9),S712,0.9*S710))),0,IF(S710&lt;0,0,IF(AND(S712&lt;S710,S712/S710&lt;=0.9),S712,0.9*S710)))</f>
        <v>0</v>
      </c>
      <c r="T714" s="543" t="n">
        <f aca="false">IF(ISERR(IF(T710&lt;0,0,IF(AND(T712&lt;T710,T712/T710&lt;=0.9),T712,0.9*T710))),0,IF(T710&lt;0,0,IF(AND(T712&lt;T710,T712/T710&lt;=0.9),T712,0.9*T710)))</f>
        <v>0</v>
      </c>
      <c r="U714" s="543" t="n">
        <f aca="false">IF(ISERR(IF(U710&lt;0,0,IF(AND(U712&lt;U710,U712/U710&lt;=0.9),U712,0.9*U710))),0,IF(U710&lt;0,0,IF(AND(U712&lt;U710,U712/U710&lt;=0.9),U712,0.9*U710)))</f>
        <v>0</v>
      </c>
      <c r="V714" s="543" t="n">
        <f aca="false">IF(ISERR(IF(V710&lt;0,0,IF(AND(V712&lt;V710,V712/V710&lt;=0.9),V712,0.9*V710))),0,IF(V710&lt;0,0,IF(AND(V712&lt;V710,V712/V710&lt;=0.9),V712,0.9*V710)))</f>
        <v>0</v>
      </c>
      <c r="W714" s="543" t="n">
        <f aca="false">IF(ISERR(IF(W710&lt;0,0,IF(AND(W712&lt;W710,W712/W710&lt;=0.9),W712,0.9*W710))),0,IF(W710&lt;0,0,IF(AND(W712&lt;W710,W712/W710&lt;=0.9),W712,0.9*W710)))</f>
        <v>0</v>
      </c>
      <c r="X714" s="543" t="n">
        <f aca="false">IF(ISERR(IF(X710&lt;0,0,IF(AND(X712&lt;X710,X712/X710&lt;=0.9),X712,0.9*X710))),0,IF(X710&lt;0,0,IF(AND(X712&lt;X710,X712/X710&lt;=0.9),X712,0.9*X710)))</f>
        <v>0</v>
      </c>
      <c r="Y714" s="543" t="n">
        <f aca="false">IF(ISERR(IF(Y710&lt;0,0,IF(AND(Y712&lt;Y710,Y712/Y710&lt;=0.9),Y712,0.9*Y710))),0,IF(Y710&lt;0,0,IF(AND(Y712&lt;Y710,Y712/Y710&lt;=0.9),Y712,0.9*Y710)))</f>
        <v>0</v>
      </c>
      <c r="Z714" s="543" t="n">
        <f aca="false">IF(ISERR(IF(Z710&lt;0,0,IF(AND(Z712&lt;Z710,Z712/Z710&lt;=0.9),Z712,0.9*Z710))),0,IF(Z710&lt;0,0,IF(AND(Z712&lt;Z710,Z712/Z710&lt;=0.9),Z712,0.9*Z710)))</f>
        <v>0</v>
      </c>
      <c r="AA714" s="543" t="n">
        <f aca="false">IF(ISERR(IF(AA710&lt;0,0,IF(AND(AA712&lt;AA710,AA712/AA710&lt;=0.9),AA712,0.9*AA710))),0,IF(AA710&lt;0,0,IF(AND(AA712&lt;AA710,AA712/AA710&lt;=0.9),AA712,0.9*AA710)))</f>
        <v>0</v>
      </c>
      <c r="AB714" s="543" t="n">
        <f aca="false">IF(ISERR(IF(AB710&lt;0,0,IF(AND(AB712&lt;AB710,AB712/AB710&lt;=0.9),AB712,0.9*AB710))),0,IF(AB710&lt;0,0,IF(AND(AB712&lt;AB710,AB712/AB710&lt;=0.9),AB712,0.9*AB710)))</f>
        <v>0</v>
      </c>
      <c r="AC714" s="543" t="n">
        <f aca="false">IF(ISERR(IF(AC710&lt;0,0,IF(AND(AC712&lt;AC710,AC712/AC710&lt;=0.9),AC712,0.9*AC710))),0,IF(AC710&lt;0,0,IF(AND(AC712&lt;AC710,AC712/AC710&lt;=0.9),AC712,0.9*AC710)))</f>
        <v>0</v>
      </c>
    </row>
    <row r="715" customFormat="false" ht="11.25" hidden="false" customHeight="false" outlineLevel="0" collapsed="false">
      <c r="A715" s="35" t="s">
        <v>940</v>
      </c>
      <c r="C715" s="417"/>
      <c r="D715" s="417"/>
      <c r="E715" s="417"/>
      <c r="F715" s="417"/>
      <c r="G715" s="417"/>
      <c r="H715" s="67"/>
      <c r="I715" s="419" t="n">
        <f aca="false">I712-I713-I714</f>
        <v>1832.07955376752</v>
      </c>
      <c r="J715" s="419" t="e">
        <f aca="false">J712-J713-J714</f>
        <v>#VALUE!</v>
      </c>
      <c r="K715" s="419" t="e">
        <f aca="false">K712-K713-K714</f>
        <v>#VALUE!</v>
      </c>
      <c r="L715" s="419" t="e">
        <f aca="false">L712-L713-L714</f>
        <v>#VALUE!</v>
      </c>
      <c r="M715" s="419" t="e">
        <f aca="false">M712-M713-M714</f>
        <v>#VALUE!</v>
      </c>
      <c r="N715" s="419" t="e">
        <f aca="false">N712-N713-N714</f>
        <v>#VALUE!</v>
      </c>
      <c r="O715" s="419" t="e">
        <f aca="false">O712-O713-O714</f>
        <v>#VALUE!</v>
      </c>
      <c r="P715" s="419" t="e">
        <f aca="false">P712-P713-P714</f>
        <v>#VALUE!</v>
      </c>
      <c r="Q715" s="419" t="e">
        <f aca="false">Q712-Q713-Q714</f>
        <v>#VALUE!</v>
      </c>
      <c r="R715" s="419" t="e">
        <f aca="false">R712-R713-R714</f>
        <v>#VALUE!</v>
      </c>
      <c r="S715" s="419" t="e">
        <f aca="false">S712-S713-S714</f>
        <v>#VALUE!</v>
      </c>
      <c r="T715" s="419" t="e">
        <f aca="false">T712-T713-T714</f>
        <v>#VALUE!</v>
      </c>
      <c r="U715" s="419" t="e">
        <f aca="false">U712-U713-U714</f>
        <v>#VALUE!</v>
      </c>
      <c r="V715" s="419" t="e">
        <f aca="false">V712-V713-V714</f>
        <v>#VALUE!</v>
      </c>
      <c r="W715" s="419" t="e">
        <f aca="false">W712-W713-W714</f>
        <v>#VALUE!</v>
      </c>
      <c r="X715" s="419" t="e">
        <f aca="false">X712-X713-X714</f>
        <v>#VALUE!</v>
      </c>
      <c r="Y715" s="419" t="e">
        <f aca="false">Y712-Y713-Y714</f>
        <v>#VALUE!</v>
      </c>
      <c r="Z715" s="419" t="e">
        <f aca="false">Z712-Z713-Z714</f>
        <v>#VALUE!</v>
      </c>
      <c r="AA715" s="419" t="e">
        <f aca="false">AA712-AA713-AA714</f>
        <v>#VALUE!</v>
      </c>
      <c r="AB715" s="419" t="e">
        <f aca="false">AB712-AB713-AB714</f>
        <v>#VALUE!</v>
      </c>
      <c r="AC715" s="419" t="e">
        <f aca="false">AC712-AC713-AC714</f>
        <v>#VALUE!</v>
      </c>
    </row>
    <row r="716" customFormat="false" ht="11.25" hidden="false" customHeight="false" outlineLevel="0" collapsed="false">
      <c r="C716" s="417"/>
      <c r="D716" s="417"/>
      <c r="E716" s="417"/>
      <c r="F716" s="417"/>
      <c r="G716" s="417"/>
      <c r="H716" s="67"/>
      <c r="I716" s="432"/>
      <c r="J716" s="417"/>
      <c r="K716" s="417"/>
      <c r="L716" s="417"/>
      <c r="M716" s="417"/>
      <c r="N716" s="417"/>
      <c r="O716" s="417"/>
      <c r="P716" s="417"/>
      <c r="Q716" s="417"/>
      <c r="R716" s="417"/>
      <c r="S716" s="417"/>
      <c r="T716" s="417"/>
      <c r="U716" s="417"/>
      <c r="V716" s="417"/>
      <c r="W716" s="417"/>
      <c r="X716" s="417"/>
      <c r="Y716" s="417"/>
      <c r="Z716" s="417"/>
      <c r="AA716" s="417"/>
      <c r="AB716" s="417"/>
      <c r="AC716" s="417"/>
    </row>
    <row r="717" customFormat="false" ht="11.25" hidden="false" customHeight="false" outlineLevel="0" collapsed="false">
      <c r="A717" s="35" t="s">
        <v>965</v>
      </c>
      <c r="C717" s="417"/>
      <c r="D717" s="417"/>
      <c r="E717" s="417"/>
      <c r="F717" s="417"/>
      <c r="G717" s="417"/>
      <c r="H717" s="67"/>
      <c r="I717" s="432" t="n">
        <f aca="false">IF(I710&lt;=0,0,I710-I714)</f>
        <v>18.6578273591646</v>
      </c>
      <c r="J717" s="417" t="e">
        <f aca="false">IF(J710&lt;=0,0,J710-J714)</f>
        <v>#VALUE!</v>
      </c>
      <c r="K717" s="417" t="e">
        <f aca="false">IF(K710&lt;=0,0,K710-K714)</f>
        <v>#VALUE!</v>
      </c>
      <c r="L717" s="417" t="e">
        <f aca="false">IF(L710&lt;=0,0,L710-L714)</f>
        <v>#VALUE!</v>
      </c>
      <c r="M717" s="417" t="e">
        <f aca="false">IF(M710&lt;=0,0,M710-M714)</f>
        <v>#VALUE!</v>
      </c>
      <c r="N717" s="417" t="e">
        <f aca="false">IF(N710&lt;=0,0,N710-N714)</f>
        <v>#VALUE!</v>
      </c>
      <c r="O717" s="417" t="e">
        <f aca="false">IF(O710&lt;=0,0,O710-O714)</f>
        <v>#VALUE!</v>
      </c>
      <c r="P717" s="417" t="e">
        <f aca="false">IF(P710&lt;=0,0,P710-P714)</f>
        <v>#VALUE!</v>
      </c>
      <c r="Q717" s="417" t="e">
        <f aca="false">IF(Q710&lt;=0,0,Q710-Q714)</f>
        <v>#VALUE!</v>
      </c>
      <c r="R717" s="417" t="e">
        <f aca="false">IF(R710&lt;=0,0,R710-R714)</f>
        <v>#VALUE!</v>
      </c>
      <c r="S717" s="417" t="e">
        <f aca="false">IF(S710&lt;=0,0,S710-S714)</f>
        <v>#VALUE!</v>
      </c>
      <c r="T717" s="417" t="e">
        <f aca="false">IF(T710&lt;=0,0,T710-T714)</f>
        <v>#VALUE!</v>
      </c>
      <c r="U717" s="417" t="e">
        <f aca="false">IF(U710&lt;=0,0,U710-U714)</f>
        <v>#VALUE!</v>
      </c>
      <c r="V717" s="417" t="e">
        <f aca="false">IF(V710&lt;=0,0,V710-V714)</f>
        <v>#VALUE!</v>
      </c>
      <c r="W717" s="417" t="e">
        <f aca="false">IF(W710&lt;=0,0,W710-W714)</f>
        <v>#VALUE!</v>
      </c>
      <c r="X717" s="417" t="e">
        <f aca="false">IF(X710&lt;=0,0,X710-X714)</f>
        <v>#VALUE!</v>
      </c>
      <c r="Y717" s="417" t="e">
        <f aca="false">IF(Y710&lt;=0,0,Y710-Y714)</f>
        <v>#VALUE!</v>
      </c>
      <c r="Z717" s="417" t="e">
        <f aca="false">IF(Z710&lt;=0,0,Z710-Z714)</f>
        <v>#VALUE!</v>
      </c>
      <c r="AA717" s="417" t="e">
        <f aca="false">IF(AA710&lt;=0,0,AA710-AA714)</f>
        <v>#VALUE!</v>
      </c>
      <c r="AB717" s="417" t="e">
        <f aca="false">IF(AB710&lt;=0,0,AB710-AB714)</f>
        <v>#VALUE!</v>
      </c>
      <c r="AC717" s="417" t="e">
        <f aca="false">IF(AC710&lt;=0,0,AC710-AC714)</f>
        <v>#VALUE!</v>
      </c>
    </row>
    <row r="718" customFormat="false" ht="11.25" hidden="false" customHeight="false" outlineLevel="0" collapsed="false">
      <c r="A718" s="35" t="s">
        <v>966</v>
      </c>
      <c r="C718" s="417"/>
      <c r="D718" s="417"/>
      <c r="E718" s="417"/>
      <c r="F718" s="417"/>
      <c r="G718" s="417"/>
      <c r="H718" s="67"/>
      <c r="I718" s="541" t="n">
        <f aca="false">I641</f>
        <v>0.2</v>
      </c>
      <c r="J718" s="544" t="n">
        <f aca="false">J641</f>
        <v>0.2</v>
      </c>
      <c r="K718" s="544" t="n">
        <f aca="false">K641</f>
        <v>0.2</v>
      </c>
      <c r="L718" s="544" t="n">
        <f aca="false">L641</f>
        <v>0.2</v>
      </c>
      <c r="M718" s="544" t="n">
        <f aca="false">M641</f>
        <v>0.2</v>
      </c>
      <c r="N718" s="544" t="n">
        <f aca="false">N641</f>
        <v>0.2</v>
      </c>
      <c r="O718" s="544" t="n">
        <f aca="false">O641</f>
        <v>0.2</v>
      </c>
      <c r="P718" s="544" t="n">
        <f aca="false">P641</f>
        <v>0.2</v>
      </c>
      <c r="Q718" s="544" t="n">
        <f aca="false">Q641</f>
        <v>0.2</v>
      </c>
      <c r="R718" s="544" t="n">
        <f aca="false">R641</f>
        <v>0.2</v>
      </c>
      <c r="S718" s="544" t="n">
        <f aca="false">S641</f>
        <v>0.2</v>
      </c>
      <c r="T718" s="544" t="n">
        <f aca="false">T641</f>
        <v>0.2</v>
      </c>
      <c r="U718" s="544" t="n">
        <f aca="false">U641</f>
        <v>0.2</v>
      </c>
      <c r="V718" s="544" t="n">
        <f aca="false">V641</f>
        <v>0.2</v>
      </c>
      <c r="W718" s="544" t="n">
        <f aca="false">W641</f>
        <v>0.2</v>
      </c>
      <c r="X718" s="544" t="n">
        <f aca="false">X641</f>
        <v>0.2</v>
      </c>
      <c r="Y718" s="544" t="n">
        <f aca="false">Y641</f>
        <v>0.2</v>
      </c>
      <c r="Z718" s="544" t="n">
        <f aca="false">Z641</f>
        <v>0.2</v>
      </c>
      <c r="AA718" s="544" t="n">
        <f aca="false">AA641</f>
        <v>0.2</v>
      </c>
      <c r="AB718" s="544" t="n">
        <f aca="false">AB641</f>
        <v>0.2</v>
      </c>
      <c r="AC718" s="544" t="n">
        <f aca="false">AC641</f>
        <v>0.2</v>
      </c>
    </row>
    <row r="719" customFormat="false" ht="11.25" hidden="false" customHeight="false" outlineLevel="0" collapsed="false">
      <c r="A719" s="4" t="s">
        <v>967</v>
      </c>
      <c r="C719" s="417"/>
      <c r="D719" s="417"/>
      <c r="E719" s="417"/>
      <c r="F719" s="417"/>
      <c r="G719" s="417"/>
      <c r="H719" s="67"/>
      <c r="I719" s="419" t="n">
        <f aca="false">I717*I718</f>
        <v>3.73156547183291</v>
      </c>
      <c r="J719" s="419" t="e">
        <f aca="false">J717*J718</f>
        <v>#VALUE!</v>
      </c>
      <c r="K719" s="419" t="e">
        <f aca="false">K717*K718</f>
        <v>#VALUE!</v>
      </c>
      <c r="L719" s="419" t="e">
        <f aca="false">L717*L718</f>
        <v>#VALUE!</v>
      </c>
      <c r="M719" s="419" t="e">
        <f aca="false">M717*M718</f>
        <v>#VALUE!</v>
      </c>
      <c r="N719" s="419" t="e">
        <f aca="false">N717*N718</f>
        <v>#VALUE!</v>
      </c>
      <c r="O719" s="419" t="e">
        <f aca="false">O717*O718</f>
        <v>#VALUE!</v>
      </c>
      <c r="P719" s="419" t="e">
        <f aca="false">P717*P718</f>
        <v>#VALUE!</v>
      </c>
      <c r="Q719" s="419" t="e">
        <f aca="false">Q717*Q718</f>
        <v>#VALUE!</v>
      </c>
      <c r="R719" s="419" t="e">
        <f aca="false">R717*R718</f>
        <v>#VALUE!</v>
      </c>
      <c r="S719" s="419" t="e">
        <f aca="false">S717*S718</f>
        <v>#VALUE!</v>
      </c>
      <c r="T719" s="419" t="e">
        <f aca="false">T717*T718</f>
        <v>#VALUE!</v>
      </c>
      <c r="U719" s="419" t="e">
        <f aca="false">U717*U718</f>
        <v>#VALUE!</v>
      </c>
      <c r="V719" s="419" t="e">
        <f aca="false">V717*V718</f>
        <v>#VALUE!</v>
      </c>
      <c r="W719" s="419" t="e">
        <f aca="false">W717*W718</f>
        <v>#VALUE!</v>
      </c>
      <c r="X719" s="419" t="e">
        <f aca="false">X717*X718</f>
        <v>#VALUE!</v>
      </c>
      <c r="Y719" s="419" t="e">
        <f aca="false">Y717*Y718</f>
        <v>#VALUE!</v>
      </c>
      <c r="Z719" s="419" t="e">
        <f aca="false">Z717*Z718</f>
        <v>#VALUE!</v>
      </c>
      <c r="AA719" s="419" t="e">
        <f aca="false">AA717*AA718</f>
        <v>#VALUE!</v>
      </c>
      <c r="AB719" s="419" t="e">
        <f aca="false">AB717*AB718</f>
        <v>#VALUE!</v>
      </c>
      <c r="AC719" s="419" t="e">
        <f aca="false">AC717*AC718</f>
        <v>#VALUE!</v>
      </c>
    </row>
    <row r="720" customFormat="false" ht="11.25" hidden="false" customHeight="false" outlineLevel="0" collapsed="false">
      <c r="E720" s="417"/>
      <c r="F720" s="417"/>
      <c r="G720" s="417"/>
      <c r="H720" s="67"/>
      <c r="I720" s="432"/>
      <c r="J720" s="417"/>
      <c r="K720" s="417"/>
      <c r="L720" s="417"/>
      <c r="M720" s="417"/>
      <c r="N720" s="417"/>
      <c r="O720" s="417"/>
      <c r="P720" s="417"/>
      <c r="Q720" s="417"/>
      <c r="R720" s="417"/>
      <c r="S720" s="417"/>
      <c r="T720" s="417"/>
      <c r="U720" s="417"/>
      <c r="V720" s="417"/>
      <c r="W720" s="417"/>
      <c r="X720" s="417"/>
      <c r="Y720" s="417"/>
      <c r="Z720" s="417"/>
      <c r="AA720" s="417"/>
      <c r="AB720" s="417"/>
      <c r="AC720" s="417"/>
    </row>
    <row r="721" customFormat="false" ht="11.25" hidden="false" customHeight="false" outlineLevel="0" collapsed="false">
      <c r="A721" s="5" t="s">
        <v>968</v>
      </c>
      <c r="C721" s="417"/>
      <c r="D721" s="417"/>
      <c r="F721" s="417"/>
      <c r="G721" s="417"/>
      <c r="H721" s="67"/>
      <c r="I721" s="432"/>
      <c r="J721" s="67"/>
      <c r="K721" s="417"/>
      <c r="L721" s="417"/>
      <c r="M721" s="417"/>
      <c r="N721" s="417"/>
      <c r="O721" s="417"/>
      <c r="P721" s="417"/>
      <c r="Q721" s="417"/>
      <c r="R721" s="417"/>
      <c r="S721" s="417"/>
      <c r="T721" s="417"/>
      <c r="U721" s="417"/>
      <c r="V721" s="417"/>
      <c r="W721" s="417"/>
      <c r="X721" s="417"/>
      <c r="Y721" s="417"/>
      <c r="Z721" s="417"/>
      <c r="AA721" s="417"/>
      <c r="AB721" s="417"/>
      <c r="AC721" s="417"/>
    </row>
    <row r="722" customFormat="false" ht="11.25" hidden="false" customHeight="false" outlineLevel="0" collapsed="false">
      <c r="A722" s="67"/>
      <c r="B722" s="35" t="s">
        <v>969</v>
      </c>
      <c r="H722" s="67"/>
      <c r="I722" s="149" t="n">
        <f aca="false">+F646</f>
        <v>11000</v>
      </c>
      <c r="J722" s="35" t="e">
        <f aca="false">I725</f>
        <v>#VALUE!</v>
      </c>
      <c r="K722" s="35" t="e">
        <f aca="false">J725</f>
        <v>#VALUE!</v>
      </c>
      <c r="L722" s="35" t="e">
        <f aca="false">K725</f>
        <v>#VALUE!</v>
      </c>
      <c r="M722" s="35" t="e">
        <f aca="false">L725</f>
        <v>#VALUE!</v>
      </c>
      <c r="N722" s="35" t="e">
        <f aca="false">M725</f>
        <v>#VALUE!</v>
      </c>
      <c r="O722" s="35" t="e">
        <f aca="false">N725</f>
        <v>#VALUE!</v>
      </c>
      <c r="P722" s="35" t="e">
        <f aca="false">O725</f>
        <v>#VALUE!</v>
      </c>
      <c r="Q722" s="35" t="e">
        <f aca="false">P725</f>
        <v>#VALUE!</v>
      </c>
      <c r="R722" s="35" t="e">
        <f aca="false">Q725</f>
        <v>#VALUE!</v>
      </c>
      <c r="S722" s="35" t="e">
        <f aca="false">R725</f>
        <v>#VALUE!</v>
      </c>
      <c r="T722" s="35" t="e">
        <f aca="false">S725</f>
        <v>#VALUE!</v>
      </c>
      <c r="U722" s="35" t="e">
        <f aca="false">T725</f>
        <v>#VALUE!</v>
      </c>
      <c r="V722" s="35" t="e">
        <f aca="false">U725</f>
        <v>#VALUE!</v>
      </c>
      <c r="W722" s="35" t="e">
        <f aca="false">V725</f>
        <v>#VALUE!</v>
      </c>
      <c r="X722" s="35" t="e">
        <f aca="false">W725</f>
        <v>#VALUE!</v>
      </c>
      <c r="Y722" s="35" t="e">
        <f aca="false">X725</f>
        <v>#VALUE!</v>
      </c>
      <c r="Z722" s="35" t="e">
        <f aca="false">Y725</f>
        <v>#VALUE!</v>
      </c>
      <c r="AA722" s="35" t="e">
        <f aca="false">Z725</f>
        <v>#VALUE!</v>
      </c>
      <c r="AB722" s="35" t="e">
        <f aca="false">AA725</f>
        <v>#VALUE!</v>
      </c>
      <c r="AC722" s="35" t="e">
        <f aca="false">AB725</f>
        <v>#VALUE!</v>
      </c>
    </row>
    <row r="723" customFormat="false" ht="11.25" hidden="false" customHeight="false" outlineLevel="0" collapsed="false">
      <c r="A723" s="67"/>
      <c r="B723" s="35" t="s">
        <v>970</v>
      </c>
      <c r="H723" s="67"/>
      <c r="I723" s="149" t="e">
        <f aca="false">IF(I719&gt;I676,-I719,0)</f>
        <v>#VALUE!</v>
      </c>
      <c r="J723" s="35" t="e">
        <f aca="false">IF(J719&gt;J676,-J719,0)</f>
        <v>#VALUE!</v>
      </c>
      <c r="K723" s="35" t="e">
        <f aca="false">IF(K719&gt;K676,-K719,0)</f>
        <v>#VALUE!</v>
      </c>
      <c r="L723" s="35" t="e">
        <f aca="false">IF(L719&gt;L676,-L719,0)</f>
        <v>#VALUE!</v>
      </c>
      <c r="M723" s="35" t="e">
        <f aca="false">IF(M719&gt;M676,-M719,0)</f>
        <v>#VALUE!</v>
      </c>
      <c r="N723" s="35" t="e">
        <f aca="false">IF(N719&gt;N676,-N719,0)</f>
        <v>#VALUE!</v>
      </c>
      <c r="O723" s="35" t="e">
        <f aca="false">IF(O719&gt;O676,-O719,0)</f>
        <v>#VALUE!</v>
      </c>
      <c r="P723" s="35" t="e">
        <f aca="false">IF(P719&gt;P676,-P719,0)</f>
        <v>#VALUE!</v>
      </c>
      <c r="Q723" s="35" t="e">
        <f aca="false">IF(Q719&gt;Q676,-Q719,0)</f>
        <v>#VALUE!</v>
      </c>
      <c r="R723" s="35" t="e">
        <f aca="false">IF(R719&gt;R676,-R719,0)</f>
        <v>#VALUE!</v>
      </c>
      <c r="S723" s="35" t="e">
        <f aca="false">IF(S719&gt;S676,-S719,0)</f>
        <v>#VALUE!</v>
      </c>
      <c r="T723" s="35" t="e">
        <f aca="false">IF(T719&gt;T676,-T719,0)</f>
        <v>#VALUE!</v>
      </c>
      <c r="U723" s="35" t="e">
        <f aca="false">IF(U719&gt;U676,-U719,0)</f>
        <v>#VALUE!</v>
      </c>
      <c r="V723" s="35" t="e">
        <f aca="false">IF(V719&gt;V676,-V719,0)</f>
        <v>#VALUE!</v>
      </c>
      <c r="W723" s="35" t="e">
        <f aca="false">IF(W719&gt;W676,-W719,0)</f>
        <v>#VALUE!</v>
      </c>
      <c r="X723" s="35" t="e">
        <f aca="false">IF(X719&gt;X676,-X719,0)</f>
        <v>#VALUE!</v>
      </c>
      <c r="Y723" s="35" t="e">
        <f aca="false">IF(Y719&gt;Y676,-Y719,0)</f>
        <v>#VALUE!</v>
      </c>
      <c r="Z723" s="35" t="e">
        <f aca="false">IF(Z719&gt;Z676,-Z719,0)</f>
        <v>#VALUE!</v>
      </c>
      <c r="AA723" s="35" t="e">
        <f aca="false">IF(AA719&gt;AA676,-AA719,0)</f>
        <v>#VALUE!</v>
      </c>
      <c r="AB723" s="35" t="e">
        <f aca="false">IF(AB719&gt;AB676,-AB719,0)</f>
        <v>#VALUE!</v>
      </c>
      <c r="AC723" s="35" t="e">
        <f aca="false">IF(AC719&gt;AC676,-AC719,0)</f>
        <v>#VALUE!</v>
      </c>
    </row>
    <row r="724" customFormat="false" ht="11.25" hidden="false" customHeight="false" outlineLevel="0" collapsed="false">
      <c r="A724" s="67"/>
      <c r="B724" s="35" t="s">
        <v>971</v>
      </c>
      <c r="H724" s="67"/>
      <c r="I724" s="149" t="e">
        <f aca="false">IF(AND(I676,I722&gt;0),IF(I676-I719&lt;=0,0,IF(I676&lt;I722,I676,I722)),0)</f>
        <v>#VALUE!</v>
      </c>
      <c r="J724" s="35" t="e">
        <f aca="false">IF(AND(J676,J722&gt;0),IF(J676-J719&lt;=0,0,IF(J676&lt;J722,J676,J722)),0)</f>
        <v>#VALUE!</v>
      </c>
      <c r="K724" s="35" t="e">
        <f aca="false">IF(AND(K676,K722&gt;0),IF(K676-K719&lt;=0,0,IF(K676&lt;K722,K676,K722)),0)</f>
        <v>#VALUE!</v>
      </c>
      <c r="L724" s="35" t="e">
        <f aca="false">IF(AND(L676,L722&gt;0),IF(L676-L719&lt;=0,0,IF(L676&lt;L722,L676,L722)),0)</f>
        <v>#VALUE!</v>
      </c>
      <c r="M724" s="35" t="e">
        <f aca="false">IF(AND(M676,M722&gt;0),IF(M676-M719&lt;=0,0,IF(M676&lt;M722,M676,M722)),0)</f>
        <v>#VALUE!</v>
      </c>
      <c r="N724" s="35" t="e">
        <f aca="false">IF(AND(N676,N722&gt;0),IF(N676-N719&lt;=0,0,IF(N676&lt;N722,N676,N722)),0)</f>
        <v>#VALUE!</v>
      </c>
      <c r="O724" s="35" t="e">
        <f aca="false">IF(AND(O676,O722&gt;0),IF(O676-O719&lt;=0,0,IF(O676&lt;O722,O676,O722)),0)</f>
        <v>#VALUE!</v>
      </c>
      <c r="P724" s="35" t="e">
        <f aca="false">IF(AND(P676,P722&gt;0),IF(P676-P719&lt;=0,0,IF(P676&lt;P722,P676,P722)),0)</f>
        <v>#VALUE!</v>
      </c>
      <c r="Q724" s="35" t="e">
        <f aca="false">IF(AND(Q676,Q722&gt;0),IF(Q676-Q719&lt;=0,0,IF(Q676&lt;Q722,Q676,Q722)),0)</f>
        <v>#VALUE!</v>
      </c>
      <c r="R724" s="35" t="e">
        <f aca="false">IF(AND(R676,R722&gt;0),IF(R676-R719&lt;=0,0,IF(R676&lt;R722,R676,R722)),0)</f>
        <v>#VALUE!</v>
      </c>
      <c r="S724" s="35" t="e">
        <f aca="false">IF(AND(S676,S722&gt;0),IF(S676-S719&lt;=0,0,IF(S676&lt;S722,S676,S722)),0)</f>
        <v>#VALUE!</v>
      </c>
      <c r="T724" s="35" t="e">
        <f aca="false">IF(AND(T676,T722&gt;0),IF(T676-T719&lt;=0,0,IF(T676&lt;T722,T676,T722)),0)</f>
        <v>#VALUE!</v>
      </c>
      <c r="U724" s="35" t="e">
        <f aca="false">IF(AND(U676,U722&gt;0),IF(U676-U719&lt;=0,0,IF(U676&lt;U722,U676,U722)),0)</f>
        <v>#VALUE!</v>
      </c>
      <c r="V724" s="35" t="e">
        <f aca="false">IF(AND(V676,V722&gt;0),IF(V676-V719&lt;=0,0,IF(V676&lt;V722,V676,V722)),0)</f>
        <v>#VALUE!</v>
      </c>
      <c r="W724" s="35" t="e">
        <f aca="false">IF(AND(W676,W722&gt;0),IF(W676-W719&lt;=0,0,IF(W676&lt;W722,W676,W722)),0)</f>
        <v>#VALUE!</v>
      </c>
      <c r="X724" s="35" t="e">
        <f aca="false">IF(AND(X676,X722&gt;0),IF(X676-X719&lt;=0,0,IF(X676&lt;X722,X676,X722)),0)</f>
        <v>#VALUE!</v>
      </c>
      <c r="Y724" s="35" t="e">
        <f aca="false">IF(AND(Y676,Y722&gt;0),IF(Y676-Y719&lt;=0,0,IF(Y676&lt;Y722,Y676,Y722)),0)</f>
        <v>#VALUE!</v>
      </c>
      <c r="Z724" s="35" t="e">
        <f aca="false">IF(AND(Z676,Z722&gt;0),IF(Z676-Z719&lt;=0,0,IF(Z676&lt;Z722,Z676,Z722)),0)</f>
        <v>#VALUE!</v>
      </c>
      <c r="AA724" s="35" t="e">
        <f aca="false">IF(AND(AA676,AA722&gt;0),IF(AA676-AA719&lt;=0,0,IF(AA676&lt;AA722,AA676,AA722)),0)</f>
        <v>#VALUE!</v>
      </c>
      <c r="AB724" s="35" t="e">
        <f aca="false">IF(AND(AB676,AB722&gt;0),IF(AB676-AB719&lt;=0,0,IF(AB676&lt;AB722,AB676,AB722)),0)</f>
        <v>#VALUE!</v>
      </c>
      <c r="AC724" s="35" t="e">
        <f aca="false">IF(AND(AC676,AC722&gt;0),IF(AC676-AC719&lt;=0,0,IF(AC676&lt;AC722,AC676,AC722)),0)</f>
        <v>#VALUE!</v>
      </c>
    </row>
    <row r="725" customFormat="false" ht="11.25" hidden="false" customHeight="false" outlineLevel="0" collapsed="false">
      <c r="A725" s="67"/>
      <c r="B725" s="35" t="s">
        <v>972</v>
      </c>
      <c r="H725" s="67"/>
      <c r="I725" s="158" t="e">
        <f aca="false">I722-I723-I724</f>
        <v>#VALUE!</v>
      </c>
      <c r="J725" s="158" t="e">
        <f aca="false">J722-J723-J724</f>
        <v>#VALUE!</v>
      </c>
      <c r="K725" s="158" t="e">
        <f aca="false">K722-K723-K724</f>
        <v>#VALUE!</v>
      </c>
      <c r="L725" s="158" t="e">
        <f aca="false">L722-L723-L724</f>
        <v>#VALUE!</v>
      </c>
      <c r="M725" s="158" t="e">
        <f aca="false">M722-M723-M724</f>
        <v>#VALUE!</v>
      </c>
      <c r="N725" s="158" t="e">
        <f aca="false">N722-N723-N724</f>
        <v>#VALUE!</v>
      </c>
      <c r="O725" s="158" t="e">
        <f aca="false">O722-O723-O724</f>
        <v>#VALUE!</v>
      </c>
      <c r="P725" s="158" t="e">
        <f aca="false">P722-P723-P724</f>
        <v>#VALUE!</v>
      </c>
      <c r="Q725" s="158" t="e">
        <f aca="false">Q722-Q723-Q724</f>
        <v>#VALUE!</v>
      </c>
      <c r="R725" s="158" t="e">
        <f aca="false">R722-R723-R724</f>
        <v>#VALUE!</v>
      </c>
      <c r="S725" s="158" t="e">
        <f aca="false">S722-S723-S724</f>
        <v>#VALUE!</v>
      </c>
      <c r="T725" s="158" t="e">
        <f aca="false">T722-T723-T724</f>
        <v>#VALUE!</v>
      </c>
      <c r="U725" s="158" t="e">
        <f aca="false">U722-U723-U724</f>
        <v>#VALUE!</v>
      </c>
      <c r="V725" s="158" t="e">
        <f aca="false">V722-V723-V724</f>
        <v>#VALUE!</v>
      </c>
      <c r="W725" s="158" t="e">
        <f aca="false">W722-W723-W724</f>
        <v>#VALUE!</v>
      </c>
      <c r="X725" s="158" t="e">
        <f aca="false">X722-X723-X724</f>
        <v>#VALUE!</v>
      </c>
      <c r="Y725" s="158" t="e">
        <f aca="false">Y722-Y723-Y724</f>
        <v>#VALUE!</v>
      </c>
      <c r="Z725" s="158" t="e">
        <f aca="false">Z722-Z723-Z724</f>
        <v>#VALUE!</v>
      </c>
      <c r="AA725" s="158" t="e">
        <f aca="false">AA722-AA723-AA724</f>
        <v>#VALUE!</v>
      </c>
      <c r="AB725" s="158" t="e">
        <f aca="false">AB722-AB723-AB724</f>
        <v>#VALUE!</v>
      </c>
      <c r="AC725" s="158" t="e">
        <f aca="false">AC722-AC723-AC724</f>
        <v>#VALUE!</v>
      </c>
    </row>
    <row r="726" customFormat="false" ht="11.25" hidden="false" customHeight="false" outlineLevel="0" collapsed="false">
      <c r="A726" s="67"/>
      <c r="H726" s="67"/>
      <c r="I726" s="149"/>
      <c r="J726" s="149"/>
      <c r="K726" s="149"/>
      <c r="L726" s="149"/>
      <c r="M726" s="149"/>
      <c r="N726" s="149"/>
      <c r="O726" s="149"/>
      <c r="P726" s="149"/>
      <c r="Q726" s="149"/>
      <c r="R726" s="149"/>
      <c r="S726" s="149"/>
      <c r="T726" s="149"/>
      <c r="U726" s="149"/>
      <c r="V726" s="149"/>
      <c r="W726" s="149"/>
      <c r="X726" s="149"/>
      <c r="Y726" s="149"/>
      <c r="Z726" s="149"/>
      <c r="AA726" s="149"/>
      <c r="AB726" s="149"/>
      <c r="AC726" s="149"/>
    </row>
    <row r="727" customFormat="false" ht="11.25" hidden="false" customHeight="false" outlineLevel="0" collapsed="false">
      <c r="A727" s="67"/>
      <c r="B727" s="35" t="str">
        <f aca="false">A676</f>
        <v>Regular Taxes before AMT Tax Credit</v>
      </c>
      <c r="H727" s="67"/>
      <c r="I727" s="149" t="e">
        <f aca="false">I676</f>
        <v>#VALUE!</v>
      </c>
      <c r="J727" s="35" t="e">
        <f aca="false">J676</f>
        <v>#VALUE!</v>
      </c>
      <c r="K727" s="35" t="e">
        <f aca="false">K676</f>
        <v>#VALUE!</v>
      </c>
      <c r="L727" s="35" t="e">
        <f aca="false">L676</f>
        <v>#VALUE!</v>
      </c>
      <c r="M727" s="35" t="e">
        <f aca="false">M676</f>
        <v>#VALUE!</v>
      </c>
      <c r="N727" s="35" t="e">
        <f aca="false">N676</f>
        <v>#VALUE!</v>
      </c>
      <c r="O727" s="35" t="e">
        <f aca="false">O676</f>
        <v>#VALUE!</v>
      </c>
      <c r="P727" s="35" t="e">
        <f aca="false">P676</f>
        <v>#VALUE!</v>
      </c>
      <c r="Q727" s="35" t="e">
        <f aca="false">Q676</f>
        <v>#VALUE!</v>
      </c>
      <c r="R727" s="35" t="e">
        <f aca="false">R676</f>
        <v>#VALUE!</v>
      </c>
      <c r="S727" s="35" t="e">
        <f aca="false">S676</f>
        <v>#VALUE!</v>
      </c>
      <c r="T727" s="35" t="e">
        <f aca="false">T676</f>
        <v>#VALUE!</v>
      </c>
      <c r="U727" s="35" t="e">
        <f aca="false">U676</f>
        <v>#VALUE!</v>
      </c>
      <c r="V727" s="35" t="e">
        <f aca="false">V676</f>
        <v>#VALUE!</v>
      </c>
      <c r="W727" s="35" t="e">
        <f aca="false">W676</f>
        <v>#VALUE!</v>
      </c>
      <c r="X727" s="35" t="e">
        <f aca="false">X676</f>
        <v>#VALUE!</v>
      </c>
      <c r="Y727" s="35" t="e">
        <f aca="false">Y676</f>
        <v>#VALUE!</v>
      </c>
      <c r="Z727" s="35" t="e">
        <f aca="false">Z676</f>
        <v>#VALUE!</v>
      </c>
      <c r="AA727" s="35" t="e">
        <f aca="false">AA676</f>
        <v>#VALUE!</v>
      </c>
      <c r="AB727" s="35" t="e">
        <f aca="false">AB676</f>
        <v>#VALUE!</v>
      </c>
      <c r="AC727" s="35" t="e">
        <f aca="false">AC676</f>
        <v>#VALUE!</v>
      </c>
    </row>
    <row r="728" customFormat="false" ht="11.25" hidden="false" customHeight="false" outlineLevel="0" collapsed="false">
      <c r="A728" s="67"/>
      <c r="B728" s="35" t="s">
        <v>971</v>
      </c>
      <c r="H728" s="67"/>
      <c r="I728" s="149" t="e">
        <f aca="false">I724</f>
        <v>#VALUE!</v>
      </c>
      <c r="J728" s="35" t="e">
        <f aca="false">J724</f>
        <v>#VALUE!</v>
      </c>
      <c r="K728" s="35" t="e">
        <f aca="false">K724</f>
        <v>#VALUE!</v>
      </c>
      <c r="L728" s="35" t="e">
        <f aca="false">L724</f>
        <v>#VALUE!</v>
      </c>
      <c r="M728" s="35" t="e">
        <f aca="false">M724</f>
        <v>#VALUE!</v>
      </c>
      <c r="N728" s="35" t="e">
        <f aca="false">N724</f>
        <v>#VALUE!</v>
      </c>
      <c r="O728" s="35" t="e">
        <f aca="false">O724</f>
        <v>#VALUE!</v>
      </c>
      <c r="P728" s="35" t="e">
        <f aca="false">P724</f>
        <v>#VALUE!</v>
      </c>
      <c r="Q728" s="35" t="e">
        <f aca="false">Q724</f>
        <v>#VALUE!</v>
      </c>
      <c r="R728" s="35" t="e">
        <f aca="false">R724</f>
        <v>#VALUE!</v>
      </c>
      <c r="S728" s="35" t="e">
        <f aca="false">S724</f>
        <v>#VALUE!</v>
      </c>
      <c r="T728" s="35" t="e">
        <f aca="false">T724</f>
        <v>#VALUE!</v>
      </c>
      <c r="U728" s="35" t="e">
        <f aca="false">U724</f>
        <v>#VALUE!</v>
      </c>
      <c r="V728" s="35" t="e">
        <f aca="false">V724</f>
        <v>#VALUE!</v>
      </c>
      <c r="W728" s="35" t="e">
        <f aca="false">W724</f>
        <v>#VALUE!</v>
      </c>
      <c r="X728" s="35" t="e">
        <f aca="false">X724</f>
        <v>#VALUE!</v>
      </c>
      <c r="Y728" s="35" t="e">
        <f aca="false">Y724</f>
        <v>#VALUE!</v>
      </c>
      <c r="Z728" s="35" t="e">
        <f aca="false">Z724</f>
        <v>#VALUE!</v>
      </c>
      <c r="AA728" s="35" t="e">
        <f aca="false">AA724</f>
        <v>#VALUE!</v>
      </c>
      <c r="AB728" s="35" t="e">
        <f aca="false">AB724</f>
        <v>#VALUE!</v>
      </c>
      <c r="AC728" s="35" t="e">
        <f aca="false">AC724</f>
        <v>#VALUE!</v>
      </c>
    </row>
    <row r="729" customFormat="false" ht="11.25" hidden="false" customHeight="false" outlineLevel="0" collapsed="false">
      <c r="A729" s="4" t="s">
        <v>973</v>
      </c>
      <c r="H729" s="67"/>
      <c r="I729" s="158" t="e">
        <f aca="false">I727-I728</f>
        <v>#VALUE!</v>
      </c>
      <c r="J729" s="158" t="e">
        <f aca="false">J727-J728</f>
        <v>#VALUE!</v>
      </c>
      <c r="K729" s="158" t="e">
        <f aca="false">K727-K728</f>
        <v>#VALUE!</v>
      </c>
      <c r="L729" s="158" t="e">
        <f aca="false">L727-L728</f>
        <v>#VALUE!</v>
      </c>
      <c r="M729" s="158" t="e">
        <f aca="false">M727-M728</f>
        <v>#VALUE!</v>
      </c>
      <c r="N729" s="158" t="e">
        <f aca="false">N727-N728</f>
        <v>#VALUE!</v>
      </c>
      <c r="O729" s="158" t="e">
        <f aca="false">O727-O728</f>
        <v>#VALUE!</v>
      </c>
      <c r="P729" s="158" t="e">
        <f aca="false">P727-P728</f>
        <v>#VALUE!</v>
      </c>
      <c r="Q729" s="158" t="e">
        <f aca="false">Q727-Q728</f>
        <v>#VALUE!</v>
      </c>
      <c r="R729" s="158" t="e">
        <f aca="false">R727-R728</f>
        <v>#VALUE!</v>
      </c>
      <c r="S729" s="158" t="e">
        <f aca="false">S727-S728</f>
        <v>#VALUE!</v>
      </c>
      <c r="T729" s="158" t="e">
        <f aca="false">T727-T728</f>
        <v>#VALUE!</v>
      </c>
      <c r="U729" s="158" t="e">
        <f aca="false">U727-U728</f>
        <v>#VALUE!</v>
      </c>
      <c r="V729" s="158" t="e">
        <f aca="false">V727-V728</f>
        <v>#VALUE!</v>
      </c>
      <c r="W729" s="158" t="e">
        <f aca="false">W727-W728</f>
        <v>#VALUE!</v>
      </c>
      <c r="X729" s="158" t="e">
        <f aca="false">X727-X728</f>
        <v>#VALUE!</v>
      </c>
      <c r="Y729" s="158" t="e">
        <f aca="false">Y727-Y728</f>
        <v>#VALUE!</v>
      </c>
      <c r="Z729" s="158" t="e">
        <f aca="false">Z727-Z728</f>
        <v>#VALUE!</v>
      </c>
      <c r="AA729" s="158" t="e">
        <f aca="false">AA727-AA728</f>
        <v>#VALUE!</v>
      </c>
      <c r="AB729" s="158" t="e">
        <f aca="false">AB727-AB728</f>
        <v>#VALUE!</v>
      </c>
      <c r="AC729" s="158" t="e">
        <f aca="false">AC727-AC728</f>
        <v>#VALUE!</v>
      </c>
    </row>
    <row r="730" customFormat="false" ht="11.25" hidden="false" customHeight="false" outlineLevel="0" collapsed="false">
      <c r="H730" s="67"/>
      <c r="I730" s="149"/>
      <c r="J730" s="149"/>
      <c r="K730" s="149"/>
      <c r="L730" s="149"/>
      <c r="M730" s="149"/>
      <c r="N730" s="149"/>
      <c r="O730" s="149"/>
      <c r="P730" s="149"/>
      <c r="Q730" s="149"/>
      <c r="R730" s="149"/>
      <c r="S730" s="149"/>
      <c r="T730" s="149"/>
      <c r="U730" s="149"/>
      <c r="V730" s="149"/>
      <c r="W730" s="149"/>
      <c r="X730" s="149"/>
      <c r="Y730" s="149"/>
      <c r="Z730" s="149"/>
      <c r="AA730" s="149"/>
      <c r="AB730" s="149"/>
      <c r="AC730" s="149"/>
    </row>
    <row r="731" customFormat="false" ht="11.25" hidden="false" customHeight="false" outlineLevel="0" collapsed="false">
      <c r="A731" s="4" t="s">
        <v>974</v>
      </c>
      <c r="H731" s="67"/>
      <c r="I731" s="149" t="e">
        <f aca="false">IF(I729&gt;I719,I729,I719)</f>
        <v>#VALUE!</v>
      </c>
      <c r="J731" s="149" t="e">
        <f aca="false">IF(J729&gt;J719,J729,J719)</f>
        <v>#VALUE!</v>
      </c>
      <c r="K731" s="149" t="e">
        <f aca="false">IF(K729&gt;K719,K729,K719)</f>
        <v>#VALUE!</v>
      </c>
      <c r="L731" s="149" t="e">
        <f aca="false">IF(L729&gt;L719,L729,L719)</f>
        <v>#VALUE!</v>
      </c>
      <c r="M731" s="149" t="e">
        <f aca="false">IF(M729&gt;M719,M729,M719)</f>
        <v>#VALUE!</v>
      </c>
      <c r="N731" s="149" t="e">
        <f aca="false">IF(N729&gt;N719,N729,N719)</f>
        <v>#VALUE!</v>
      </c>
      <c r="O731" s="149" t="e">
        <f aca="false">IF(O729&gt;O719,O729,O719)</f>
        <v>#VALUE!</v>
      </c>
      <c r="P731" s="149" t="e">
        <f aca="false">IF(P729&gt;P719,P729,P719)</f>
        <v>#VALUE!</v>
      </c>
      <c r="Q731" s="149" t="e">
        <f aca="false">IF(Q729&gt;Q719,Q729,Q719)</f>
        <v>#VALUE!</v>
      </c>
      <c r="R731" s="149" t="e">
        <f aca="false">IF(R729&gt;R719,R729,R719)</f>
        <v>#VALUE!</v>
      </c>
      <c r="S731" s="149" t="e">
        <f aca="false">IF(S729&gt;S719,S729,S719)</f>
        <v>#VALUE!</v>
      </c>
      <c r="T731" s="149" t="e">
        <f aca="false">IF(T729&gt;T719,T729,T719)</f>
        <v>#VALUE!</v>
      </c>
      <c r="U731" s="149" t="e">
        <f aca="false">IF(U729&gt;U719,U729,U719)</f>
        <v>#VALUE!</v>
      </c>
      <c r="V731" s="149" t="e">
        <f aca="false">IF(V729&gt;V719,V729,V719)</f>
        <v>#VALUE!</v>
      </c>
      <c r="W731" s="149" t="e">
        <f aca="false">IF(W729&gt;W719,W729,W719)</f>
        <v>#VALUE!</v>
      </c>
      <c r="X731" s="149" t="e">
        <f aca="false">IF(X729&gt;X719,X729,X719)</f>
        <v>#VALUE!</v>
      </c>
      <c r="Y731" s="149" t="e">
        <f aca="false">IF(Y729&gt;Y719,Y729,Y719)</f>
        <v>#VALUE!</v>
      </c>
      <c r="Z731" s="149" t="e">
        <f aca="false">IF(Z729&gt;Z719,Z729,Z719)</f>
        <v>#VALUE!</v>
      </c>
      <c r="AA731" s="149" t="e">
        <f aca="false">IF(AA729&gt;AA719,AA729,AA719)</f>
        <v>#VALUE!</v>
      </c>
      <c r="AB731" s="149" t="e">
        <f aca="false">IF(AB729&gt;AB719,AB729,AB719)</f>
        <v>#VALUE!</v>
      </c>
      <c r="AC731" s="149" t="e">
        <f aca="false">IF(AC729&gt;AC719,AC729,AC719)</f>
        <v>#VALUE!</v>
      </c>
    </row>
    <row r="732" customFormat="false" ht="11.25" hidden="false" customHeight="false" outlineLevel="0" collapsed="false">
      <c r="A732" s="4" t="s">
        <v>950</v>
      </c>
      <c r="H732" s="67"/>
      <c r="I732" s="149" t="e">
        <f aca="false">I694</f>
        <v>#VALUE!</v>
      </c>
      <c r="J732" s="35" t="e">
        <f aca="false">J694</f>
        <v>#VALUE!</v>
      </c>
      <c r="K732" s="35" t="e">
        <f aca="false">K694</f>
        <v>#VALUE!</v>
      </c>
      <c r="L732" s="35" t="e">
        <f aca="false">L694</f>
        <v>#VALUE!</v>
      </c>
      <c r="M732" s="35" t="e">
        <f aca="false">M694</f>
        <v>#VALUE!</v>
      </c>
      <c r="N732" s="35" t="e">
        <f aca="false">N694</f>
        <v>#VALUE!</v>
      </c>
      <c r="O732" s="35" t="e">
        <f aca="false">O694</f>
        <v>#VALUE!</v>
      </c>
      <c r="P732" s="35" t="e">
        <f aca="false">P694</f>
        <v>#VALUE!</v>
      </c>
      <c r="Q732" s="35" t="e">
        <f aca="false">Q694</f>
        <v>#VALUE!</v>
      </c>
      <c r="R732" s="35" t="e">
        <f aca="false">R694</f>
        <v>#VALUE!</v>
      </c>
      <c r="S732" s="35" t="e">
        <f aca="false">S694</f>
        <v>#VALUE!</v>
      </c>
      <c r="T732" s="35" t="e">
        <f aca="false">T694</f>
        <v>#VALUE!</v>
      </c>
      <c r="U732" s="35" t="e">
        <f aca="false">U694</f>
        <v>#VALUE!</v>
      </c>
      <c r="V732" s="35" t="e">
        <f aca="false">V694</f>
        <v>#VALUE!</v>
      </c>
      <c r="W732" s="35" t="e">
        <f aca="false">W694</f>
        <v>#VALUE!</v>
      </c>
      <c r="X732" s="35" t="e">
        <f aca="false">X694</f>
        <v>#VALUE!</v>
      </c>
      <c r="Y732" s="35" t="e">
        <f aca="false">Y694</f>
        <v>#VALUE!</v>
      </c>
      <c r="Z732" s="35" t="e">
        <f aca="false">Z694</f>
        <v>#VALUE!</v>
      </c>
      <c r="AA732" s="35" t="e">
        <f aca="false">AA694</f>
        <v>#VALUE!</v>
      </c>
      <c r="AB732" s="35" t="e">
        <f aca="false">AB694</f>
        <v>#VALUE!</v>
      </c>
      <c r="AC732" s="35" t="e">
        <f aca="false">AC694</f>
        <v>#VALUE!</v>
      </c>
    </row>
    <row r="733" customFormat="false" ht="12" hidden="false" customHeight="false" outlineLevel="0" collapsed="false">
      <c r="A733" s="4" t="s">
        <v>679</v>
      </c>
      <c r="C733" s="417"/>
      <c r="D733" s="417"/>
      <c r="E733" s="417"/>
      <c r="F733" s="417"/>
      <c r="G733" s="417"/>
      <c r="H733" s="67"/>
      <c r="I733" s="425" t="e">
        <f aca="false">I732-I731</f>
        <v>#VALUE!</v>
      </c>
      <c r="J733" s="425" t="e">
        <f aca="false">J732-J731</f>
        <v>#VALUE!</v>
      </c>
      <c r="K733" s="425" t="e">
        <f aca="false">K732-K731</f>
        <v>#VALUE!</v>
      </c>
      <c r="L733" s="425" t="e">
        <f aca="false">L732-L731</f>
        <v>#VALUE!</v>
      </c>
      <c r="M733" s="425" t="e">
        <f aca="false">M732-M731</f>
        <v>#VALUE!</v>
      </c>
      <c r="N733" s="425" t="e">
        <f aca="false">N732-N731</f>
        <v>#VALUE!</v>
      </c>
      <c r="O733" s="425" t="e">
        <f aca="false">O732-O731</f>
        <v>#VALUE!</v>
      </c>
      <c r="P733" s="425" t="e">
        <f aca="false">P732-P731</f>
        <v>#VALUE!</v>
      </c>
      <c r="Q733" s="425" t="e">
        <f aca="false">Q732-Q731</f>
        <v>#VALUE!</v>
      </c>
      <c r="R733" s="425" t="e">
        <f aca="false">R732-R731</f>
        <v>#VALUE!</v>
      </c>
      <c r="S733" s="425" t="e">
        <f aca="false">S732-S731</f>
        <v>#VALUE!</v>
      </c>
      <c r="T733" s="425" t="e">
        <f aca="false">T732-T731</f>
        <v>#VALUE!</v>
      </c>
      <c r="U733" s="425" t="e">
        <f aca="false">U732-U731</f>
        <v>#VALUE!</v>
      </c>
      <c r="V733" s="425" t="e">
        <f aca="false">V732-V731</f>
        <v>#VALUE!</v>
      </c>
      <c r="W733" s="425" t="e">
        <f aca="false">W732-W731</f>
        <v>#VALUE!</v>
      </c>
      <c r="X733" s="425" t="e">
        <f aca="false">X732-X731</f>
        <v>#VALUE!</v>
      </c>
      <c r="Y733" s="425"/>
      <c r="Z733" s="425" t="e">
        <f aca="false">Z732-Z731</f>
        <v>#VALUE!</v>
      </c>
      <c r="AA733" s="425" t="e">
        <f aca="false">AA732-AA731</f>
        <v>#VALUE!</v>
      </c>
      <c r="AB733" s="425" t="e">
        <f aca="false">AB732-AB731</f>
        <v>#VALUE!</v>
      </c>
      <c r="AC733" s="425" t="e">
        <f aca="false">AC732-AC731</f>
        <v>#VALUE!</v>
      </c>
    </row>
    <row r="734" customFormat="false" ht="12" hidden="false" customHeight="false" outlineLevel="0" collapsed="false">
      <c r="H734" s="67"/>
      <c r="I734" s="149"/>
      <c r="J734" s="149"/>
      <c r="K734" s="149"/>
      <c r="L734" s="149"/>
      <c r="M734" s="149"/>
      <c r="N734" s="149"/>
      <c r="O734" s="149"/>
      <c r="P734" s="149"/>
      <c r="Q734" s="149"/>
      <c r="R734" s="149"/>
      <c r="S734" s="149"/>
      <c r="T734" s="149"/>
      <c r="U734" s="149"/>
      <c r="V734" s="149"/>
      <c r="W734" s="149"/>
      <c r="X734" s="149"/>
      <c r="Y734" s="149"/>
      <c r="Z734" s="149"/>
      <c r="AA734" s="149"/>
      <c r="AB734" s="149"/>
      <c r="AC734" s="149"/>
    </row>
    <row r="735" customFormat="false" ht="12" hidden="false" customHeight="false" outlineLevel="0" collapsed="false">
      <c r="H735" s="67"/>
      <c r="I735" s="149"/>
      <c r="J735" s="149"/>
      <c r="K735" s="149"/>
      <c r="L735" s="149"/>
      <c r="M735" s="149"/>
      <c r="N735" s="149"/>
      <c r="O735" s="149"/>
      <c r="P735" s="149"/>
      <c r="Q735" s="149"/>
      <c r="R735" s="149"/>
      <c r="S735" s="149"/>
      <c r="T735" s="149"/>
      <c r="U735" s="149"/>
      <c r="V735" s="149"/>
      <c r="W735" s="149"/>
      <c r="X735" s="149"/>
      <c r="Y735" s="149"/>
      <c r="Z735" s="149"/>
      <c r="AA735" s="149"/>
      <c r="AB735" s="149"/>
      <c r="AC735" s="149"/>
    </row>
    <row r="736" customFormat="false" ht="12" hidden="false" customHeight="false" outlineLevel="0" collapsed="false">
      <c r="A736" s="536"/>
      <c r="B736" s="536"/>
      <c r="C736" s="536"/>
      <c r="D736" s="536"/>
      <c r="E736" s="536"/>
      <c r="F736" s="536"/>
      <c r="G736" s="536"/>
      <c r="H736" s="130"/>
      <c r="I736" s="536"/>
      <c r="J736" s="536"/>
      <c r="K736" s="536"/>
      <c r="L736" s="536"/>
      <c r="M736" s="536"/>
      <c r="N736" s="536"/>
      <c r="O736" s="536"/>
      <c r="P736" s="536"/>
      <c r="Q736" s="536"/>
      <c r="R736" s="536"/>
      <c r="S736" s="536"/>
      <c r="T736" s="536"/>
      <c r="U736" s="536"/>
      <c r="V736" s="536"/>
      <c r="W736" s="536"/>
      <c r="X736" s="536"/>
      <c r="Y736" s="536"/>
      <c r="Z736" s="536"/>
      <c r="AA736" s="536"/>
      <c r="AB736" s="536"/>
      <c r="AC736" s="536"/>
    </row>
    <row r="737" customFormat="false" ht="11.25" hidden="false" customHeight="false" outlineLevel="0" collapsed="false">
      <c r="A737" s="153" t="s">
        <v>975</v>
      </c>
      <c r="H737" s="67"/>
      <c r="I737" s="149"/>
      <c r="J737" s="149"/>
      <c r="K737" s="149"/>
      <c r="L737" s="149"/>
      <c r="M737" s="149"/>
      <c r="N737" s="149"/>
      <c r="O737" s="149"/>
      <c r="P737" s="149"/>
      <c r="Q737" s="149"/>
      <c r="R737" s="149"/>
      <c r="S737" s="149"/>
      <c r="T737" s="149"/>
      <c r="U737" s="149"/>
      <c r="V737" s="149"/>
      <c r="W737" s="149"/>
      <c r="X737" s="149"/>
      <c r="Y737" s="149"/>
      <c r="Z737" s="149"/>
      <c r="AA737" s="149"/>
      <c r="AB737" s="149"/>
      <c r="AC737" s="149"/>
    </row>
    <row r="738" customFormat="false" ht="11.25" hidden="false" customHeight="false" outlineLevel="0" collapsed="false">
      <c r="B738" s="43" t="s">
        <v>976</v>
      </c>
      <c r="H738" s="67"/>
      <c r="I738" s="149" t="n">
        <f aca="false">+I952</f>
        <v>0</v>
      </c>
      <c r="J738" s="149" t="n">
        <f aca="false">+J952</f>
        <v>0</v>
      </c>
      <c r="K738" s="149" t="n">
        <f aca="false">+K952</f>
        <v>0</v>
      </c>
      <c r="L738" s="149" t="n">
        <f aca="false">+L952</f>
        <v>0</v>
      </c>
      <c r="M738" s="149" t="n">
        <f aca="false">+M952</f>
        <v>0</v>
      </c>
      <c r="N738" s="149" t="n">
        <f aca="false">+N952</f>
        <v>0</v>
      </c>
      <c r="O738" s="149" t="n">
        <f aca="false">+O952</f>
        <v>25.811</v>
      </c>
      <c r="P738" s="149" t="n">
        <f aca="false">+P952</f>
        <v>5.512</v>
      </c>
      <c r="Q738" s="149" t="n">
        <f aca="false">+Q952</f>
        <v>16.2</v>
      </c>
      <c r="R738" s="149" t="n">
        <f aca="false">+R952</f>
        <v>0</v>
      </c>
      <c r="S738" s="149" t="n">
        <f aca="false">+S952</f>
        <v>0</v>
      </c>
      <c r="T738" s="149" t="n">
        <f aca="false">+T952</f>
        <v>0</v>
      </c>
      <c r="U738" s="149" t="n">
        <f aca="false">+U952</f>
        <v>0</v>
      </c>
      <c r="V738" s="149" t="n">
        <f aca="false">+V952</f>
        <v>0</v>
      </c>
      <c r="W738" s="149" t="n">
        <f aca="false">+W952</f>
        <v>0</v>
      </c>
      <c r="X738" s="149" t="n">
        <f aca="false">+X952</f>
        <v>0</v>
      </c>
      <c r="Y738" s="149" t="n">
        <f aca="false">+Y952</f>
        <v>0</v>
      </c>
      <c r="Z738" s="149" t="n">
        <f aca="false">+Z952</f>
        <v>0</v>
      </c>
      <c r="AA738" s="149" t="n">
        <f aca="false">+AA952</f>
        <v>0</v>
      </c>
      <c r="AB738" s="149" t="n">
        <f aca="false">+AB952</f>
        <v>0</v>
      </c>
      <c r="AC738" s="149" t="n">
        <f aca="false">+AC952</f>
        <v>0</v>
      </c>
    </row>
    <row r="739" customFormat="false" ht="11.25" hidden="false" customHeight="false" outlineLevel="0" collapsed="false">
      <c r="B739" s="35" t="s">
        <v>977</v>
      </c>
      <c r="H739" s="67"/>
      <c r="I739" s="545" t="n">
        <f aca="false">+I648</f>
        <v>0.7</v>
      </c>
      <c r="J739" s="545" t="n">
        <f aca="false">+J648</f>
        <v>0.7</v>
      </c>
      <c r="K739" s="545" t="n">
        <f aca="false">+K648</f>
        <v>0.7</v>
      </c>
      <c r="L739" s="545" t="n">
        <f aca="false">+L648</f>
        <v>0.7</v>
      </c>
      <c r="M739" s="545" t="n">
        <f aca="false">+M648</f>
        <v>0.7</v>
      </c>
      <c r="N739" s="545" t="n">
        <f aca="false">+N648</f>
        <v>0.7</v>
      </c>
      <c r="O739" s="545" t="n">
        <f aca="false">+O648</f>
        <v>0.7</v>
      </c>
      <c r="P739" s="545" t="n">
        <f aca="false">+P648</f>
        <v>0.7</v>
      </c>
      <c r="Q739" s="545" t="n">
        <f aca="false">+Q648</f>
        <v>0.7</v>
      </c>
      <c r="R739" s="545" t="n">
        <f aca="false">+R648</f>
        <v>0.7</v>
      </c>
      <c r="S739" s="545" t="n">
        <f aca="false">+S648</f>
        <v>0.7</v>
      </c>
      <c r="T739" s="545" t="n">
        <f aca="false">+T648</f>
        <v>0.7</v>
      </c>
      <c r="U739" s="545" t="n">
        <f aca="false">+U648</f>
        <v>0.7</v>
      </c>
      <c r="V739" s="545" t="n">
        <f aca="false">+V648</f>
        <v>0.7</v>
      </c>
      <c r="W739" s="545" t="n">
        <f aca="false">+W648</f>
        <v>0.7</v>
      </c>
      <c r="X739" s="545" t="n">
        <f aca="false">+X648</f>
        <v>0.7</v>
      </c>
      <c r="Y739" s="545" t="n">
        <f aca="false">+Y648</f>
        <v>0.7</v>
      </c>
      <c r="Z739" s="545" t="n">
        <f aca="false">+Z648</f>
        <v>0.7</v>
      </c>
      <c r="AA739" s="545" t="n">
        <f aca="false">+AA648</f>
        <v>0.7</v>
      </c>
      <c r="AB739" s="545" t="n">
        <f aca="false">+AB648</f>
        <v>0.7</v>
      </c>
      <c r="AC739" s="545" t="n">
        <f aca="false">+AC648</f>
        <v>0.7</v>
      </c>
    </row>
    <row r="740" customFormat="false" ht="11.25" hidden="false" customHeight="false" outlineLevel="0" collapsed="false">
      <c r="B740" s="35" t="s">
        <v>978</v>
      </c>
      <c r="H740" s="67"/>
      <c r="I740" s="158" t="n">
        <f aca="false">+I739*I738</f>
        <v>0</v>
      </c>
      <c r="J740" s="158" t="n">
        <f aca="false">+J739*J738</f>
        <v>0</v>
      </c>
      <c r="K740" s="158" t="n">
        <f aca="false">+K739*K738</f>
        <v>0</v>
      </c>
      <c r="L740" s="158" t="n">
        <f aca="false">+L739*L738</f>
        <v>0</v>
      </c>
      <c r="M740" s="158" t="n">
        <f aca="false">+M739*M738</f>
        <v>0</v>
      </c>
      <c r="N740" s="158" t="n">
        <f aca="false">+N739*N738</f>
        <v>0</v>
      </c>
      <c r="O740" s="158" t="n">
        <f aca="false">+O739*O738</f>
        <v>18.0677</v>
      </c>
      <c r="P740" s="158" t="n">
        <f aca="false">+P739*P738</f>
        <v>3.8584</v>
      </c>
      <c r="Q740" s="158" t="n">
        <f aca="false">+Q739*Q738</f>
        <v>11.34</v>
      </c>
      <c r="R740" s="158" t="n">
        <f aca="false">+R739*R738</f>
        <v>0</v>
      </c>
      <c r="S740" s="158" t="n">
        <f aca="false">+S739*S738</f>
        <v>0</v>
      </c>
      <c r="T740" s="158" t="n">
        <f aca="false">+T739*T738</f>
        <v>0</v>
      </c>
      <c r="U740" s="158" t="n">
        <f aca="false">+U739*U738</f>
        <v>0</v>
      </c>
      <c r="V740" s="158" t="n">
        <f aca="false">+V739*V738</f>
        <v>0</v>
      </c>
      <c r="W740" s="158" t="n">
        <f aca="false">+W739*W738</f>
        <v>0</v>
      </c>
      <c r="X740" s="158" t="n">
        <f aca="false">+X739*X738</f>
        <v>0</v>
      </c>
      <c r="Y740" s="158" t="n">
        <f aca="false">+Y739*Y738</f>
        <v>0</v>
      </c>
      <c r="Z740" s="158" t="n">
        <f aca="false">+Z739*Z738</f>
        <v>0</v>
      </c>
      <c r="AA740" s="158" t="n">
        <f aca="false">+AA739*AA738</f>
        <v>0</v>
      </c>
      <c r="AB740" s="158" t="n">
        <f aca="false">+AB739*AB738</f>
        <v>0</v>
      </c>
      <c r="AC740" s="158" t="n">
        <f aca="false">+AC739*AC738</f>
        <v>0</v>
      </c>
    </row>
    <row r="741" customFormat="false" ht="11.25" hidden="false" customHeight="false" outlineLevel="0" collapsed="false">
      <c r="B741" s="43" t="s">
        <v>979</v>
      </c>
      <c r="H741" s="67"/>
      <c r="I741" s="545" t="n">
        <v>0.9</v>
      </c>
      <c r="J741" s="545" t="n">
        <f aca="false">I741</f>
        <v>0.9</v>
      </c>
      <c r="K741" s="545" t="n">
        <f aca="false">J741</f>
        <v>0.9</v>
      </c>
      <c r="L741" s="545" t="n">
        <f aca="false">K741</f>
        <v>0.9</v>
      </c>
      <c r="M741" s="545" t="n">
        <f aca="false">L741</f>
        <v>0.9</v>
      </c>
      <c r="N741" s="545" t="n">
        <f aca="false">M741</f>
        <v>0.9</v>
      </c>
      <c r="O741" s="545" t="n">
        <f aca="false">N741</f>
        <v>0.9</v>
      </c>
      <c r="P741" s="545" t="n">
        <f aca="false">O741</f>
        <v>0.9</v>
      </c>
      <c r="Q741" s="545" t="n">
        <f aca="false">P741</f>
        <v>0.9</v>
      </c>
      <c r="R741" s="545" t="n">
        <f aca="false">Q741</f>
        <v>0.9</v>
      </c>
      <c r="S741" s="545" t="n">
        <f aca="false">R741</f>
        <v>0.9</v>
      </c>
      <c r="T741" s="545" t="n">
        <f aca="false">S741</f>
        <v>0.9</v>
      </c>
      <c r="U741" s="545" t="n">
        <f aca="false">T741</f>
        <v>0.9</v>
      </c>
      <c r="V741" s="545" t="n">
        <f aca="false">U741</f>
        <v>0.9</v>
      </c>
      <c r="W741" s="545" t="n">
        <f aca="false">V741</f>
        <v>0.9</v>
      </c>
      <c r="X741" s="545" t="n">
        <f aca="false">W741</f>
        <v>0.9</v>
      </c>
      <c r="Y741" s="545" t="n">
        <f aca="false">X741</f>
        <v>0.9</v>
      </c>
      <c r="Z741" s="545" t="n">
        <f aca="false">Y741</f>
        <v>0.9</v>
      </c>
      <c r="AA741" s="545" t="n">
        <f aca="false">Z741</f>
        <v>0.9</v>
      </c>
      <c r="AB741" s="545" t="n">
        <f aca="false">AA741</f>
        <v>0.9</v>
      </c>
      <c r="AC741" s="545" t="n">
        <f aca="false">AB741</f>
        <v>0.9</v>
      </c>
    </row>
    <row r="742" customFormat="false" ht="11.25" hidden="false" customHeight="false" outlineLevel="0" collapsed="false">
      <c r="B742" s="43" t="s">
        <v>980</v>
      </c>
      <c r="H742" s="67"/>
      <c r="I742" s="158" t="n">
        <f aca="false">+I740*I741</f>
        <v>0</v>
      </c>
      <c r="J742" s="158" t="n">
        <f aca="false">+J740*J741</f>
        <v>0</v>
      </c>
      <c r="K742" s="158" t="n">
        <f aca="false">+K740*K741</f>
        <v>0</v>
      </c>
      <c r="L742" s="158" t="n">
        <f aca="false">+L740*L741</f>
        <v>0</v>
      </c>
      <c r="M742" s="158" t="n">
        <f aca="false">+M740*M741</f>
        <v>0</v>
      </c>
      <c r="N742" s="158" t="n">
        <f aca="false">+N740*N741</f>
        <v>0</v>
      </c>
      <c r="O742" s="158" t="n">
        <f aca="false">+O740*O741</f>
        <v>16.26093</v>
      </c>
      <c r="P742" s="158" t="n">
        <f aca="false">+P740*P741</f>
        <v>3.47256</v>
      </c>
      <c r="Q742" s="158" t="n">
        <f aca="false">+Q740*Q741</f>
        <v>10.206</v>
      </c>
      <c r="R742" s="158" t="n">
        <f aca="false">+R740*R741</f>
        <v>0</v>
      </c>
      <c r="S742" s="158" t="n">
        <f aca="false">+S740*S741</f>
        <v>0</v>
      </c>
      <c r="T742" s="158" t="n">
        <f aca="false">+T740*T741</f>
        <v>0</v>
      </c>
      <c r="U742" s="158" t="n">
        <f aca="false">+U740*U741</f>
        <v>0</v>
      </c>
      <c r="V742" s="158" t="n">
        <f aca="false">+V740*V741</f>
        <v>0</v>
      </c>
      <c r="W742" s="158" t="n">
        <f aca="false">+W740*W741</f>
        <v>0</v>
      </c>
      <c r="X742" s="158" t="n">
        <f aca="false">+X740*X741</f>
        <v>0</v>
      </c>
      <c r="Y742" s="158" t="n">
        <f aca="false">+Y740*Y741</f>
        <v>0</v>
      </c>
      <c r="Z742" s="158" t="n">
        <f aca="false">+Z740*Z741</f>
        <v>0</v>
      </c>
      <c r="AA742" s="158" t="n">
        <f aca="false">+AA740*AA741</f>
        <v>0</v>
      </c>
      <c r="AB742" s="158" t="n">
        <f aca="false">+AB740*AB741</f>
        <v>0</v>
      </c>
      <c r="AC742" s="158" t="n">
        <f aca="false">+AC740*AC741</f>
        <v>0</v>
      </c>
    </row>
    <row r="743" customFormat="false" ht="11.25" hidden="false" customHeight="false" outlineLevel="0" collapsed="false">
      <c r="B743" s="43"/>
      <c r="H743" s="67"/>
      <c r="I743" s="149"/>
      <c r="J743" s="149"/>
      <c r="K743" s="149"/>
      <c r="L743" s="149"/>
      <c r="M743" s="149"/>
      <c r="N743" s="149"/>
      <c r="O743" s="149"/>
      <c r="P743" s="149"/>
      <c r="Q743" s="149"/>
      <c r="R743" s="149"/>
      <c r="S743" s="149"/>
      <c r="T743" s="149"/>
      <c r="U743" s="149"/>
      <c r="V743" s="149"/>
      <c r="W743" s="149"/>
      <c r="X743" s="149"/>
      <c r="Y743" s="149"/>
      <c r="Z743" s="149"/>
      <c r="AA743" s="149"/>
      <c r="AB743" s="149"/>
      <c r="AC743" s="149"/>
    </row>
    <row r="744" customFormat="false" ht="11.25" hidden="false" customHeight="false" outlineLevel="0" collapsed="false">
      <c r="B744" s="43" t="s">
        <v>981</v>
      </c>
      <c r="H744" s="67"/>
      <c r="I744" s="149" t="n">
        <f aca="false">+I938-I939</f>
        <v>-478.405829722169</v>
      </c>
      <c r="J744" s="149" t="n">
        <f aca="false">+J938-J939</f>
        <v>-1099.18750394434</v>
      </c>
      <c r="K744" s="149" t="n">
        <f aca="false">+K938-K939</f>
        <v>-1029.19522792534</v>
      </c>
      <c r="L744" s="149" t="n">
        <f aca="false">+L938-L939</f>
        <v>-976.491745166355</v>
      </c>
      <c r="M744" s="149" t="n">
        <f aca="false">+M938-M939</f>
        <v>-918.053337924344</v>
      </c>
      <c r="N744" s="149" t="n">
        <f aca="false">+N938-N939</f>
        <v>-845.734802591897</v>
      </c>
      <c r="O744" s="149" t="n">
        <f aca="false">+O938-O939</f>
        <v>-745.418705879542</v>
      </c>
      <c r="P744" s="149" t="n">
        <f aca="false">+P938-P939</f>
        <v>-646.496911499788</v>
      </c>
      <c r="Q744" s="149" t="n">
        <f aca="false">+Q938-Q939</f>
        <v>-578.443760780117</v>
      </c>
      <c r="R744" s="149" t="n">
        <f aca="false">+R938-R939</f>
        <v>-504.071140711299</v>
      </c>
      <c r="S744" s="149" t="n">
        <f aca="false">+S938-S939</f>
        <v>-417.43197737984</v>
      </c>
      <c r="T744" s="149" t="n">
        <f aca="false">+T938-T939</f>
        <v>-356.977986537322</v>
      </c>
      <c r="U744" s="149" t="n">
        <f aca="false">+U938-U939</f>
        <v>-305.625525296994</v>
      </c>
      <c r="V744" s="149" t="n">
        <f aca="false">+V938-V939</f>
        <v>-258.040639792245</v>
      </c>
      <c r="W744" s="149" t="n">
        <f aca="false">+W938-W939</f>
        <v>-198.443663346487</v>
      </c>
      <c r="X744" s="149" t="n">
        <f aca="false">+X938-X939</f>
        <v>-164.6599102117</v>
      </c>
      <c r="Y744" s="149" t="n">
        <f aca="false">+Y938-Y939</f>
        <v>-119.215963049126</v>
      </c>
      <c r="Z744" s="149" t="n">
        <f aca="false">+Z938-Z939</f>
        <v>-84.0023737323285</v>
      </c>
      <c r="AA744" s="149" t="n">
        <f aca="false">+AA938-AA939</f>
        <v>-64.242270065354</v>
      </c>
      <c r="AB744" s="149" t="n">
        <f aca="false">+AB938-AB939</f>
        <v>-49.4240716797637</v>
      </c>
      <c r="AC744" s="149" t="n">
        <f aca="false">+AC938-AC939</f>
        <v>-40.8428039707709</v>
      </c>
    </row>
    <row r="745" customFormat="false" ht="11.25" hidden="false" customHeight="false" outlineLevel="0" collapsed="false">
      <c r="B745" s="35" t="s">
        <v>982</v>
      </c>
      <c r="H745" s="67"/>
      <c r="I745" s="545" t="n">
        <v>0.65</v>
      </c>
      <c r="J745" s="545" t="n">
        <f aca="false">I745</f>
        <v>0.65</v>
      </c>
      <c r="K745" s="545" t="n">
        <f aca="false">J745</f>
        <v>0.65</v>
      </c>
      <c r="L745" s="545" t="n">
        <f aca="false">K745</f>
        <v>0.65</v>
      </c>
      <c r="M745" s="545" t="n">
        <f aca="false">L745</f>
        <v>0.65</v>
      </c>
      <c r="N745" s="545" t="n">
        <f aca="false">M745</f>
        <v>0.65</v>
      </c>
      <c r="O745" s="545" t="n">
        <f aca="false">N745</f>
        <v>0.65</v>
      </c>
      <c r="P745" s="545" t="n">
        <f aca="false">O745</f>
        <v>0.65</v>
      </c>
      <c r="Q745" s="545" t="n">
        <f aca="false">P745</f>
        <v>0.65</v>
      </c>
      <c r="R745" s="545" t="n">
        <f aca="false">Q745</f>
        <v>0.65</v>
      </c>
      <c r="S745" s="545" t="n">
        <f aca="false">R745</f>
        <v>0.65</v>
      </c>
      <c r="T745" s="545" t="n">
        <f aca="false">S745</f>
        <v>0.65</v>
      </c>
      <c r="U745" s="545" t="n">
        <f aca="false">T745</f>
        <v>0.65</v>
      </c>
      <c r="V745" s="545" t="n">
        <f aca="false">U745</f>
        <v>0.65</v>
      </c>
      <c r="W745" s="545" t="n">
        <f aca="false">V745</f>
        <v>0.65</v>
      </c>
      <c r="X745" s="545" t="n">
        <f aca="false">W745</f>
        <v>0.65</v>
      </c>
      <c r="Y745" s="545" t="n">
        <f aca="false">X745</f>
        <v>0.65</v>
      </c>
      <c r="Z745" s="545" t="n">
        <f aca="false">Y745</f>
        <v>0.65</v>
      </c>
      <c r="AA745" s="545" t="n">
        <f aca="false">Z745</f>
        <v>0.65</v>
      </c>
      <c r="AB745" s="545" t="n">
        <f aca="false">AA745</f>
        <v>0.65</v>
      </c>
      <c r="AC745" s="545" t="n">
        <f aca="false">AB745</f>
        <v>0.65</v>
      </c>
    </row>
    <row r="746" customFormat="false" ht="11.25" hidden="false" customHeight="false" outlineLevel="0" collapsed="false">
      <c r="B746" s="43" t="s">
        <v>983</v>
      </c>
      <c r="H746" s="67"/>
      <c r="I746" s="158" t="n">
        <f aca="false">+I744*I745</f>
        <v>-310.96378931941</v>
      </c>
      <c r="J746" s="158" t="n">
        <f aca="false">+J744*J745</f>
        <v>-714.471877563819</v>
      </c>
      <c r="K746" s="158" t="n">
        <f aca="false">+K744*K745</f>
        <v>-668.976898151473</v>
      </c>
      <c r="L746" s="158" t="n">
        <f aca="false">+L744*L745</f>
        <v>-634.71963435813</v>
      </c>
      <c r="M746" s="158" t="n">
        <f aca="false">+M744*M745</f>
        <v>-596.734669650823</v>
      </c>
      <c r="N746" s="158" t="n">
        <f aca="false">+N744*N745</f>
        <v>-549.727621684733</v>
      </c>
      <c r="O746" s="158" t="n">
        <f aca="false">+O744*O745</f>
        <v>-484.522158821703</v>
      </c>
      <c r="P746" s="158" t="n">
        <f aca="false">+P744*P745</f>
        <v>-420.222992474862</v>
      </c>
      <c r="Q746" s="158" t="n">
        <f aca="false">+Q744*Q745</f>
        <v>-375.988444507076</v>
      </c>
      <c r="R746" s="158" t="n">
        <f aca="false">+R744*R745</f>
        <v>-327.646241462345</v>
      </c>
      <c r="S746" s="158" t="n">
        <f aca="false">+S744*S745</f>
        <v>-271.330785296896</v>
      </c>
      <c r="T746" s="158" t="n">
        <f aca="false">+T744*T745</f>
        <v>-232.035691249259</v>
      </c>
      <c r="U746" s="158" t="n">
        <f aca="false">+U744*U745</f>
        <v>-198.656591443046</v>
      </c>
      <c r="V746" s="158" t="n">
        <f aca="false">+V744*V745</f>
        <v>-167.726415864959</v>
      </c>
      <c r="W746" s="158" t="n">
        <f aca="false">+W744*W745</f>
        <v>-128.988381175216</v>
      </c>
      <c r="X746" s="158" t="n">
        <f aca="false">+X744*X745</f>
        <v>-107.028941637605</v>
      </c>
      <c r="Y746" s="158" t="n">
        <f aca="false">+Y744*Y745</f>
        <v>-77.4903759819317</v>
      </c>
      <c r="Z746" s="158" t="n">
        <f aca="false">+Z744*Z745</f>
        <v>-54.6015429260135</v>
      </c>
      <c r="AA746" s="158" t="n">
        <f aca="false">+AA744*AA745</f>
        <v>-41.7574755424801</v>
      </c>
      <c r="AB746" s="158" t="n">
        <f aca="false">+AB744*AB745</f>
        <v>-32.1256465918464</v>
      </c>
      <c r="AC746" s="158" t="n">
        <f aca="false">+AC744*AC745</f>
        <v>-26.5478225810011</v>
      </c>
    </row>
    <row r="747" customFormat="false" ht="11.25" hidden="false" customHeight="false" outlineLevel="0" collapsed="false">
      <c r="H747" s="67"/>
      <c r="I747" s="545"/>
      <c r="J747" s="149"/>
      <c r="K747" s="149"/>
      <c r="L747" s="149"/>
      <c r="M747" s="149"/>
      <c r="N747" s="149"/>
      <c r="O747" s="149"/>
      <c r="P747" s="149"/>
      <c r="Q747" s="149"/>
      <c r="R747" s="149"/>
      <c r="S747" s="149"/>
      <c r="T747" s="149"/>
      <c r="U747" s="149"/>
      <c r="V747" s="149"/>
      <c r="W747" s="149"/>
      <c r="X747" s="149"/>
      <c r="Y747" s="149"/>
      <c r="Z747" s="149"/>
      <c r="AA747" s="149"/>
      <c r="AB747" s="149"/>
      <c r="AC747" s="149"/>
    </row>
    <row r="748" customFormat="false" ht="11.25" hidden="false" customHeight="false" outlineLevel="0" collapsed="false">
      <c r="B748" s="35" t="s">
        <v>984</v>
      </c>
      <c r="H748" s="67"/>
      <c r="I748" s="68" t="n">
        <f aca="false">MAX(+I742-I746,0)</f>
        <v>310.96378931941</v>
      </c>
      <c r="J748" s="68" t="n">
        <f aca="false">MAX(+J742-J746,0)</f>
        <v>714.471877563819</v>
      </c>
      <c r="K748" s="68" t="n">
        <f aca="false">MAX(+K742-K746,0)</f>
        <v>668.976898151473</v>
      </c>
      <c r="L748" s="68" t="n">
        <f aca="false">MAX(+L742-L746,0)</f>
        <v>634.71963435813</v>
      </c>
      <c r="M748" s="68" t="n">
        <f aca="false">MAX(+M742-M746,0)</f>
        <v>596.734669650823</v>
      </c>
      <c r="N748" s="68" t="n">
        <f aca="false">MAX(+N742-N746,0)</f>
        <v>549.727621684733</v>
      </c>
      <c r="O748" s="68" t="n">
        <f aca="false">MAX(+O742-O746,0)</f>
        <v>500.783088821702</v>
      </c>
      <c r="P748" s="68" t="n">
        <f aca="false">MAX(+P742-P746,0)</f>
        <v>423.695552474862</v>
      </c>
      <c r="Q748" s="68" t="n">
        <f aca="false">MAX(+Q742-Q746,0)</f>
        <v>386.194444507076</v>
      </c>
      <c r="R748" s="68" t="n">
        <f aca="false">MAX(+R742-R746,0)</f>
        <v>327.646241462345</v>
      </c>
      <c r="S748" s="68" t="n">
        <f aca="false">MAX(+S742-S746,0)</f>
        <v>271.330785296896</v>
      </c>
      <c r="T748" s="68" t="n">
        <f aca="false">MAX(+T742-T746,0)</f>
        <v>232.035691249259</v>
      </c>
      <c r="U748" s="68" t="n">
        <f aca="false">MAX(+U742-U746,0)</f>
        <v>198.656591443046</v>
      </c>
      <c r="V748" s="68" t="n">
        <f aca="false">MAX(+V742-V746,0)</f>
        <v>167.726415864959</v>
      </c>
      <c r="W748" s="68" t="n">
        <f aca="false">MAX(+W742-W746,0)</f>
        <v>128.988381175216</v>
      </c>
      <c r="X748" s="68" t="n">
        <f aca="false">MAX(+X742-X746,0)</f>
        <v>107.028941637605</v>
      </c>
      <c r="Y748" s="68" t="n">
        <f aca="false">MAX(+Y742-Y746,0)</f>
        <v>77.4903759819317</v>
      </c>
      <c r="Z748" s="68" t="n">
        <f aca="false">MAX(+Z742-Z746,0)</f>
        <v>54.6015429260135</v>
      </c>
      <c r="AA748" s="68" t="n">
        <f aca="false">MAX(+AA742-AA746,0)</f>
        <v>41.7574755424801</v>
      </c>
      <c r="AB748" s="68" t="n">
        <f aca="false">MAX(+AB742-AB746,0)</f>
        <v>32.1256465918464</v>
      </c>
      <c r="AC748" s="68" t="n">
        <f aca="false">MAX(+AC742-AC746,0)</f>
        <v>26.5478225810011</v>
      </c>
    </row>
    <row r="749" customFormat="false" ht="11.25" hidden="false" customHeight="false" outlineLevel="0" collapsed="false">
      <c r="H749" s="67"/>
      <c r="I749" s="545"/>
      <c r="J749" s="149"/>
      <c r="K749" s="149"/>
      <c r="L749" s="149"/>
      <c r="M749" s="149"/>
      <c r="N749" s="149"/>
      <c r="O749" s="149"/>
      <c r="P749" s="149"/>
      <c r="Q749" s="149"/>
      <c r="R749" s="149"/>
      <c r="S749" s="149"/>
      <c r="T749" s="149"/>
      <c r="U749" s="149"/>
      <c r="V749" s="149"/>
      <c r="W749" s="149"/>
      <c r="X749" s="149"/>
      <c r="Y749" s="149"/>
      <c r="Z749" s="149"/>
      <c r="AA749" s="149"/>
      <c r="AB749" s="149"/>
      <c r="AC749" s="149"/>
    </row>
    <row r="750" customFormat="false" ht="12" hidden="false" customHeight="false" outlineLevel="0" collapsed="false">
      <c r="H750" s="149"/>
      <c r="I750" s="149"/>
    </row>
    <row r="751" customFormat="false" ht="12" hidden="false" customHeight="false" outlineLevel="0" collapsed="false">
      <c r="A751" s="536"/>
      <c r="B751" s="536"/>
      <c r="C751" s="537"/>
      <c r="D751" s="537"/>
      <c r="E751" s="537"/>
      <c r="F751" s="537"/>
      <c r="G751" s="537"/>
      <c r="H751" s="537"/>
      <c r="I751" s="537"/>
      <c r="J751" s="537"/>
      <c r="K751" s="537"/>
      <c r="L751" s="537"/>
      <c r="M751" s="537"/>
      <c r="N751" s="537"/>
      <c r="O751" s="537"/>
      <c r="P751" s="537"/>
      <c r="Q751" s="537"/>
      <c r="R751" s="537"/>
      <c r="S751" s="537"/>
      <c r="T751" s="537"/>
      <c r="U751" s="537"/>
      <c r="V751" s="537"/>
      <c r="W751" s="537"/>
      <c r="X751" s="537"/>
      <c r="Y751" s="537"/>
      <c r="Z751" s="537"/>
      <c r="AA751" s="537"/>
      <c r="AB751" s="537"/>
      <c r="AC751" s="537"/>
    </row>
    <row r="752" customFormat="false" ht="11.25" hidden="false" customHeight="false" outlineLevel="0" collapsed="false">
      <c r="A752" s="155" t="s">
        <v>985</v>
      </c>
      <c r="G752" s="67"/>
      <c r="H752" s="67"/>
      <c r="I752" s="67"/>
      <c r="J752" s="67"/>
      <c r="K752" s="67"/>
      <c r="L752" s="67"/>
      <c r="M752" s="67"/>
      <c r="N752" s="67"/>
      <c r="O752" s="67"/>
      <c r="P752" s="67"/>
      <c r="Q752" s="67"/>
      <c r="R752" s="67"/>
      <c r="S752" s="67"/>
      <c r="T752" s="67"/>
      <c r="U752" s="67"/>
      <c r="Y752" s="432"/>
      <c r="Z752" s="432"/>
      <c r="AA752" s="432"/>
      <c r="AB752" s="432"/>
      <c r="AC752" s="432"/>
    </row>
    <row r="753" customFormat="false" ht="11.25" hidden="false" customHeight="false" outlineLevel="0" collapsed="false">
      <c r="A753" s="168" t="s">
        <v>363</v>
      </c>
      <c r="C753" s="43"/>
      <c r="H753" s="65" t="s">
        <v>986</v>
      </c>
      <c r="I753" s="546" t="n">
        <f aca="false">+I959</f>
        <v>-0.375</v>
      </c>
      <c r="J753" s="546" t="n">
        <f aca="false">+J959</f>
        <v>-0.375</v>
      </c>
      <c r="K753" s="546" t="n">
        <f aca="false">+K959</f>
        <v>-0.375</v>
      </c>
      <c r="L753" s="546" t="n">
        <f aca="false">+L959</f>
        <v>-0.375</v>
      </c>
      <c r="M753" s="546" t="n">
        <f aca="false">+M959</f>
        <v>-0.375</v>
      </c>
      <c r="N753" s="546" t="n">
        <f aca="false">+N959</f>
        <v>-0.375</v>
      </c>
      <c r="O753" s="546" t="n">
        <f aca="false">+O959</f>
        <v>-0.375</v>
      </c>
      <c r="P753" s="546" t="n">
        <f aca="false">+P959</f>
        <v>-0.375</v>
      </c>
      <c r="Q753" s="546" t="n">
        <f aca="false">+Q959</f>
        <v>-0.375</v>
      </c>
      <c r="R753" s="546" t="n">
        <f aca="false">+R959</f>
        <v>-0.375</v>
      </c>
      <c r="S753" s="546" t="n">
        <f aca="false">+S959</f>
        <v>-0.375</v>
      </c>
      <c r="T753" s="546" t="n">
        <f aca="false">+T959</f>
        <v>-0.375</v>
      </c>
      <c r="U753" s="546" t="n">
        <f aca="false">+U959</f>
        <v>-0.375</v>
      </c>
      <c r="V753" s="546" t="n">
        <f aca="false">+V959</f>
        <v>-0.375</v>
      </c>
      <c r="W753" s="546" t="n">
        <f aca="false">+W959</f>
        <v>-0.375</v>
      </c>
      <c r="X753" s="546" t="n">
        <f aca="false">+X959</f>
        <v>-0.375</v>
      </c>
      <c r="Y753" s="432"/>
      <c r="Z753" s="432"/>
      <c r="AA753" s="432"/>
      <c r="AB753" s="432"/>
      <c r="AC753" s="432"/>
    </row>
    <row r="754" customFormat="false" ht="11.25" hidden="false" customHeight="false" outlineLevel="0" collapsed="false">
      <c r="A754" s="168" t="s">
        <v>364</v>
      </c>
      <c r="C754" s="43"/>
      <c r="H754" s="65" t="s">
        <v>987</v>
      </c>
      <c r="I754" s="546" t="n">
        <f aca="false">+I960</f>
        <v>-2.375</v>
      </c>
      <c r="J754" s="546" t="n">
        <f aca="false">+J960</f>
        <v>-2.375</v>
      </c>
      <c r="K754" s="546" t="n">
        <f aca="false">+K960</f>
        <v>-2.375</v>
      </c>
      <c r="L754" s="546" t="n">
        <f aca="false">+L960</f>
        <v>-2.375</v>
      </c>
      <c r="M754" s="546" t="n">
        <f aca="false">+M960</f>
        <v>-2.375</v>
      </c>
      <c r="N754" s="546" t="n">
        <f aca="false">+N960</f>
        <v>-2.375</v>
      </c>
      <c r="O754" s="546" t="n">
        <f aca="false">+O960</f>
        <v>-2.375</v>
      </c>
      <c r="P754" s="546" t="n">
        <f aca="false">+P960</f>
        <v>-2.375</v>
      </c>
      <c r="Q754" s="546" t="n">
        <f aca="false">+Q960</f>
        <v>-2.375</v>
      </c>
      <c r="R754" s="546" t="n">
        <f aca="false">+R960</f>
        <v>-2.375</v>
      </c>
      <c r="S754" s="546" t="n">
        <f aca="false">+S960</f>
        <v>-2.375</v>
      </c>
      <c r="T754" s="546" t="n">
        <f aca="false">+T960</f>
        <v>-2.375</v>
      </c>
      <c r="U754" s="546" t="n">
        <f aca="false">+U960</f>
        <v>-2.375</v>
      </c>
      <c r="V754" s="546" t="n">
        <f aca="false">+V960</f>
        <v>-2.375</v>
      </c>
      <c r="W754" s="546" t="n">
        <f aca="false">+W960</f>
        <v>-2.375</v>
      </c>
      <c r="X754" s="546" t="n">
        <f aca="false">+X960</f>
        <v>-2.375</v>
      </c>
      <c r="Y754" s="432"/>
      <c r="Z754" s="432"/>
      <c r="AA754" s="432"/>
      <c r="AB754" s="432"/>
      <c r="AC754" s="432"/>
    </row>
    <row r="755" customFormat="false" ht="11.25" hidden="false" customHeight="false" outlineLevel="0" collapsed="false">
      <c r="A755" s="170" t="s">
        <v>365</v>
      </c>
      <c r="C755" s="43"/>
      <c r="I755" s="171"/>
      <c r="L755" s="172"/>
      <c r="M755" s="172"/>
      <c r="N755" s="172"/>
      <c r="O755" s="172"/>
      <c r="P755" s="172"/>
      <c r="Q755" s="172"/>
      <c r="R755" s="172"/>
      <c r="S755" s="172"/>
      <c r="Y755" s="432"/>
      <c r="Z755" s="432"/>
      <c r="AA755" s="432"/>
      <c r="AB755" s="432"/>
      <c r="AC755" s="432"/>
    </row>
    <row r="756" customFormat="false" ht="11.25" hidden="false" customHeight="false" outlineLevel="0" collapsed="false">
      <c r="A756" s="168"/>
      <c r="G756" s="67"/>
      <c r="H756" s="67"/>
      <c r="I756" s="67"/>
      <c r="J756" s="151"/>
      <c r="K756" s="67"/>
      <c r="L756" s="67"/>
      <c r="M756" s="67"/>
      <c r="N756" s="67"/>
      <c r="O756" s="67"/>
      <c r="P756" s="67"/>
      <c r="Q756" s="67"/>
      <c r="R756" s="67"/>
      <c r="S756" s="67"/>
      <c r="T756" s="67"/>
      <c r="U756" s="67"/>
      <c r="Y756" s="432"/>
      <c r="Z756" s="432"/>
      <c r="AA756" s="432"/>
      <c r="AB756" s="432"/>
      <c r="AC756" s="432"/>
    </row>
    <row r="757" customFormat="false" ht="11.25" hidden="false" customHeight="false" outlineLevel="0" collapsed="false">
      <c r="A757" s="35" t="s">
        <v>988</v>
      </c>
      <c r="C757" s="417"/>
      <c r="D757" s="417"/>
      <c r="E757" s="417"/>
      <c r="F757" s="417"/>
      <c r="G757" s="547"/>
      <c r="H757" s="543"/>
      <c r="I757" s="432" t="n">
        <f aca="false">I495*I753</f>
        <v>-0</v>
      </c>
      <c r="J757" s="432" t="n">
        <f aca="false">J495*J753</f>
        <v>-0</v>
      </c>
      <c r="K757" s="432" t="n">
        <f aca="false">K495*K753</f>
        <v>-0</v>
      </c>
      <c r="L757" s="432" t="n">
        <f aca="false">L495*L753</f>
        <v>-0</v>
      </c>
      <c r="M757" s="432" t="n">
        <f aca="false">M495*M753</f>
        <v>-0</v>
      </c>
      <c r="N757" s="432" t="n">
        <f aca="false">N495*N753</f>
        <v>-0</v>
      </c>
      <c r="O757" s="432" t="n">
        <f aca="false">O495*O753</f>
        <v>-0</v>
      </c>
      <c r="P757" s="432" t="n">
        <f aca="false">P495*P753</f>
        <v>-0</v>
      </c>
      <c r="Q757" s="432" t="n">
        <f aca="false">Q495*Q753</f>
        <v>-0</v>
      </c>
      <c r="R757" s="432" t="n">
        <f aca="false">R495*R753</f>
        <v>-0</v>
      </c>
      <c r="S757" s="432" t="n">
        <f aca="false">S495*S753</f>
        <v>-0</v>
      </c>
      <c r="T757" s="432" t="n">
        <f aca="false">T495*T753</f>
        <v>-0</v>
      </c>
      <c r="U757" s="432" t="n">
        <f aca="false">U495*U753</f>
        <v>-0</v>
      </c>
      <c r="V757" s="432" t="n">
        <f aca="false">V495*V753</f>
        <v>-0</v>
      </c>
      <c r="W757" s="432" t="n">
        <f aca="false">W495*W753</f>
        <v>-0</v>
      </c>
      <c r="X757" s="432" t="n">
        <f aca="false">X495*X753</f>
        <v>-0</v>
      </c>
      <c r="Y757" s="432"/>
      <c r="Z757" s="432"/>
      <c r="AA757" s="432"/>
      <c r="AB757" s="432"/>
      <c r="AC757" s="432"/>
    </row>
    <row r="758" customFormat="false" ht="11.25" hidden="false" customHeight="false" outlineLevel="0" collapsed="false">
      <c r="A758" s="35" t="s">
        <v>989</v>
      </c>
      <c r="C758" s="417"/>
      <c r="D758" s="417"/>
      <c r="E758" s="417"/>
      <c r="F758" s="417"/>
      <c r="G758" s="547"/>
      <c r="H758" s="543"/>
      <c r="I758" s="432" t="n">
        <f aca="false">I496*I754</f>
        <v>-0</v>
      </c>
      <c r="J758" s="432" t="n">
        <f aca="false">J496*J754</f>
        <v>-0</v>
      </c>
      <c r="K758" s="432" t="n">
        <f aca="false">K496*K754</f>
        <v>-0</v>
      </c>
      <c r="L758" s="432" t="n">
        <f aca="false">L496*L754</f>
        <v>-0</v>
      </c>
      <c r="M758" s="432" t="n">
        <f aca="false">M496*M754</f>
        <v>-0</v>
      </c>
      <c r="N758" s="432" t="n">
        <f aca="false">N496*N754</f>
        <v>-0</v>
      </c>
      <c r="O758" s="432" t="n">
        <f aca="false">O496*O754</f>
        <v>-0</v>
      </c>
      <c r="P758" s="432" t="n">
        <f aca="false">P496*P754</f>
        <v>-0</v>
      </c>
      <c r="Q758" s="432" t="n">
        <f aca="false">Q496*Q754</f>
        <v>-0</v>
      </c>
      <c r="R758" s="432" t="n">
        <f aca="false">R496*R754</f>
        <v>-0</v>
      </c>
      <c r="S758" s="432" t="n">
        <f aca="false">S496*S754</f>
        <v>-0</v>
      </c>
      <c r="T758" s="432" t="n">
        <f aca="false">T496*T754</f>
        <v>-0</v>
      </c>
      <c r="U758" s="432" t="n">
        <f aca="false">U496*U754</f>
        <v>-0</v>
      </c>
      <c r="V758" s="432" t="n">
        <f aca="false">V496*V754</f>
        <v>-0</v>
      </c>
      <c r="W758" s="432" t="n">
        <f aca="false">W496*W754</f>
        <v>-0</v>
      </c>
      <c r="X758" s="432" t="n">
        <f aca="false">X496*X754</f>
        <v>-0</v>
      </c>
      <c r="Y758" s="432"/>
      <c r="Z758" s="432"/>
      <c r="AA758" s="432"/>
      <c r="AB758" s="432"/>
      <c r="AC758" s="432"/>
    </row>
    <row r="759" customFormat="false" ht="11.25" hidden="false" customHeight="false" outlineLevel="0" collapsed="false">
      <c r="A759" s="35" t="s">
        <v>990</v>
      </c>
      <c r="C759" s="417"/>
      <c r="D759" s="417"/>
      <c r="E759" s="543"/>
      <c r="F759" s="417"/>
      <c r="G759" s="67"/>
      <c r="H759" s="543"/>
      <c r="I759" s="419" t="n">
        <f aca="false">I757+I758</f>
        <v>-0</v>
      </c>
      <c r="J759" s="419" t="n">
        <f aca="false">J757+J758</f>
        <v>-0</v>
      </c>
      <c r="K759" s="419" t="n">
        <f aca="false">K757+K758</f>
        <v>-0</v>
      </c>
      <c r="L759" s="419" t="n">
        <f aca="false">L757+L758</f>
        <v>-0</v>
      </c>
      <c r="M759" s="419" t="n">
        <f aca="false">M757+M758</f>
        <v>-0</v>
      </c>
      <c r="N759" s="419" t="n">
        <f aca="false">N757+N758</f>
        <v>-0</v>
      </c>
      <c r="O759" s="419" t="n">
        <f aca="false">O757+O758</f>
        <v>-0</v>
      </c>
      <c r="P759" s="419" t="n">
        <f aca="false">P757+P758</f>
        <v>-0</v>
      </c>
      <c r="Q759" s="419" t="n">
        <f aca="false">Q757+Q758</f>
        <v>-0</v>
      </c>
      <c r="R759" s="419" t="n">
        <f aca="false">R757+R758</f>
        <v>-0</v>
      </c>
      <c r="S759" s="419" t="n">
        <f aca="false">S757+S758</f>
        <v>-0</v>
      </c>
      <c r="T759" s="419" t="n">
        <f aca="false">T757+T758</f>
        <v>-0</v>
      </c>
      <c r="U759" s="419" t="n">
        <f aca="false">U757+U758</f>
        <v>-0</v>
      </c>
      <c r="V759" s="419" t="n">
        <f aca="false">V757+V758</f>
        <v>-0</v>
      </c>
      <c r="W759" s="419" t="n">
        <f aca="false">W757+W758</f>
        <v>-0</v>
      </c>
      <c r="X759" s="419" t="n">
        <f aca="false">X757+X758</f>
        <v>-0</v>
      </c>
      <c r="Y759" s="432"/>
      <c r="Z759" s="432"/>
      <c r="AA759" s="432"/>
      <c r="AB759" s="432"/>
      <c r="AC759" s="432"/>
    </row>
    <row r="760" customFormat="false" ht="11.25" hidden="false" customHeight="false" outlineLevel="0" collapsed="false">
      <c r="C760" s="417"/>
      <c r="D760" s="417"/>
      <c r="E760" s="543"/>
      <c r="F760" s="417"/>
      <c r="G760" s="67"/>
      <c r="H760" s="543"/>
      <c r="I760" s="432"/>
      <c r="J760" s="432"/>
      <c r="K760" s="432"/>
      <c r="L760" s="432"/>
      <c r="M760" s="432"/>
      <c r="N760" s="432"/>
      <c r="O760" s="432"/>
      <c r="P760" s="432"/>
      <c r="Q760" s="432"/>
      <c r="R760" s="432"/>
      <c r="S760" s="432"/>
      <c r="T760" s="432"/>
      <c r="U760" s="432"/>
      <c r="V760" s="432"/>
      <c r="W760" s="432"/>
      <c r="X760" s="432"/>
      <c r="Y760" s="432"/>
      <c r="Z760" s="432"/>
      <c r="AA760" s="432"/>
      <c r="AB760" s="432"/>
      <c r="AC760" s="432"/>
    </row>
    <row r="761" customFormat="false" ht="11.25" hidden="false" customHeight="false" outlineLevel="0" collapsed="false">
      <c r="A761" s="543" t="s">
        <v>991</v>
      </c>
      <c r="C761" s="310" t="n">
        <v>0.054</v>
      </c>
      <c r="D761" s="417"/>
      <c r="E761" s="67"/>
      <c r="F761" s="548" t="s">
        <v>992</v>
      </c>
      <c r="G761" s="67"/>
      <c r="H761" s="543"/>
      <c r="I761" s="432" t="n">
        <f aca="false">I495*$C$762*C328</f>
        <v>0</v>
      </c>
      <c r="J761" s="432" t="n">
        <f aca="false">J495*$C$762</f>
        <v>0</v>
      </c>
      <c r="K761" s="432" t="n">
        <f aca="false">K495*$C$762</f>
        <v>0</v>
      </c>
      <c r="L761" s="432" t="n">
        <f aca="false">L495*$C$762</f>
        <v>0</v>
      </c>
      <c r="M761" s="432" t="n">
        <f aca="false">M495*$C$762</f>
        <v>0</v>
      </c>
      <c r="N761" s="432" t="n">
        <f aca="false">N495*$C$762</f>
        <v>0</v>
      </c>
      <c r="O761" s="432" t="n">
        <f aca="false">O495*$C$762</f>
        <v>0</v>
      </c>
      <c r="P761" s="432" t="n">
        <f aca="false">P495*$C$762</f>
        <v>0</v>
      </c>
      <c r="Q761" s="432" t="n">
        <f aca="false">Q495*$C$762</f>
        <v>0</v>
      </c>
      <c r="R761" s="432" t="n">
        <f aca="false">R495*$C$762</f>
        <v>0</v>
      </c>
      <c r="S761" s="432" t="n">
        <f aca="false">S495*$C$762</f>
        <v>0</v>
      </c>
      <c r="T761" s="432" t="n">
        <f aca="false">T495*$C$762</f>
        <v>0</v>
      </c>
      <c r="U761" s="432" t="n">
        <f aca="false">U495*$C$762</f>
        <v>0</v>
      </c>
      <c r="V761" s="432" t="n">
        <f aca="false">V495*$C$762</f>
        <v>0</v>
      </c>
      <c r="W761" s="432" t="n">
        <f aca="false">W495*$C$762</f>
        <v>0</v>
      </c>
      <c r="X761" s="432" t="n">
        <f aca="false">X495*$C$762</f>
        <v>0</v>
      </c>
      <c r="Y761" s="432"/>
      <c r="Z761" s="432"/>
      <c r="AA761" s="432"/>
      <c r="AB761" s="432"/>
      <c r="AC761" s="432"/>
    </row>
    <row r="762" customFormat="false" ht="11.25" hidden="false" customHeight="false" outlineLevel="0" collapsed="false">
      <c r="A762" s="549" t="s">
        <v>993</v>
      </c>
      <c r="C762" s="173" t="n">
        <f aca="false">C761+0.01</f>
        <v>0.064</v>
      </c>
      <c r="D762" s="417"/>
      <c r="E762" s="67"/>
      <c r="F762" s="548" t="s">
        <v>994</v>
      </c>
      <c r="G762" s="67"/>
      <c r="H762" s="543"/>
      <c r="I762" s="432" t="n">
        <f aca="false">I496*$C$762*C328</f>
        <v>0</v>
      </c>
      <c r="J762" s="432" t="n">
        <f aca="false">J496*$C$762</f>
        <v>0</v>
      </c>
      <c r="K762" s="432" t="n">
        <f aca="false">K496*$C$762</f>
        <v>0</v>
      </c>
      <c r="L762" s="432" t="n">
        <f aca="false">L496*$C$762</f>
        <v>0</v>
      </c>
      <c r="M762" s="432" t="n">
        <f aca="false">M496*$C$762</f>
        <v>0</v>
      </c>
      <c r="N762" s="432" t="n">
        <f aca="false">N496*$C$762</f>
        <v>0</v>
      </c>
      <c r="O762" s="432" t="n">
        <f aca="false">O496*$C$762</f>
        <v>0</v>
      </c>
      <c r="P762" s="432" t="n">
        <f aca="false">P496*$C$762</f>
        <v>0</v>
      </c>
      <c r="Q762" s="432" t="n">
        <f aca="false">Q496*$C$762</f>
        <v>0</v>
      </c>
      <c r="R762" s="432" t="n">
        <f aca="false">R496*$C$762</f>
        <v>0</v>
      </c>
      <c r="S762" s="432" t="n">
        <f aca="false">S496*$C$762</f>
        <v>0</v>
      </c>
      <c r="T762" s="432" t="n">
        <f aca="false">T496*$C$762</f>
        <v>0</v>
      </c>
      <c r="U762" s="432" t="n">
        <f aca="false">U496*$C$762</f>
        <v>0</v>
      </c>
      <c r="V762" s="432" t="n">
        <f aca="false">V496*$C$762</f>
        <v>0</v>
      </c>
      <c r="W762" s="432" t="n">
        <f aca="false">W496*$C$762</f>
        <v>0</v>
      </c>
      <c r="X762" s="432" t="n">
        <f aca="false">X496*$C$762</f>
        <v>0</v>
      </c>
      <c r="Y762" s="432"/>
      <c r="Z762" s="432"/>
      <c r="AA762" s="432"/>
      <c r="AB762" s="432"/>
      <c r="AC762" s="432"/>
    </row>
    <row r="763" customFormat="false" ht="11.25" hidden="false" customHeight="false" outlineLevel="0" collapsed="false">
      <c r="C763" s="417"/>
      <c r="D763" s="417"/>
      <c r="E763" s="549"/>
      <c r="F763" s="548" t="s">
        <v>995</v>
      </c>
      <c r="G763" s="67"/>
      <c r="H763" s="543"/>
      <c r="I763" s="419" t="n">
        <f aca="false">I761+I762</f>
        <v>0</v>
      </c>
      <c r="J763" s="419" t="n">
        <f aca="false">J761+J762</f>
        <v>0</v>
      </c>
      <c r="K763" s="419" t="n">
        <f aca="false">K761+K762</f>
        <v>0</v>
      </c>
      <c r="L763" s="419" t="n">
        <f aca="false">L761+L762</f>
        <v>0</v>
      </c>
      <c r="M763" s="419" t="n">
        <f aca="false">M761+M762</f>
        <v>0</v>
      </c>
      <c r="N763" s="419" t="n">
        <f aca="false">N761+N762</f>
        <v>0</v>
      </c>
      <c r="O763" s="419" t="n">
        <f aca="false">O761+O762</f>
        <v>0</v>
      </c>
      <c r="P763" s="419" t="n">
        <f aca="false">P761+P762</f>
        <v>0</v>
      </c>
      <c r="Q763" s="419" t="n">
        <f aca="false">Q761+Q762</f>
        <v>0</v>
      </c>
      <c r="R763" s="419" t="n">
        <f aca="false">R761+R762</f>
        <v>0</v>
      </c>
      <c r="S763" s="419" t="n">
        <f aca="false">S761+S762</f>
        <v>0</v>
      </c>
      <c r="T763" s="419" t="n">
        <f aca="false">T761+T762</f>
        <v>0</v>
      </c>
      <c r="U763" s="419" t="n">
        <f aca="false">U761+U762</f>
        <v>0</v>
      </c>
      <c r="V763" s="419" t="n">
        <f aca="false">V761+V762</f>
        <v>0</v>
      </c>
      <c r="W763" s="419" t="n">
        <f aca="false">W761+W762</f>
        <v>0</v>
      </c>
      <c r="X763" s="419" t="n">
        <f aca="false">X761+X762</f>
        <v>0</v>
      </c>
      <c r="Y763" s="432"/>
      <c r="Z763" s="432"/>
      <c r="AA763" s="432"/>
      <c r="AB763" s="432"/>
      <c r="AC763" s="432"/>
    </row>
    <row r="764" customFormat="false" ht="11.25" hidden="false" customHeight="false" outlineLevel="0" collapsed="false">
      <c r="C764" s="417"/>
      <c r="D764" s="417"/>
      <c r="E764" s="417"/>
      <c r="F764" s="550"/>
      <c r="G764" s="547"/>
      <c r="H764" s="148"/>
      <c r="I764" s="551"/>
      <c r="J764" s="551"/>
      <c r="K764" s="551"/>
      <c r="L764" s="551"/>
      <c r="M764" s="551"/>
      <c r="N764" s="551"/>
      <c r="O764" s="551"/>
      <c r="P764" s="551"/>
      <c r="Q764" s="551"/>
      <c r="R764" s="551"/>
      <c r="S764" s="551"/>
      <c r="T764" s="552"/>
      <c r="U764" s="552"/>
      <c r="V764" s="552"/>
      <c r="W764" s="552"/>
      <c r="X764" s="552"/>
      <c r="Y764" s="432"/>
      <c r="Z764" s="432"/>
      <c r="AA764" s="432"/>
      <c r="AB764" s="432"/>
      <c r="AC764" s="432"/>
    </row>
    <row r="765" customFormat="false" ht="11.25" hidden="false" customHeight="false" outlineLevel="0" collapsed="false">
      <c r="B765" s="43" t="s">
        <v>996</v>
      </c>
      <c r="C765" s="67"/>
      <c r="D765" s="417"/>
      <c r="E765" s="67"/>
      <c r="F765" s="417" t="s">
        <v>706</v>
      </c>
      <c r="G765" s="67"/>
      <c r="H765" s="543"/>
      <c r="I765" s="432" t="n">
        <f aca="false">I251</f>
        <v>0</v>
      </c>
      <c r="J765" s="432" t="n">
        <f aca="false">I770</f>
        <v>0</v>
      </c>
      <c r="K765" s="432" t="n">
        <f aca="false">J770</f>
        <v>0</v>
      </c>
      <c r="L765" s="432" t="n">
        <f aca="false">K770</f>
        <v>0</v>
      </c>
      <c r="M765" s="432" t="n">
        <f aca="false">L770</f>
        <v>0</v>
      </c>
      <c r="N765" s="432" t="n">
        <f aca="false">M770</f>
        <v>0</v>
      </c>
      <c r="O765" s="432" t="n">
        <f aca="false">N770</f>
        <v>0</v>
      </c>
      <c r="P765" s="432" t="n">
        <f aca="false">O770</f>
        <v>0</v>
      </c>
      <c r="Q765" s="432" t="n">
        <f aca="false">P770</f>
        <v>0</v>
      </c>
      <c r="R765" s="432" t="n">
        <f aca="false">Q770</f>
        <v>0</v>
      </c>
      <c r="S765" s="432" t="n">
        <f aca="false">R770</f>
        <v>0</v>
      </c>
      <c r="T765" s="432" t="n">
        <f aca="false">S770</f>
        <v>0</v>
      </c>
      <c r="U765" s="432" t="n">
        <f aca="false">T770</f>
        <v>0</v>
      </c>
      <c r="V765" s="432" t="n">
        <f aca="false">U770</f>
        <v>0</v>
      </c>
      <c r="W765" s="432" t="n">
        <f aca="false">V770</f>
        <v>0</v>
      </c>
      <c r="X765" s="432" t="n">
        <f aca="false">W770</f>
        <v>0</v>
      </c>
      <c r="Y765" s="432"/>
      <c r="Z765" s="432"/>
      <c r="AA765" s="432"/>
      <c r="AB765" s="432"/>
      <c r="AC765" s="432"/>
    </row>
    <row r="766" customFormat="false" ht="11.25" hidden="false" customHeight="false" outlineLevel="0" collapsed="false">
      <c r="C766" s="417"/>
      <c r="D766" s="417"/>
      <c r="E766" s="417"/>
      <c r="F766" s="417" t="s">
        <v>997</v>
      </c>
      <c r="G766" s="67"/>
      <c r="H766" s="417"/>
      <c r="I766" s="432" t="n">
        <f aca="false">IF(I765&lt;1,0,I759)</f>
        <v>0</v>
      </c>
      <c r="J766" s="432" t="n">
        <f aca="false">IF(J765&lt;1,0,J759)</f>
        <v>0</v>
      </c>
      <c r="K766" s="432" t="n">
        <f aca="false">IF(K765&lt;1,0,K759)</f>
        <v>0</v>
      </c>
      <c r="L766" s="432" t="n">
        <f aca="false">IF(L765&lt;1,0,L759)</f>
        <v>0</v>
      </c>
      <c r="M766" s="432" t="n">
        <f aca="false">IF(M765&lt;1,0,M759)</f>
        <v>0</v>
      </c>
      <c r="N766" s="432" t="n">
        <f aca="false">IF(N765&lt;1,0,N759)</f>
        <v>0</v>
      </c>
      <c r="O766" s="432" t="n">
        <f aca="false">IF(O765&lt;1,0,O759)</f>
        <v>0</v>
      </c>
      <c r="P766" s="432" t="n">
        <f aca="false">IF(P765&lt;1,0,P759)</f>
        <v>0</v>
      </c>
      <c r="Q766" s="432" t="n">
        <f aca="false">IF(Q765&lt;1,0,Q759)</f>
        <v>0</v>
      </c>
      <c r="R766" s="432" t="n">
        <f aca="false">IF(R765&lt;1,0,R759)</f>
        <v>0</v>
      </c>
      <c r="S766" s="432" t="n">
        <f aca="false">IF(S765&lt;1,0,S759)</f>
        <v>0</v>
      </c>
      <c r="T766" s="432" t="n">
        <f aca="false">IF(T765&lt;1,0,T759)</f>
        <v>0</v>
      </c>
      <c r="U766" s="432" t="n">
        <f aca="false">IF(U765&lt;1,0,U759)</f>
        <v>0</v>
      </c>
      <c r="V766" s="432" t="n">
        <f aca="false">IF(V765&lt;1,0,V759)</f>
        <v>0</v>
      </c>
      <c r="W766" s="432" t="n">
        <f aca="false">IF(W765&lt;1,0,W759)</f>
        <v>0</v>
      </c>
      <c r="X766" s="432" t="n">
        <f aca="false">IF(X765&lt;1,0,X759)</f>
        <v>0</v>
      </c>
      <c r="Y766" s="432"/>
      <c r="Z766" s="432"/>
      <c r="AA766" s="432"/>
      <c r="AB766" s="432"/>
      <c r="AC766" s="432"/>
    </row>
    <row r="767" customFormat="false" ht="11.25" hidden="false" customHeight="false" outlineLevel="0" collapsed="false">
      <c r="C767" s="417"/>
      <c r="D767" s="417"/>
      <c r="E767" s="417"/>
      <c r="F767" s="432" t="s">
        <v>998</v>
      </c>
      <c r="G767" s="67"/>
      <c r="H767" s="67"/>
      <c r="I767" s="67" t="n">
        <f aca="false">IF(I765&lt;1,0,I763)</f>
        <v>0</v>
      </c>
      <c r="J767" s="67" t="n">
        <f aca="false">IF(J765&lt;1,0,J763)</f>
        <v>0</v>
      </c>
      <c r="K767" s="67" t="n">
        <f aca="false">IF(K765&lt;1,0,K763)</f>
        <v>0</v>
      </c>
      <c r="L767" s="67" t="n">
        <f aca="false">IF(L765&lt;1,0,L763)</f>
        <v>0</v>
      </c>
      <c r="M767" s="67" t="n">
        <f aca="false">IF(M765&lt;1,0,M763)</f>
        <v>0</v>
      </c>
      <c r="N767" s="67" t="n">
        <f aca="false">IF(N765&lt;1,0,N763)</f>
        <v>0</v>
      </c>
      <c r="O767" s="67" t="n">
        <f aca="false">IF(O765&lt;1,0,O763)</f>
        <v>0</v>
      </c>
      <c r="P767" s="67" t="n">
        <f aca="false">IF(P765&lt;1,0,P763)</f>
        <v>0</v>
      </c>
      <c r="Q767" s="67" t="n">
        <f aca="false">IF(Q765&lt;1,0,Q763)</f>
        <v>0</v>
      </c>
      <c r="R767" s="67" t="n">
        <f aca="false">IF(R765&lt;1,0,R763)</f>
        <v>0</v>
      </c>
      <c r="S767" s="67" t="n">
        <f aca="false">IF(S765&lt;1,0,S763)</f>
        <v>0</v>
      </c>
      <c r="T767" s="67" t="n">
        <f aca="false">IF(T765&lt;1,0,T763)</f>
        <v>0</v>
      </c>
      <c r="U767" s="67" t="n">
        <f aca="false">IF(U765&lt;1,0,U763)</f>
        <v>0</v>
      </c>
      <c r="V767" s="67" t="n">
        <f aca="false">IF(V765&lt;1,0,V763)</f>
        <v>0</v>
      </c>
      <c r="W767" s="67" t="n">
        <f aca="false">IF(W765&lt;1,0,W763)</f>
        <v>0</v>
      </c>
      <c r="X767" s="67" t="n">
        <f aca="false">IF(X765&lt;1,0,X763)</f>
        <v>0</v>
      </c>
      <c r="Y767" s="432"/>
      <c r="Z767" s="432"/>
      <c r="AA767" s="432"/>
      <c r="AB767" s="432"/>
      <c r="AC767" s="432"/>
    </row>
    <row r="768" customFormat="false" ht="11.25" hidden="false" customHeight="false" outlineLevel="0" collapsed="false">
      <c r="C768" s="417"/>
      <c r="D768" s="417"/>
      <c r="E768" s="417"/>
      <c r="F768" s="417" t="s">
        <v>999</v>
      </c>
      <c r="G768" s="67"/>
      <c r="H768" s="417"/>
      <c r="I768" s="432" t="n">
        <f aca="false">IF(I765-(+I766-I767)&gt;0,I766-I767,I765)</f>
        <v>0</v>
      </c>
      <c r="J768" s="432" t="n">
        <f aca="false">IF(J765-(+J766-J767)&gt;0,J766-J767,J765)</f>
        <v>0</v>
      </c>
      <c r="K768" s="432" t="n">
        <f aca="false">IF(K765-(+K766-K767)&gt;0,K766-K767,K765)</f>
        <v>0</v>
      </c>
      <c r="L768" s="432" t="n">
        <f aca="false">IF(L765-(+L766-L767)&gt;0,L766-L767,L765)</f>
        <v>0</v>
      </c>
      <c r="M768" s="432" t="n">
        <f aca="false">IF(M765-(+M766-M767)&gt;0,M766-M767,M765)</f>
        <v>0</v>
      </c>
      <c r="N768" s="432" t="n">
        <f aca="false">IF(N765-(+N766-N767)&gt;0,N766-N767,N765)</f>
        <v>0</v>
      </c>
      <c r="O768" s="432" t="n">
        <f aca="false">IF(O765-(+O766-O767)&gt;0,O766-O767,O765)</f>
        <v>0</v>
      </c>
      <c r="P768" s="432" t="n">
        <f aca="false">IF(P765-(+P766-P767)&gt;0,P766-P767,P765)</f>
        <v>0</v>
      </c>
      <c r="Q768" s="432" t="n">
        <f aca="false">IF(Q765-(+Q766-Q767)&gt;0,Q766-Q767,Q765)</f>
        <v>0</v>
      </c>
      <c r="R768" s="432" t="n">
        <f aca="false">IF(R765-(+R766-R767)&gt;0,R766-R767,R765)</f>
        <v>0</v>
      </c>
      <c r="S768" s="432" t="n">
        <f aca="false">IF(S765-(+S766-S767)&gt;0,S766-S767,S765)</f>
        <v>0</v>
      </c>
      <c r="T768" s="432" t="n">
        <f aca="false">IF(T765-(+T766-T767)&gt;0,T766-T767,T765)</f>
        <v>0</v>
      </c>
      <c r="U768" s="432" t="n">
        <f aca="false">IF(U765-(+U766-U767)&gt;0,U766-U767,U765)</f>
        <v>0</v>
      </c>
      <c r="V768" s="432" t="n">
        <f aca="false">IF(V765-(+V766-V767)&gt;0,V766-V767,V765)</f>
        <v>0</v>
      </c>
      <c r="W768" s="432" t="n">
        <f aca="false">IF(W765-(+W766-W767)&gt;0,W766-W767,W765)</f>
        <v>0</v>
      </c>
      <c r="X768" s="432" t="n">
        <f aca="false">IF(X765-(+X766-X767)&gt;0,X766-X767,X765)</f>
        <v>0</v>
      </c>
      <c r="Y768" s="432"/>
      <c r="Z768" s="432"/>
      <c r="AA768" s="432"/>
      <c r="AB768" s="432"/>
      <c r="AC768" s="432"/>
    </row>
    <row r="769" customFormat="false" ht="11.25" hidden="false" customHeight="false" outlineLevel="0" collapsed="false">
      <c r="C769" s="417"/>
      <c r="D769" s="417"/>
      <c r="E769" s="417"/>
      <c r="F769" s="417" t="s">
        <v>1000</v>
      </c>
      <c r="G769" s="67"/>
      <c r="H769" s="417"/>
      <c r="I769" s="432" t="n">
        <f aca="false">IF(I254&lt;1,I765-I768,0)</f>
        <v>0</v>
      </c>
      <c r="J769" s="432" t="n">
        <f aca="false">IF(J254&lt;1,J765-J768,0)</f>
        <v>0</v>
      </c>
      <c r="K769" s="432" t="n">
        <f aca="false">IF(K254&lt;1,K765-K768,0)</f>
        <v>0</v>
      </c>
      <c r="L769" s="432" t="n">
        <f aca="false">IF(L254&lt;1,L765-L768,0)</f>
        <v>0</v>
      </c>
      <c r="M769" s="432" t="n">
        <f aca="false">IF(M254&lt;1,M765-M768,0)</f>
        <v>0</v>
      </c>
      <c r="N769" s="432" t="n">
        <f aca="false">IF(N254&lt;1,N765-N768,0)</f>
        <v>0</v>
      </c>
      <c r="O769" s="432" t="n">
        <f aca="false">IF(O254&lt;1,O765-O768,0)</f>
        <v>0</v>
      </c>
      <c r="P769" s="432" t="n">
        <f aca="false">IF(P254&lt;1,P765-P768,0)</f>
        <v>0</v>
      </c>
      <c r="Q769" s="432" t="n">
        <f aca="false">IF(Q254&lt;1,Q765-Q768,0)</f>
        <v>0</v>
      </c>
      <c r="R769" s="432" t="n">
        <f aca="false">IF(R254&lt;1,R765-R768,0)</f>
        <v>0</v>
      </c>
      <c r="S769" s="432" t="n">
        <f aca="false">IF(S254&lt;1,S765-S768,0)</f>
        <v>0</v>
      </c>
      <c r="T769" s="432" t="n">
        <f aca="false">IF(T254&lt;1,T765-T768,0)</f>
        <v>0</v>
      </c>
      <c r="U769" s="432" t="n">
        <f aca="false">IF(U254&lt;1,U765-U768,0)</f>
        <v>0</v>
      </c>
      <c r="V769" s="432" t="n">
        <f aca="false">IF(V254&lt;1,V765-V768,0)</f>
        <v>0</v>
      </c>
      <c r="W769" s="432" t="n">
        <f aca="false">IF(W254&lt;1,W765-W768,0)</f>
        <v>0</v>
      </c>
      <c r="X769" s="432" t="n">
        <f aca="false">IF(X254&lt;1,X765-X768,0)</f>
        <v>0</v>
      </c>
      <c r="Y769" s="432"/>
      <c r="Z769" s="432"/>
      <c r="AA769" s="432"/>
      <c r="AB769" s="432"/>
      <c r="AC769" s="432"/>
    </row>
    <row r="770" customFormat="false" ht="11.25" hidden="false" customHeight="false" outlineLevel="0" collapsed="false">
      <c r="C770" s="417"/>
      <c r="D770" s="417"/>
      <c r="E770" s="417"/>
      <c r="F770" s="417" t="s">
        <v>709</v>
      </c>
      <c r="G770" s="67"/>
      <c r="H770" s="417"/>
      <c r="I770" s="419" t="n">
        <f aca="false">+I765-I768-I769</f>
        <v>0</v>
      </c>
      <c r="J770" s="419" t="n">
        <f aca="false">+J765-J768-J769</f>
        <v>0</v>
      </c>
      <c r="K770" s="419" t="n">
        <f aca="false">+K765-K768-K769</f>
        <v>0</v>
      </c>
      <c r="L770" s="419" t="n">
        <f aca="false">+L765-L768-L769</f>
        <v>0</v>
      </c>
      <c r="M770" s="419" t="n">
        <f aca="false">+M765-M768-M769</f>
        <v>0</v>
      </c>
      <c r="N770" s="419" t="n">
        <f aca="false">+N765-N768-N769</f>
        <v>0</v>
      </c>
      <c r="O770" s="419" t="n">
        <f aca="false">+O765-O768-O769</f>
        <v>0</v>
      </c>
      <c r="P770" s="419" t="n">
        <f aca="false">+P765-P768-P769</f>
        <v>0</v>
      </c>
      <c r="Q770" s="419" t="n">
        <f aca="false">+Q765-Q768-Q769</f>
        <v>0</v>
      </c>
      <c r="R770" s="419" t="n">
        <f aca="false">+R765-R768-R769</f>
        <v>0</v>
      </c>
      <c r="S770" s="419" t="n">
        <f aca="false">+S765-S768-S769</f>
        <v>0</v>
      </c>
      <c r="T770" s="419" t="n">
        <f aca="false">+T765-T768-T769</f>
        <v>0</v>
      </c>
      <c r="U770" s="419" t="n">
        <f aca="false">+U765-U768-U769</f>
        <v>0</v>
      </c>
      <c r="V770" s="419" t="n">
        <f aca="false">+V765-V768-V769</f>
        <v>0</v>
      </c>
      <c r="W770" s="419" t="n">
        <f aca="false">+W765-W768-W769</f>
        <v>0</v>
      </c>
      <c r="X770" s="419" t="n">
        <f aca="false">+X765-X768-X769</f>
        <v>0</v>
      </c>
      <c r="Y770" s="432"/>
      <c r="Z770" s="432"/>
      <c r="AA770" s="432"/>
      <c r="AB770" s="432"/>
      <c r="AC770" s="432"/>
    </row>
    <row r="771" customFormat="false" ht="11.25" hidden="false" customHeight="false" outlineLevel="0" collapsed="false">
      <c r="C771" s="417"/>
      <c r="D771" s="417"/>
      <c r="E771" s="417"/>
      <c r="F771" s="417"/>
      <c r="G771" s="417"/>
      <c r="H771" s="417"/>
      <c r="I771" s="432"/>
      <c r="J771" s="432"/>
      <c r="K771" s="432"/>
      <c r="L771" s="432"/>
      <c r="M771" s="432"/>
      <c r="N771" s="432"/>
      <c r="O771" s="432"/>
      <c r="P771" s="432"/>
      <c r="Q771" s="432"/>
      <c r="R771" s="432"/>
      <c r="S771" s="432"/>
      <c r="T771" s="432"/>
      <c r="U771" s="432"/>
      <c r="V771" s="432"/>
      <c r="W771" s="432"/>
      <c r="X771" s="432"/>
      <c r="Y771" s="432"/>
      <c r="Z771" s="432"/>
      <c r="AA771" s="432"/>
      <c r="AB771" s="432"/>
      <c r="AC771" s="432"/>
    </row>
    <row r="772" customFormat="false" ht="11.25" hidden="false" customHeight="false" outlineLevel="0" collapsed="false">
      <c r="C772" s="417"/>
      <c r="D772" s="417"/>
      <c r="E772" s="67"/>
      <c r="F772" s="67"/>
      <c r="G772" s="67"/>
      <c r="H772" s="67"/>
      <c r="I772" s="67"/>
      <c r="J772" s="67"/>
      <c r="K772" s="67"/>
      <c r="L772" s="67"/>
      <c r="M772" s="67"/>
      <c r="N772" s="67"/>
      <c r="O772" s="67"/>
      <c r="P772" s="67"/>
      <c r="Q772" s="67"/>
      <c r="R772" s="67"/>
      <c r="S772" s="67"/>
      <c r="T772" s="67"/>
      <c r="U772" s="67"/>
      <c r="V772" s="67"/>
      <c r="W772" s="67"/>
      <c r="X772" s="67"/>
      <c r="Y772" s="432"/>
      <c r="Z772" s="432"/>
      <c r="AA772" s="432"/>
      <c r="AB772" s="432"/>
      <c r="AC772" s="432"/>
    </row>
    <row r="773" customFormat="false" ht="11.25" hidden="false" customHeight="false" outlineLevel="0" collapsed="false">
      <c r="B773" s="548" t="s">
        <v>1001</v>
      </c>
      <c r="C773" s="67"/>
      <c r="D773" s="417"/>
      <c r="E773" s="417"/>
      <c r="F773" s="550" t="s">
        <v>1002</v>
      </c>
      <c r="G773" s="553" t="n">
        <v>0.105874512724854</v>
      </c>
      <c r="H773" s="148" t="n">
        <f aca="false">NPV(G773,IF(C325=1,J773:X773,I773:X773))*(1+G773)^(IF(C325=1,0,C325))-I775</f>
        <v>0</v>
      </c>
      <c r="I773" s="551" t="n">
        <f aca="false">I759</f>
        <v>-0</v>
      </c>
      <c r="J773" s="551" t="n">
        <f aca="false">J759</f>
        <v>-0</v>
      </c>
      <c r="K773" s="551" t="n">
        <f aca="false">K759</f>
        <v>-0</v>
      </c>
      <c r="L773" s="551" t="n">
        <f aca="false">L759</f>
        <v>-0</v>
      </c>
      <c r="M773" s="551" t="n">
        <f aca="false">M759</f>
        <v>-0</v>
      </c>
      <c r="N773" s="551" t="n">
        <f aca="false">N759</f>
        <v>-0</v>
      </c>
      <c r="O773" s="551" t="n">
        <f aca="false">O759</f>
        <v>-0</v>
      </c>
      <c r="P773" s="551" t="n">
        <f aca="false">P759</f>
        <v>-0</v>
      </c>
      <c r="Q773" s="551" t="n">
        <f aca="false">Q759</f>
        <v>-0</v>
      </c>
      <c r="R773" s="551" t="n">
        <f aca="false">R759</f>
        <v>-0</v>
      </c>
      <c r="S773" s="551" t="n">
        <f aca="false">S759</f>
        <v>-0</v>
      </c>
      <c r="T773" s="552" t="n">
        <f aca="false">T759</f>
        <v>-0</v>
      </c>
      <c r="U773" s="552" t="n">
        <f aca="false">U759</f>
        <v>-0</v>
      </c>
      <c r="V773" s="552" t="n">
        <f aca="false">V759</f>
        <v>-0</v>
      </c>
      <c r="W773" s="552" t="n">
        <f aca="false">W759</f>
        <v>-0</v>
      </c>
      <c r="X773" s="552" t="n">
        <f aca="false">X759</f>
        <v>-0</v>
      </c>
      <c r="Y773" s="432"/>
      <c r="Z773" s="432"/>
      <c r="AA773" s="432"/>
      <c r="AB773" s="432"/>
      <c r="AC773" s="432"/>
    </row>
    <row r="774" customFormat="false" ht="11.25" hidden="false" customHeight="false" outlineLevel="0" collapsed="false">
      <c r="C774" s="417"/>
      <c r="D774" s="417"/>
      <c r="E774" s="417"/>
      <c r="F774" s="550"/>
      <c r="G774" s="547"/>
      <c r="H774" s="67"/>
      <c r="I774" s="551"/>
      <c r="J774" s="551"/>
      <c r="K774" s="551"/>
      <c r="L774" s="551"/>
      <c r="M774" s="551"/>
      <c r="N774" s="551"/>
      <c r="O774" s="551"/>
      <c r="P774" s="551"/>
      <c r="Q774" s="551"/>
      <c r="R774" s="551"/>
      <c r="S774" s="551"/>
      <c r="T774" s="552"/>
      <c r="U774" s="552"/>
      <c r="V774" s="552"/>
      <c r="W774" s="552"/>
      <c r="X774" s="552"/>
      <c r="Y774" s="432"/>
      <c r="Z774" s="432"/>
      <c r="AA774" s="432"/>
      <c r="AB774" s="432"/>
      <c r="AC774" s="432"/>
    </row>
    <row r="775" customFormat="false" ht="11.25" hidden="false" customHeight="false" outlineLevel="0" collapsed="false">
      <c r="C775" s="417"/>
      <c r="D775" s="417"/>
      <c r="E775" s="417"/>
      <c r="F775" s="543" t="s">
        <v>706</v>
      </c>
      <c r="G775" s="67"/>
      <c r="H775" s="543"/>
      <c r="I775" s="432" t="n">
        <f aca="false">I251</f>
        <v>0</v>
      </c>
      <c r="J775" s="67" t="n">
        <f aca="false">I779</f>
        <v>0</v>
      </c>
      <c r="K775" s="67" t="n">
        <f aca="false">J779</f>
        <v>0</v>
      </c>
      <c r="L775" s="67" t="n">
        <f aca="false">K779</f>
        <v>0</v>
      </c>
      <c r="M775" s="67" t="n">
        <f aca="false">L779</f>
        <v>0</v>
      </c>
      <c r="N775" s="67" t="n">
        <f aca="false">M779</f>
        <v>0</v>
      </c>
      <c r="O775" s="67" t="n">
        <f aca="false">N779</f>
        <v>0</v>
      </c>
      <c r="P775" s="67" t="n">
        <f aca="false">O779</f>
        <v>0</v>
      </c>
      <c r="Q775" s="67" t="n">
        <f aca="false">P779</f>
        <v>0</v>
      </c>
      <c r="R775" s="67" t="n">
        <f aca="false">Q779</f>
        <v>0</v>
      </c>
      <c r="S775" s="67" t="n">
        <f aca="false">R779</f>
        <v>0</v>
      </c>
      <c r="T775" s="67" t="n">
        <f aca="false">S779</f>
        <v>0</v>
      </c>
      <c r="U775" s="67" t="n">
        <f aca="false">T779</f>
        <v>0</v>
      </c>
      <c r="V775" s="67" t="n">
        <f aca="false">U779</f>
        <v>0</v>
      </c>
      <c r="W775" s="67" t="n">
        <f aca="false">V779</f>
        <v>0</v>
      </c>
      <c r="X775" s="67" t="n">
        <f aca="false">W779</f>
        <v>0</v>
      </c>
      <c r="Y775" s="432"/>
      <c r="Z775" s="432"/>
      <c r="AA775" s="432"/>
      <c r="AB775" s="432"/>
      <c r="AC775" s="432"/>
    </row>
    <row r="776" customFormat="false" ht="11.25" hidden="false" customHeight="false" outlineLevel="0" collapsed="false">
      <c r="C776" s="417"/>
      <c r="D776" s="417"/>
      <c r="E776" s="417"/>
      <c r="F776" s="417" t="s">
        <v>997</v>
      </c>
      <c r="G776" s="67"/>
      <c r="H776" s="148"/>
      <c r="I776" s="67" t="n">
        <f aca="false">+I759</f>
        <v>-0</v>
      </c>
      <c r="J776" s="67" t="n">
        <f aca="false">+J759</f>
        <v>-0</v>
      </c>
      <c r="K776" s="67" t="n">
        <f aca="false">+K759</f>
        <v>-0</v>
      </c>
      <c r="L776" s="67" t="n">
        <f aca="false">+L759</f>
        <v>-0</v>
      </c>
      <c r="M776" s="67" t="n">
        <f aca="false">+M759</f>
        <v>-0</v>
      </c>
      <c r="N776" s="67" t="n">
        <f aca="false">+N759</f>
        <v>-0</v>
      </c>
      <c r="O776" s="67" t="n">
        <f aca="false">+O759</f>
        <v>-0</v>
      </c>
      <c r="P776" s="67" t="n">
        <f aca="false">+P759</f>
        <v>-0</v>
      </c>
      <c r="Q776" s="67" t="n">
        <f aca="false">+Q759</f>
        <v>-0</v>
      </c>
      <c r="R776" s="67" t="n">
        <f aca="false">+R759</f>
        <v>-0</v>
      </c>
      <c r="S776" s="67" t="n">
        <f aca="false">+S759</f>
        <v>-0</v>
      </c>
      <c r="T776" s="67" t="n">
        <f aca="false">+T759</f>
        <v>-0</v>
      </c>
      <c r="U776" s="67" t="n">
        <f aca="false">+U759</f>
        <v>-0</v>
      </c>
      <c r="V776" s="67" t="n">
        <f aca="false">+V759</f>
        <v>-0</v>
      </c>
      <c r="W776" s="67" t="n">
        <f aca="false">+W759</f>
        <v>-0</v>
      </c>
      <c r="X776" s="67" t="n">
        <f aca="false">+X759</f>
        <v>-0</v>
      </c>
      <c r="Y776" s="432"/>
      <c r="Z776" s="432"/>
      <c r="AA776" s="432"/>
      <c r="AB776" s="432"/>
      <c r="AC776" s="432"/>
    </row>
    <row r="777" customFormat="false" ht="11.25" hidden="false" customHeight="false" outlineLevel="0" collapsed="false">
      <c r="C777" s="417"/>
      <c r="D777" s="417"/>
      <c r="E777" s="67"/>
      <c r="F777" s="432" t="s">
        <v>998</v>
      </c>
      <c r="G777" s="67"/>
      <c r="H777" s="432"/>
      <c r="I777" s="432" t="n">
        <f aca="false">I775*((1+G773)^(C328)-1)</f>
        <v>0</v>
      </c>
      <c r="J777" s="67" t="n">
        <f aca="false">$G$773*J775</f>
        <v>0</v>
      </c>
      <c r="K777" s="67" t="n">
        <f aca="false">$G$773*K775</f>
        <v>0</v>
      </c>
      <c r="L777" s="67" t="n">
        <f aca="false">$G$773*L775</f>
        <v>0</v>
      </c>
      <c r="M777" s="67" t="n">
        <f aca="false">$G$773*M775</f>
        <v>0</v>
      </c>
      <c r="N777" s="67" t="n">
        <f aca="false">$G$773*N775</f>
        <v>0</v>
      </c>
      <c r="O777" s="67" t="n">
        <f aca="false">$G$773*O775</f>
        <v>0</v>
      </c>
      <c r="P777" s="67" t="n">
        <f aca="false">$G$773*P775</f>
        <v>0</v>
      </c>
      <c r="Q777" s="67" t="n">
        <f aca="false">$G$773*Q775</f>
        <v>0</v>
      </c>
      <c r="R777" s="67" t="n">
        <f aca="false">$G$773*R775</f>
        <v>0</v>
      </c>
      <c r="S777" s="67" t="n">
        <f aca="false">$G$773*S775</f>
        <v>0</v>
      </c>
      <c r="T777" s="67" t="n">
        <f aca="false">$G$773*T775</f>
        <v>0</v>
      </c>
      <c r="U777" s="67" t="n">
        <f aca="false">$G$773*U775</f>
        <v>0</v>
      </c>
      <c r="V777" s="67" t="n">
        <f aca="false">$G$773*V775</f>
        <v>0</v>
      </c>
      <c r="W777" s="67" t="n">
        <f aca="false">$G$773*W775</f>
        <v>0</v>
      </c>
      <c r="X777" s="67" t="n">
        <f aca="false">$G$773*X775</f>
        <v>0</v>
      </c>
      <c r="Y777" s="432"/>
      <c r="Z777" s="432"/>
      <c r="AA777" s="432"/>
      <c r="AB777" s="432"/>
      <c r="AC777" s="432"/>
    </row>
    <row r="778" customFormat="false" ht="11.25" hidden="false" customHeight="false" outlineLevel="0" collapsed="false">
      <c r="C778" s="417"/>
      <c r="D778" s="417"/>
      <c r="E778" s="67"/>
      <c r="F778" s="417" t="s">
        <v>999</v>
      </c>
      <c r="G778" s="67"/>
      <c r="H778" s="417"/>
      <c r="I778" s="432" t="n">
        <f aca="false">I776-I777</f>
        <v>-0</v>
      </c>
      <c r="J778" s="432" t="n">
        <f aca="false">J776-J777</f>
        <v>-0</v>
      </c>
      <c r="K778" s="432" t="n">
        <f aca="false">K776-K777</f>
        <v>-0</v>
      </c>
      <c r="L778" s="432" t="n">
        <f aca="false">L776-L777</f>
        <v>-0</v>
      </c>
      <c r="M778" s="432" t="n">
        <f aca="false">M776-M777</f>
        <v>-0</v>
      </c>
      <c r="N778" s="432" t="n">
        <f aca="false">N776-N777</f>
        <v>-0</v>
      </c>
      <c r="O778" s="432" t="n">
        <f aca="false">O776-O777</f>
        <v>-0</v>
      </c>
      <c r="P778" s="432" t="n">
        <f aca="false">P776-P777</f>
        <v>-0</v>
      </c>
      <c r="Q778" s="432" t="n">
        <f aca="false">Q776-Q777</f>
        <v>-0</v>
      </c>
      <c r="R778" s="432" t="n">
        <f aca="false">R776-R777</f>
        <v>-0</v>
      </c>
      <c r="S778" s="432" t="n">
        <f aca="false">S776-S777</f>
        <v>-0</v>
      </c>
      <c r="T778" s="432" t="n">
        <f aca="false">T776-T777</f>
        <v>-0</v>
      </c>
      <c r="U778" s="432" t="n">
        <f aca="false">U776-U777</f>
        <v>-0</v>
      </c>
      <c r="V778" s="432" t="n">
        <f aca="false">V776-V777</f>
        <v>-0</v>
      </c>
      <c r="W778" s="432" t="n">
        <f aca="false">W776-W777</f>
        <v>-0</v>
      </c>
      <c r="X778" s="432" t="n">
        <f aca="false">X776-X777</f>
        <v>-0</v>
      </c>
      <c r="Y778" s="432"/>
      <c r="Z778" s="432"/>
      <c r="AA778" s="432"/>
      <c r="AB778" s="432"/>
      <c r="AC778" s="432"/>
    </row>
    <row r="779" customFormat="false" ht="11.25" hidden="false" customHeight="false" outlineLevel="0" collapsed="false">
      <c r="C779" s="417"/>
      <c r="D779" s="417"/>
      <c r="E779" s="67"/>
      <c r="F779" s="417" t="s">
        <v>709</v>
      </c>
      <c r="G779" s="67"/>
      <c r="H779" s="417"/>
      <c r="I779" s="419" t="n">
        <f aca="false">I775-I778</f>
        <v>0</v>
      </c>
      <c r="J779" s="419" t="n">
        <f aca="false">J775-J778</f>
        <v>0</v>
      </c>
      <c r="K779" s="419" t="n">
        <f aca="false">K775-K778</f>
        <v>0</v>
      </c>
      <c r="L779" s="419" t="n">
        <f aca="false">L775-L778</f>
        <v>0</v>
      </c>
      <c r="M779" s="419" t="n">
        <f aca="false">M775-M778</f>
        <v>0</v>
      </c>
      <c r="N779" s="419" t="n">
        <f aca="false">N775-N778</f>
        <v>0</v>
      </c>
      <c r="O779" s="419" t="n">
        <f aca="false">O775-O778</f>
        <v>0</v>
      </c>
      <c r="P779" s="419" t="n">
        <f aca="false">P775-P778</f>
        <v>0</v>
      </c>
      <c r="Q779" s="419" t="n">
        <f aca="false">Q775-Q778</f>
        <v>0</v>
      </c>
      <c r="R779" s="419" t="n">
        <f aca="false">R775-R778</f>
        <v>0</v>
      </c>
      <c r="S779" s="419" t="n">
        <f aca="false">S775-S778</f>
        <v>0</v>
      </c>
      <c r="T779" s="419" t="n">
        <f aca="false">T775-T778</f>
        <v>0</v>
      </c>
      <c r="U779" s="419" t="n">
        <f aca="false">U775-U778</f>
        <v>0</v>
      </c>
      <c r="V779" s="419" t="n">
        <f aca="false">V775-V778</f>
        <v>0</v>
      </c>
      <c r="W779" s="419" t="n">
        <f aca="false">W775-W778</f>
        <v>0</v>
      </c>
      <c r="X779" s="419" t="n">
        <f aca="false">X775-X778</f>
        <v>0</v>
      </c>
      <c r="Y779" s="432"/>
      <c r="Z779" s="432"/>
      <c r="AA779" s="432"/>
      <c r="AB779" s="432"/>
      <c r="AC779" s="432"/>
    </row>
    <row r="780" customFormat="false" ht="11.25" hidden="false" customHeight="false" outlineLevel="0" collapsed="false">
      <c r="C780" s="417"/>
      <c r="D780" s="417"/>
      <c r="E780" s="417"/>
      <c r="F780" s="417"/>
      <c r="G780" s="417"/>
      <c r="H780" s="432"/>
      <c r="I780" s="432"/>
      <c r="J780" s="432"/>
      <c r="K780" s="432"/>
      <c r="L780" s="432"/>
      <c r="M780" s="432"/>
      <c r="N780" s="432"/>
      <c r="O780" s="432"/>
      <c r="P780" s="432"/>
      <c r="Q780" s="432"/>
      <c r="R780" s="432"/>
      <c r="S780" s="432"/>
      <c r="T780" s="432"/>
      <c r="U780" s="432"/>
      <c r="V780" s="432"/>
      <c r="W780" s="432"/>
      <c r="X780" s="432"/>
      <c r="Y780" s="432"/>
      <c r="Z780" s="432"/>
      <c r="AA780" s="432"/>
      <c r="AB780" s="432"/>
      <c r="AC780" s="432"/>
    </row>
    <row r="781" customFormat="false" ht="12" hidden="false" customHeight="false" outlineLevel="0" collapsed="false">
      <c r="A781" s="105"/>
      <c r="B781" s="105"/>
      <c r="C781" s="105"/>
      <c r="D781" s="105"/>
      <c r="E781" s="105"/>
      <c r="F781" s="105"/>
      <c r="G781" s="105"/>
      <c r="H781" s="105"/>
      <c r="I781" s="105"/>
      <c r="J781" s="105"/>
      <c r="K781" s="105"/>
      <c r="L781" s="105"/>
      <c r="M781" s="105"/>
      <c r="N781" s="105"/>
      <c r="O781" s="105"/>
      <c r="P781" s="105"/>
      <c r="Q781" s="105"/>
      <c r="R781" s="105"/>
      <c r="S781" s="105"/>
      <c r="T781" s="529"/>
      <c r="U781" s="529"/>
      <c r="V781" s="529"/>
      <c r="W781" s="529"/>
      <c r="X781" s="529"/>
      <c r="Y781" s="529"/>
      <c r="Z781" s="529"/>
      <c r="AA781" s="529"/>
      <c r="AB781" s="529"/>
      <c r="AC781" s="529"/>
    </row>
    <row r="782" customFormat="false" ht="12" hidden="false" customHeight="false" outlineLevel="0" collapsed="false">
      <c r="A782" s="67"/>
      <c r="B782" s="67"/>
      <c r="C782" s="67"/>
      <c r="D782" s="67"/>
      <c r="E782" s="67"/>
      <c r="F782" s="67"/>
      <c r="G782" s="67"/>
      <c r="H782" s="67"/>
      <c r="I782" s="67"/>
      <c r="J782" s="67"/>
      <c r="K782" s="67"/>
      <c r="L782" s="67"/>
      <c r="M782" s="67"/>
      <c r="N782" s="67"/>
      <c r="O782" s="67"/>
      <c r="P782" s="67"/>
      <c r="Q782" s="67"/>
      <c r="R782" s="67"/>
      <c r="S782" s="67"/>
    </row>
    <row r="783" customFormat="false" ht="11.25" hidden="false" customHeight="false" outlineLevel="0" collapsed="false">
      <c r="A783" s="153" t="s">
        <v>1003</v>
      </c>
      <c r="J783" s="67"/>
      <c r="K783" s="67"/>
    </row>
    <row r="784" customFormat="false" ht="11.25" hidden="false" customHeight="false" outlineLevel="0" collapsed="false">
      <c r="A784" s="43"/>
      <c r="J784" s="67"/>
      <c r="K784" s="67"/>
    </row>
    <row r="785" customFormat="false" ht="12" hidden="false" customHeight="false" outlineLevel="0" collapsed="false">
      <c r="A785" s="43"/>
      <c r="J785" s="67"/>
      <c r="K785" s="67"/>
    </row>
    <row r="786" customFormat="false" ht="12.75" hidden="false" customHeight="false" outlineLevel="0" collapsed="false">
      <c r="A786" s="554" t="s">
        <v>1004</v>
      </c>
      <c r="C786" s="555" t="s">
        <v>370</v>
      </c>
      <c r="E786" s="555" t="s">
        <v>260</v>
      </c>
      <c r="F786" s="555" t="s">
        <v>260</v>
      </c>
      <c r="G786" s="555" t="s">
        <v>260</v>
      </c>
      <c r="I786" s="554" t="s">
        <v>1005</v>
      </c>
      <c r="K786" s="67"/>
      <c r="L786" s="556" t="s">
        <v>1006</v>
      </c>
      <c r="M786" s="556" t="s">
        <v>1007</v>
      </c>
      <c r="N786" s="556" t="s">
        <v>1008</v>
      </c>
      <c r="O786" s="67"/>
      <c r="P786" s="554" t="s">
        <v>1009</v>
      </c>
      <c r="Q786" s="67"/>
      <c r="R786" s="67"/>
      <c r="S786" s="556" t="s">
        <v>1006</v>
      </c>
      <c r="T786" s="556" t="s">
        <v>1007</v>
      </c>
      <c r="U786" s="556" t="s">
        <v>1008</v>
      </c>
      <c r="W786" s="67"/>
      <c r="X786" s="67"/>
    </row>
    <row r="787" customFormat="false" ht="12.75" hidden="false" customHeight="false" outlineLevel="0" collapsed="false">
      <c r="A787" s="67"/>
      <c r="C787" s="557" t="s">
        <v>1010</v>
      </c>
      <c r="E787" s="558" t="str">
        <f aca="false">G845</f>
        <v>Year 3</v>
      </c>
      <c r="F787" s="558" t="str">
        <f aca="false">M786</f>
        <v>Year 4</v>
      </c>
      <c r="G787" s="558" t="str">
        <f aca="false">N786</f>
        <v>Year 5</v>
      </c>
      <c r="I787" s="43" t="s">
        <v>1011</v>
      </c>
      <c r="K787" s="67"/>
      <c r="L787" s="559" t="e">
        <f aca="false">L29</f>
        <v>#VALUE!</v>
      </c>
      <c r="M787" s="559" t="e">
        <f aca="false">M29</f>
        <v>#VALUE!</v>
      </c>
      <c r="N787" s="559" t="e">
        <f aca="false">N29</f>
        <v>#VALUE!</v>
      </c>
      <c r="O787" s="67"/>
      <c r="P787" s="43" t="s">
        <v>151</v>
      </c>
      <c r="Q787" s="67"/>
      <c r="R787" s="67"/>
      <c r="S787" s="67" t="e">
        <f aca="false">+L962</f>
        <v>#N/A</v>
      </c>
      <c r="T787" s="67" t="e">
        <f aca="false">+M962</f>
        <v>#N/A</v>
      </c>
      <c r="U787" s="67" t="e">
        <f aca="false">+N962</f>
        <v>#N/A</v>
      </c>
      <c r="W787" s="67"/>
      <c r="X787" s="67"/>
    </row>
    <row r="788" customFormat="false" ht="12" hidden="false" customHeight="false" outlineLevel="0" collapsed="false">
      <c r="A788" s="43" t="str">
        <f aca="false">B338</f>
        <v>Term Loan</v>
      </c>
      <c r="C788" s="560" t="n">
        <v>0</v>
      </c>
      <c r="D788" s="149"/>
      <c r="E788" s="561" t="str">
        <f aca="false">IF(J795="YES","NA",IF(ISERR(XIRR(H847:S847,$H$846:$S$846))=TRUE(),"NA",XIRR(H847:S847,$H$846:$S$846)))</f>
        <v>NA</v>
      </c>
      <c r="F788" s="83" t="str">
        <f aca="false">IF(J795="YES","NA",IF(ISERR(XIRR(H855:S855,$H$854:$S$854))=TRUE(),"NA",XIRR(H855:S855,$H$854:$S$854)))</f>
        <v>NA</v>
      </c>
      <c r="G788" s="561" t="str">
        <f aca="false">IF(ISERR(XIRR(H863:S863,$H$862:$S$862))=TRUE(),"NA",XIRR(H863:S863,$H$862:$S$862))</f>
        <v>NA</v>
      </c>
      <c r="I788" s="43" t="s">
        <v>1012</v>
      </c>
      <c r="K788" s="88"/>
      <c r="L788" s="562" t="n">
        <v>6.17686449578701</v>
      </c>
      <c r="M788" s="562" t="n">
        <v>6.01794875017034</v>
      </c>
      <c r="N788" s="562" t="n">
        <v>5.92588786716583</v>
      </c>
      <c r="O788" s="67"/>
      <c r="P788" s="43" t="s">
        <v>1012</v>
      </c>
      <c r="Q788" s="67"/>
      <c r="R788" s="67"/>
      <c r="S788" s="563" t="n">
        <v>1.25</v>
      </c>
      <c r="T788" s="563" t="n">
        <v>1.25</v>
      </c>
      <c r="U788" s="563" t="n">
        <v>1.25</v>
      </c>
      <c r="W788" s="67"/>
      <c r="X788" s="67"/>
    </row>
    <row r="789" customFormat="false" ht="11.25" hidden="false" customHeight="false" outlineLevel="0" collapsed="false">
      <c r="A789" s="43" t="str">
        <f aca="false">B343</f>
        <v>Sr Sub Notes</v>
      </c>
      <c r="C789" s="560" t="n">
        <v>0</v>
      </c>
      <c r="D789" s="149"/>
      <c r="E789" s="564" t="str">
        <f aca="false">IF(J795="YES","NA",IF(ISERR(XIRR(H848:S848,$H$846:$S$846))=TRUE(),"NA",XIRR(H848:S848,$H$846:$S$846)))</f>
        <v>NA</v>
      </c>
      <c r="F789" s="83" t="str">
        <f aca="false">IF(J795="YES","NA",IF(ISERR(XIRR(H856:S856,$H$854:$S$854))=TRUE(),"NA",XIRR(H856:S856,$H$854:$S$854)))</f>
        <v>NA</v>
      </c>
      <c r="G789" s="564" t="str">
        <f aca="false">IF(ISERR(XIRR(H864:S864,$H$862:$S$862))=TRUE(),"NA",XIRR(H864:S864,$H$862:$S$862))</f>
        <v>NA</v>
      </c>
      <c r="H789" s="67"/>
      <c r="I789" s="43" t="s">
        <v>1013</v>
      </c>
      <c r="K789" s="67"/>
      <c r="L789" s="419" t="e">
        <f aca="false">IF(L801&gt;10,0.9*EP!L820,L787*L788)</f>
        <v>#N/A</v>
      </c>
      <c r="M789" s="419" t="e">
        <f aca="false">IF(M801&gt;10,0.9*EP!M820,M787*M788)</f>
        <v>#N/A</v>
      </c>
      <c r="N789" s="419" t="e">
        <f aca="false">IF(N801&gt;10,0.9*EP!N820,N787*N788)</f>
        <v>#N/A</v>
      </c>
      <c r="O789" s="67"/>
      <c r="P789" s="43" t="s">
        <v>1013</v>
      </c>
      <c r="Q789" s="67"/>
      <c r="R789" s="67"/>
      <c r="S789" s="67" t="e">
        <f aca="false">S787*S788</f>
        <v>#N/A</v>
      </c>
      <c r="T789" s="67" t="e">
        <f aca="false">T787*T788</f>
        <v>#N/A</v>
      </c>
      <c r="U789" s="67" t="e">
        <f aca="false">U787*U788</f>
        <v>#N/A</v>
      </c>
      <c r="W789" s="67"/>
      <c r="X789" s="67"/>
    </row>
    <row r="790" customFormat="false" ht="11.25" hidden="false" customHeight="false" outlineLevel="0" collapsed="false">
      <c r="A790" s="43" t="str">
        <f aca="false">B344</f>
        <v>Jr. Sub Notes</v>
      </c>
      <c r="C790" s="560" t="n">
        <v>0</v>
      </c>
      <c r="D790" s="149"/>
      <c r="E790" s="564" t="str">
        <f aca="false">IF(J795="YES","NA",IF(ISERR(XIRR(H849:S849,$H$846:$S$846))=TRUE(),"NA",XIRR(H849:S849,$H$846:$S$846)))</f>
        <v>NA</v>
      </c>
      <c r="F790" s="83" t="str">
        <f aca="false">IF(J795="YES","NA",IF(ISERR(XIRR(H857:S857,$H$854:$S$854))=TRUE(),"NA",XIRR(H857:S857,$H$854:$S$854)))</f>
        <v>NA</v>
      </c>
      <c r="G790" s="564" t="str">
        <f aca="false">IF(ISERR(XIRR(H865:S865,$H$862:$S$862))=TRUE(),"NA",XIRR(H865:S865,$H$862:$S$862))</f>
        <v>NA</v>
      </c>
      <c r="I790" s="43" t="s">
        <v>1014</v>
      </c>
      <c r="K790" s="67"/>
      <c r="O790" s="67"/>
      <c r="P790" s="43" t="s">
        <v>1014</v>
      </c>
      <c r="Q790" s="67"/>
      <c r="R790" s="67"/>
      <c r="S790" s="67"/>
      <c r="T790" s="67"/>
      <c r="W790" s="67"/>
      <c r="X790" s="67"/>
    </row>
    <row r="791" customFormat="false" ht="11.25" hidden="false" customHeight="false" outlineLevel="0" collapsed="false">
      <c r="A791" s="43" t="str">
        <f aca="false">B345</f>
        <v>Preferred Stock</v>
      </c>
      <c r="C791" s="560" t="n">
        <v>0</v>
      </c>
      <c r="D791" s="149"/>
      <c r="E791" s="564" t="str">
        <f aca="false">IF(J795="YES","NA",IF(ISERR(XIRR(H850:S850,$H$846:$S$846))=TRUE(),"NA",XIRR(H850:S850,$H$846:$S$846)))</f>
        <v>NA</v>
      </c>
      <c r="F791" s="83" t="str">
        <f aca="false">IF(J795="YES","NA",IF(ISERR(XIRR(H858:S858,$H$854:$S$854))=TRUE(),"NA",XIRR(H858:S858,$H$854:$S$854)))</f>
        <v>NA</v>
      </c>
      <c r="G791" s="564" t="str">
        <f aca="false">IF(ISERR(XIRR(H866:S866,$H$862:$S$862))=TRUE(),"NA",XIRR(H866:S866,$H$862:$S$862))</f>
        <v>NA</v>
      </c>
      <c r="I791" s="43" t="s">
        <v>1015</v>
      </c>
      <c r="K791" s="67"/>
      <c r="L791" s="559" t="e">
        <f aca="false">L195+L196+L199+L200+L202+L208</f>
        <v>#N/A</v>
      </c>
      <c r="M791" s="559" t="e">
        <f aca="false">M195+M196+M199+M200+M202+M208</f>
        <v>#N/A</v>
      </c>
      <c r="N791" s="559" t="e">
        <f aca="false">N195+N196+N199+N200+N202+N208</f>
        <v>#N/A</v>
      </c>
      <c r="P791" s="43" t="s">
        <v>1015</v>
      </c>
      <c r="S791" s="35" t="e">
        <f aca="false">L791</f>
        <v>#N/A</v>
      </c>
      <c r="T791" s="35" t="e">
        <f aca="false">M791</f>
        <v>#N/A</v>
      </c>
      <c r="U791" s="35" t="e">
        <f aca="false">N791</f>
        <v>#N/A</v>
      </c>
    </row>
    <row r="792" customFormat="false" ht="11.25" hidden="false" customHeight="false" outlineLevel="0" collapsed="false">
      <c r="A792" s="43" t="str">
        <f aca="false">B346</f>
        <v>Common Stock</v>
      </c>
      <c r="C792" s="565" t="n">
        <f aca="false">1-SUM(C788:C791)</f>
        <v>1</v>
      </c>
      <c r="D792" s="149"/>
      <c r="E792" s="566" t="str">
        <f aca="false">IF(J795="YES","NA",IF(ISERR(XIRR(H851:S851,$H$846:$S$846))=TRUE(),"NA",XIRR(H851:S851,$H$846:$S$846)))</f>
        <v>NA</v>
      </c>
      <c r="F792" s="567" t="str">
        <f aca="false">IF(J795="YES","NA",IF(ISERR(XIRR(H859:S859,$H$854:$S$854))=TRUE(),"NA",XIRR(H859:S859,$H$854:$S$854)))</f>
        <v>NA</v>
      </c>
      <c r="G792" s="566" t="str">
        <f aca="false">IF(ISERR(XIRR(H867:S867,$H$862:$S$862))=TRUE(),"NA",XIRR(H867:S867,$H$862:$S$862))</f>
        <v>NA</v>
      </c>
      <c r="H792" s="67"/>
      <c r="I792" s="43" t="s">
        <v>1016</v>
      </c>
      <c r="K792" s="67"/>
      <c r="L792" s="417"/>
      <c r="M792" s="417"/>
      <c r="N792" s="417"/>
      <c r="O792" s="67"/>
      <c r="P792" s="43" t="s">
        <v>1016</v>
      </c>
      <c r="Q792" s="67"/>
      <c r="R792" s="67"/>
      <c r="S792" s="67"/>
      <c r="T792" s="67"/>
      <c r="U792" s="67"/>
    </row>
    <row r="793" customFormat="false" ht="11.25" hidden="false" customHeight="false" outlineLevel="0" collapsed="false">
      <c r="A793" s="43"/>
      <c r="C793" s="568" t="n">
        <f aca="false">SUM(C789:C792)</f>
        <v>1</v>
      </c>
      <c r="E793" s="67"/>
      <c r="F793" s="67"/>
      <c r="G793" s="67"/>
      <c r="H793" s="67"/>
      <c r="I793" s="43" t="s">
        <v>1017</v>
      </c>
      <c r="K793" s="67"/>
      <c r="L793" s="417" t="e">
        <f aca="false">L168-L450</f>
        <v>#VALUE!</v>
      </c>
      <c r="M793" s="417" t="e">
        <f aca="false">M168-M450</f>
        <v>#VALUE!</v>
      </c>
      <c r="N793" s="417" t="e">
        <f aca="false">N168-N450</f>
        <v>#VALUE!</v>
      </c>
      <c r="O793" s="67"/>
      <c r="P793" s="43" t="s">
        <v>759</v>
      </c>
      <c r="Q793" s="67"/>
      <c r="R793" s="67"/>
      <c r="S793" s="67" t="n">
        <f aca="false">+L457</f>
        <v>0</v>
      </c>
      <c r="T793" s="67" t="n">
        <f aca="false">+M457</f>
        <v>0</v>
      </c>
      <c r="U793" s="67" t="n">
        <f aca="false">+N457</f>
        <v>0</v>
      </c>
    </row>
    <row r="794" customFormat="false" ht="11.25" hidden="false" customHeight="false" outlineLevel="0" collapsed="false">
      <c r="A794" s="43"/>
      <c r="C794" s="569"/>
      <c r="E794" s="67"/>
      <c r="F794" s="67"/>
      <c r="G794" s="67"/>
      <c r="H794" s="67"/>
      <c r="I794" s="43" t="s">
        <v>1018</v>
      </c>
      <c r="K794" s="67"/>
      <c r="L794" s="419" t="e">
        <f aca="false">L789-L791+L793</f>
        <v>#N/A</v>
      </c>
      <c r="M794" s="419" t="e">
        <f aca="false">M789-M791+M793</f>
        <v>#N/A</v>
      </c>
      <c r="N794" s="419" t="e">
        <f aca="false">N789-N791+N793</f>
        <v>#N/A</v>
      </c>
      <c r="O794" s="67"/>
      <c r="P794" s="43" t="s">
        <v>1018</v>
      </c>
      <c r="Q794" s="67"/>
      <c r="R794" s="67"/>
      <c r="S794" s="68" t="e">
        <f aca="false">S789-S791+S793</f>
        <v>#N/A</v>
      </c>
      <c r="T794" s="68" t="e">
        <f aca="false">T789-T791+T793</f>
        <v>#N/A</v>
      </c>
      <c r="U794" s="68" t="e">
        <f aca="false">U789-U791+U793</f>
        <v>#N/A</v>
      </c>
    </row>
    <row r="795" customFormat="false" ht="11.25" hidden="false" customHeight="false" outlineLevel="0" collapsed="false">
      <c r="A795" s="43"/>
      <c r="C795" s="569"/>
      <c r="E795" s="67"/>
      <c r="F795" s="67"/>
      <c r="G795" s="67"/>
      <c r="H795" s="67"/>
      <c r="I795" s="67" t="s">
        <v>1019</v>
      </c>
      <c r="J795" s="100" t="s">
        <v>1020</v>
      </c>
      <c r="K795" s="65" t="s">
        <v>1021</v>
      </c>
      <c r="L795" s="496" t="n">
        <v>1</v>
      </c>
      <c r="M795" s="496" t="n">
        <v>1</v>
      </c>
      <c r="N795" s="496" t="n">
        <v>1</v>
      </c>
      <c r="O795" s="67" t="str">
        <f aca="false">IF(J795="NO","",IF(SUM(L795:N795)=1,"","Stages do not sum to 100%"))</f>
        <v/>
      </c>
      <c r="P795" s="43" t="s">
        <v>1022</v>
      </c>
      <c r="Q795" s="67"/>
      <c r="R795" s="67"/>
      <c r="S795" s="496" t="n">
        <v>1</v>
      </c>
      <c r="T795" s="496" t="n">
        <v>1</v>
      </c>
      <c r="U795" s="496" t="n">
        <v>1</v>
      </c>
    </row>
    <row r="796" customFormat="false" ht="12" hidden="false" customHeight="false" outlineLevel="0" collapsed="false">
      <c r="A796" s="43"/>
      <c r="C796" s="569"/>
      <c r="E796" s="67"/>
      <c r="F796" s="67"/>
      <c r="G796" s="67"/>
      <c r="H796" s="67"/>
      <c r="I796" s="43" t="s">
        <v>1023</v>
      </c>
      <c r="K796" s="67"/>
      <c r="L796" s="570" t="e">
        <f aca="false">MAX(0,+L794*L795)</f>
        <v>#N/A</v>
      </c>
      <c r="M796" s="570" t="e">
        <f aca="false">MAX(0,+M794*M795)</f>
        <v>#N/A</v>
      </c>
      <c r="N796" s="570" t="e">
        <f aca="false">MAX(0,+N794*N795)</f>
        <v>#N/A</v>
      </c>
      <c r="O796" s="67"/>
      <c r="P796" s="43" t="s">
        <v>1023</v>
      </c>
      <c r="Q796" s="67"/>
      <c r="R796" s="67"/>
      <c r="S796" s="425" t="e">
        <f aca="false">+S794*S795</f>
        <v>#N/A</v>
      </c>
      <c r="T796" s="425" t="e">
        <f aca="false">+T794*T795</f>
        <v>#N/A</v>
      </c>
      <c r="U796" s="425" t="e">
        <f aca="false">+U794*U795</f>
        <v>#N/A</v>
      </c>
    </row>
    <row r="797" customFormat="false" ht="12" hidden="false" customHeight="false" outlineLevel="0" collapsed="false">
      <c r="A797" s="43"/>
      <c r="C797" s="569"/>
      <c r="E797" s="67"/>
      <c r="F797" s="67"/>
      <c r="G797" s="67"/>
      <c r="H797" s="67"/>
      <c r="I797" s="67"/>
      <c r="J797" s="67"/>
      <c r="K797" s="67"/>
      <c r="L797" s="67"/>
      <c r="M797" s="67"/>
      <c r="N797" s="67"/>
      <c r="O797" s="67"/>
      <c r="P797" s="67"/>
      <c r="Q797" s="67"/>
      <c r="R797" s="67"/>
      <c r="S797" s="67"/>
    </row>
    <row r="798" customFormat="false" ht="11.25" hidden="false" customHeight="false" outlineLevel="0" collapsed="false">
      <c r="A798" s="67"/>
      <c r="C798" s="569"/>
      <c r="E798" s="67"/>
      <c r="F798" s="67"/>
      <c r="G798" s="67"/>
      <c r="H798" s="67"/>
      <c r="I798" s="67"/>
      <c r="J798" s="67"/>
      <c r="K798" s="67"/>
      <c r="L798" s="67"/>
      <c r="M798" s="67"/>
      <c r="N798" s="67"/>
      <c r="O798" s="67"/>
      <c r="P798" s="67"/>
      <c r="Q798" s="67"/>
      <c r="R798" s="67"/>
      <c r="S798" s="67"/>
    </row>
    <row r="799" customFormat="false" ht="11.25" hidden="false" customHeight="false" outlineLevel="0" collapsed="false">
      <c r="A799" s="571" t="s">
        <v>1024</v>
      </c>
      <c r="B799" s="572"/>
      <c r="C799" s="573"/>
      <c r="D799" s="572"/>
      <c r="E799" s="574"/>
      <c r="F799" s="574"/>
      <c r="G799" s="574"/>
      <c r="H799" s="574"/>
      <c r="I799" s="67"/>
      <c r="J799" s="67"/>
      <c r="K799" s="67"/>
      <c r="L799" s="67"/>
      <c r="M799" s="67"/>
      <c r="N799" s="67"/>
      <c r="O799" s="67"/>
      <c r="P799" s="67"/>
      <c r="Q799" s="67"/>
      <c r="R799" s="67"/>
      <c r="S799" s="67"/>
    </row>
    <row r="800" customFormat="false" ht="11.25" hidden="false" customHeight="false" outlineLevel="0" collapsed="false">
      <c r="A800" s="67"/>
      <c r="B800" s="67"/>
      <c r="C800" s="67"/>
      <c r="D800" s="67"/>
      <c r="E800" s="67"/>
      <c r="F800" s="67"/>
      <c r="G800" s="67"/>
      <c r="H800" s="67"/>
      <c r="I800" s="67"/>
      <c r="J800" s="575" t="s">
        <v>1025</v>
      </c>
      <c r="K800" s="575" t="s">
        <v>1026</v>
      </c>
      <c r="L800" s="575" t="s">
        <v>1006</v>
      </c>
      <c r="M800" s="575" t="s">
        <v>1007</v>
      </c>
      <c r="N800" s="575" t="s">
        <v>1008</v>
      </c>
      <c r="O800" s="575" t="s">
        <v>1027</v>
      </c>
      <c r="P800" s="575" t="s">
        <v>1028</v>
      </c>
      <c r="Q800" s="575" t="s">
        <v>1029</v>
      </c>
      <c r="R800" s="575" t="s">
        <v>1030</v>
      </c>
      <c r="S800" s="575" t="s">
        <v>592</v>
      </c>
    </row>
    <row r="801" customFormat="false" ht="11.25" hidden="false" customHeight="false" outlineLevel="0" collapsed="false">
      <c r="A801" s="67"/>
      <c r="C801" s="569"/>
      <c r="E801" s="67"/>
      <c r="F801" s="67"/>
      <c r="G801" s="65" t="s">
        <v>1031</v>
      </c>
      <c r="H801" s="67"/>
      <c r="I801" s="67" t="e">
        <f aca="false">I227</f>
        <v>#VALUE!</v>
      </c>
      <c r="J801" s="67" t="e">
        <f aca="false">J227</f>
        <v>#N/A</v>
      </c>
      <c r="K801" s="67" t="e">
        <f aca="false">K227</f>
        <v>#N/A</v>
      </c>
      <c r="L801" s="67" t="e">
        <f aca="false">L227</f>
        <v>#N/A</v>
      </c>
      <c r="M801" s="67" t="e">
        <f aca="false">M227</f>
        <v>#N/A</v>
      </c>
      <c r="N801" s="67" t="e">
        <f aca="false">N227</f>
        <v>#N/A</v>
      </c>
      <c r="O801" s="67" t="e">
        <f aca="false">O227</f>
        <v>#N/A</v>
      </c>
      <c r="P801" s="67" t="e">
        <f aca="false">P227</f>
        <v>#N/A</v>
      </c>
      <c r="Q801" s="67" t="e">
        <f aca="false">Q227</f>
        <v>#N/A</v>
      </c>
      <c r="R801" s="67" t="e">
        <f aca="false">R227</f>
        <v>#N/A</v>
      </c>
      <c r="S801" s="67" t="e">
        <f aca="false">S227</f>
        <v>#N/A</v>
      </c>
      <c r="T801" s="67"/>
    </row>
    <row r="802" customFormat="false" ht="11.25" hidden="false" customHeight="false" outlineLevel="0" collapsed="false">
      <c r="A802" s="43"/>
      <c r="C802" s="569"/>
      <c r="E802" s="67"/>
      <c r="F802" s="67"/>
      <c r="G802" s="65" t="s">
        <v>1032</v>
      </c>
      <c r="H802" s="67"/>
      <c r="I802" s="67" t="e">
        <f aca="false">IF(I801&gt;5,I962,0)</f>
        <v>#VALUE!</v>
      </c>
      <c r="J802" s="67" t="e">
        <f aca="false">IF(J801&gt;5,J962,0)</f>
        <v>#N/A</v>
      </c>
      <c r="K802" s="67" t="e">
        <f aca="false">IF(K801&gt;5,K962,0)</f>
        <v>#N/A</v>
      </c>
      <c r="L802" s="67" t="e">
        <f aca="false">IF(L801&gt;5,L962,0)</f>
        <v>#N/A</v>
      </c>
      <c r="M802" s="67" t="e">
        <f aca="false">IF(M801&gt;5,M962,0)</f>
        <v>#N/A</v>
      </c>
      <c r="N802" s="67" t="e">
        <f aca="false">IF(N801&gt;5,N962,0)</f>
        <v>#N/A</v>
      </c>
      <c r="O802" s="67" t="e">
        <f aca="false">IF(O801&gt;5,O962,0)</f>
        <v>#N/A</v>
      </c>
      <c r="P802" s="67" t="e">
        <f aca="false">IF(P801&gt;5,P962,0)</f>
        <v>#N/A</v>
      </c>
      <c r="Q802" s="67" t="e">
        <f aca="false">IF(Q801&gt;5,Q962,0)</f>
        <v>#N/A</v>
      </c>
      <c r="R802" s="67" t="e">
        <f aca="false">IF(R801&gt;5,R962,0)</f>
        <v>#N/A</v>
      </c>
      <c r="S802" s="67" t="e">
        <f aca="false">IF(S801&gt;5,S962,0)</f>
        <v>#N/A</v>
      </c>
      <c r="T802" s="67"/>
    </row>
    <row r="803" customFormat="false" ht="11.25" hidden="false" customHeight="false" outlineLevel="0" collapsed="false">
      <c r="A803" s="43"/>
      <c r="C803" s="569"/>
      <c r="E803" s="67"/>
      <c r="F803" s="67"/>
      <c r="G803" s="65" t="s">
        <v>1033</v>
      </c>
      <c r="H803" s="67"/>
      <c r="I803" s="576" t="n">
        <v>0.95</v>
      </c>
      <c r="J803" s="576" t="n">
        <v>0.95</v>
      </c>
      <c r="K803" s="576" t="n">
        <v>0.95</v>
      </c>
      <c r="L803" s="576" t="n">
        <v>0.95</v>
      </c>
      <c r="M803" s="576" t="n">
        <v>0.95</v>
      </c>
      <c r="N803" s="576" t="n">
        <v>0.95</v>
      </c>
      <c r="O803" s="576" t="n">
        <v>0.95</v>
      </c>
      <c r="P803" s="576" t="n">
        <v>0.95</v>
      </c>
      <c r="Q803" s="576" t="n">
        <v>0.95</v>
      </c>
      <c r="R803" s="576" t="n">
        <v>0.95</v>
      </c>
      <c r="S803" s="576" t="n">
        <v>0.95</v>
      </c>
      <c r="T803" s="67"/>
    </row>
    <row r="804" customFormat="false" ht="11.25" hidden="false" customHeight="false" outlineLevel="0" collapsed="false">
      <c r="A804" s="43"/>
      <c r="C804" s="569"/>
      <c r="E804" s="67"/>
      <c r="F804" s="67"/>
      <c r="G804" s="65" t="s">
        <v>1034</v>
      </c>
      <c r="H804" s="67"/>
      <c r="I804" s="67" t="e">
        <f aca="false">+I803*I802</f>
        <v>#VALUE!</v>
      </c>
      <c r="J804" s="67" t="e">
        <f aca="false">+J803*J802</f>
        <v>#N/A</v>
      </c>
      <c r="K804" s="67" t="e">
        <f aca="false">+K803*K802</f>
        <v>#N/A</v>
      </c>
      <c r="L804" s="67" t="e">
        <f aca="false">+L803*L802</f>
        <v>#N/A</v>
      </c>
      <c r="M804" s="67" t="e">
        <f aca="false">+M803*M802</f>
        <v>#N/A</v>
      </c>
      <c r="N804" s="67" t="e">
        <f aca="false">+N803*N802</f>
        <v>#N/A</v>
      </c>
      <c r="O804" s="67" t="e">
        <f aca="false">+O803*O802</f>
        <v>#N/A</v>
      </c>
      <c r="P804" s="67" t="e">
        <f aca="false">+P803*P802</f>
        <v>#N/A</v>
      </c>
      <c r="Q804" s="67" t="e">
        <f aca="false">+Q803*Q802</f>
        <v>#N/A</v>
      </c>
      <c r="R804" s="67" t="e">
        <f aca="false">+R803*R802</f>
        <v>#N/A</v>
      </c>
      <c r="S804" s="67" t="e">
        <f aca="false">+S803*S802</f>
        <v>#N/A</v>
      </c>
      <c r="T804" s="67"/>
    </row>
    <row r="805" customFormat="false" ht="11.25" hidden="false" customHeight="false" outlineLevel="0" collapsed="false">
      <c r="A805" s="43"/>
      <c r="C805" s="569"/>
      <c r="E805" s="67"/>
      <c r="F805" s="67"/>
      <c r="G805" s="65" t="s">
        <v>1035</v>
      </c>
      <c r="H805" s="67"/>
      <c r="I805" s="67" t="e">
        <f aca="false">-(+I195+I196+I199+I200+I202+I208)</f>
        <v>#VALUE!</v>
      </c>
      <c r="J805" s="67" t="e">
        <f aca="false">-(+J195+J196+J199+J200+J202+J208)</f>
        <v>#N/A</v>
      </c>
      <c r="K805" s="67" t="e">
        <f aca="false">-(+K195+K196+K199+K200+K202+K208)</f>
        <v>#N/A</v>
      </c>
      <c r="L805" s="67" t="e">
        <f aca="false">-(+L195+L196+L199+L200+L202+L208)</f>
        <v>#N/A</v>
      </c>
      <c r="M805" s="67" t="e">
        <f aca="false">-(+M195+M196+M199+M200+M202+M208)</f>
        <v>#N/A</v>
      </c>
      <c r="N805" s="67" t="e">
        <f aca="false">-(+N195+N196+N199+N200+N202+N208)</f>
        <v>#N/A</v>
      </c>
      <c r="O805" s="67" t="e">
        <f aca="false">-(+O195+O196+O199+O200+O202+O208)</f>
        <v>#N/A</v>
      </c>
      <c r="P805" s="67" t="e">
        <f aca="false">-(+P195+P196+P199+P200+P202+P208)</f>
        <v>#N/A</v>
      </c>
      <c r="Q805" s="67" t="e">
        <f aca="false">-(+Q195+Q196+Q199+Q200+Q202+Q208)</f>
        <v>#N/A</v>
      </c>
      <c r="R805" s="67" t="e">
        <f aca="false">-(+R195+R196+R199+R200+R202+R208)</f>
        <v>#N/A</v>
      </c>
      <c r="S805" s="67" t="e">
        <f aca="false">-(+S195+S196+S199+S200+S202+S208)</f>
        <v>#N/A</v>
      </c>
      <c r="T805" s="67"/>
    </row>
    <row r="806" customFormat="false" ht="11.25" hidden="false" customHeight="false" outlineLevel="0" collapsed="false">
      <c r="A806" s="43"/>
      <c r="B806" s="67"/>
      <c r="C806" s="569"/>
      <c r="E806" s="67"/>
      <c r="F806" s="67"/>
      <c r="G806" s="65" t="s">
        <v>1036</v>
      </c>
      <c r="H806" s="67"/>
      <c r="I806" s="67" t="n">
        <f aca="false">+L457</f>
        <v>0</v>
      </c>
      <c r="J806" s="67" t="n">
        <f aca="false">+M457</f>
        <v>0</v>
      </c>
      <c r="K806" s="67" t="n">
        <f aca="false">+N457</f>
        <v>0</v>
      </c>
      <c r="L806" s="67" t="n">
        <f aca="false">+O457</f>
        <v>0</v>
      </c>
      <c r="M806" s="67" t="n">
        <f aca="false">+P457</f>
        <v>0</v>
      </c>
      <c r="N806" s="67" t="n">
        <f aca="false">+Q457</f>
        <v>0</v>
      </c>
      <c r="O806" s="67" t="n">
        <f aca="false">+R457</f>
        <v>0</v>
      </c>
      <c r="P806" s="67" t="n">
        <f aca="false">+S457</f>
        <v>0</v>
      </c>
      <c r="Q806" s="67" t="n">
        <f aca="false">+T457</f>
        <v>0</v>
      </c>
      <c r="R806" s="67" t="n">
        <f aca="false">+U457</f>
        <v>0</v>
      </c>
      <c r="S806" s="67" t="n">
        <f aca="false">+V457</f>
        <v>0</v>
      </c>
      <c r="T806" s="65" t="s">
        <v>341</v>
      </c>
    </row>
    <row r="807" customFormat="false" ht="11.25" hidden="false" customHeight="false" outlineLevel="0" collapsed="false">
      <c r="A807" s="43"/>
      <c r="B807" s="67"/>
      <c r="C807" s="569"/>
      <c r="E807" s="67"/>
      <c r="F807" s="67"/>
      <c r="G807" s="65" t="s">
        <v>1037</v>
      </c>
      <c r="H807" s="67"/>
      <c r="I807" s="577" t="n">
        <f aca="false">+C792</f>
        <v>1</v>
      </c>
      <c r="J807" s="577" t="n">
        <f aca="false">I807</f>
        <v>1</v>
      </c>
      <c r="K807" s="577" t="n">
        <f aca="false">J807</f>
        <v>1</v>
      </c>
      <c r="L807" s="577" t="n">
        <f aca="false">K807</f>
        <v>1</v>
      </c>
      <c r="M807" s="577" t="n">
        <f aca="false">L807</f>
        <v>1</v>
      </c>
      <c r="N807" s="577" t="n">
        <f aca="false">M807</f>
        <v>1</v>
      </c>
      <c r="O807" s="577" t="n">
        <f aca="false">N807</f>
        <v>1</v>
      </c>
      <c r="P807" s="577" t="n">
        <f aca="false">O807</f>
        <v>1</v>
      </c>
      <c r="Q807" s="577" t="n">
        <f aca="false">P807</f>
        <v>1</v>
      </c>
      <c r="R807" s="577" t="n">
        <f aca="false">Q807</f>
        <v>1</v>
      </c>
      <c r="S807" s="577" t="n">
        <f aca="false">R807</f>
        <v>1</v>
      </c>
      <c r="T807" s="65"/>
    </row>
    <row r="808" customFormat="false" ht="11.25" hidden="false" customHeight="false" outlineLevel="0" collapsed="false">
      <c r="A808" s="35" t="s">
        <v>1038</v>
      </c>
      <c r="B808" s="67"/>
      <c r="C808" s="569"/>
      <c r="D808" s="578" t="s">
        <v>1039</v>
      </c>
      <c r="E808" s="67"/>
      <c r="F808" s="67"/>
      <c r="G808" s="65" t="s">
        <v>1040</v>
      </c>
      <c r="H808" s="67"/>
      <c r="I808" s="68" t="e">
        <f aca="false">MAX(0,IF($D$808="Y",SUM(I804:I806)*I807,0))</f>
        <v>#VALUE!</v>
      </c>
      <c r="J808" s="68" t="e">
        <f aca="false">MAX(0,IF($D$808="Y",SUM(J804:J806)*J807,0))</f>
        <v>#N/A</v>
      </c>
      <c r="K808" s="68" t="e">
        <f aca="false">MAX(0,IF($D$808="Y",SUM(K804:K806)*K807,0))</f>
        <v>#N/A</v>
      </c>
      <c r="L808" s="68" t="e">
        <f aca="false">MAX(0,IF($D$808="Y",SUM(L804:L806)*L807,0))</f>
        <v>#N/A</v>
      </c>
      <c r="M808" s="68" t="e">
        <f aca="false">MAX(0,IF($D$808="Y",SUM(M804:M806)*M807,0))</f>
        <v>#N/A</v>
      </c>
      <c r="N808" s="68" t="e">
        <f aca="false">MAX(0,IF($D$808="Y",SUM(N804:N806)*N807,0))</f>
        <v>#N/A</v>
      </c>
      <c r="O808" s="68" t="e">
        <f aca="false">MAX(0,IF($D$808="Y",SUM(O804:O806)*O807,0))</f>
        <v>#N/A</v>
      </c>
      <c r="P808" s="68" t="e">
        <f aca="false">MAX(0,IF($D$808="Y",SUM(P804:P806)*P807,0))</f>
        <v>#N/A</v>
      </c>
      <c r="Q808" s="68" t="e">
        <f aca="false">MAX(0,IF($D$808="Y",SUM(Q804:Q806)*Q807,0))</f>
        <v>#N/A</v>
      </c>
      <c r="R808" s="68" t="e">
        <f aca="false">MAX(0,IF($D$808="Y",SUM(R804:R806)*R807,0))</f>
        <v>#N/A</v>
      </c>
      <c r="S808" s="68" t="e">
        <f aca="false">MAX(0,IF($D$808="Y",SUM(S804:S806)*S807,0))</f>
        <v>#N/A</v>
      </c>
      <c r="T808" s="67" t="e">
        <f aca="false">SUM(I808:S808)</f>
        <v>#VALUE!</v>
      </c>
    </row>
    <row r="809" customFormat="false" ht="11.25" hidden="false" customHeight="false" outlineLevel="0" collapsed="false">
      <c r="B809" s="67"/>
      <c r="C809" s="569"/>
      <c r="D809" s="67"/>
      <c r="E809" s="67" t="s">
        <v>1041</v>
      </c>
      <c r="F809" s="67"/>
      <c r="G809" s="67"/>
      <c r="H809" s="67"/>
      <c r="I809" s="67"/>
      <c r="J809" s="579" t="n">
        <v>0.051</v>
      </c>
      <c r="K809" s="579" t="n">
        <v>0.0523</v>
      </c>
      <c r="L809" s="579" t="n">
        <v>0.0594</v>
      </c>
      <c r="M809" s="579" t="n">
        <v>0.0636</v>
      </c>
      <c r="N809" s="579" t="n">
        <v>0.0647</v>
      </c>
      <c r="O809" s="579" t="n">
        <v>0.065</v>
      </c>
      <c r="P809" s="579" t="n">
        <v>0.06547</v>
      </c>
      <c r="Q809" s="80"/>
      <c r="R809" s="80"/>
      <c r="S809" s="80"/>
      <c r="T809" s="67"/>
    </row>
    <row r="810" customFormat="false" ht="11.25" hidden="false" customHeight="false" outlineLevel="0" collapsed="false">
      <c r="B810" s="67"/>
      <c r="C810" s="569"/>
      <c r="D810" s="67"/>
      <c r="E810" s="43" t="s">
        <v>1042</v>
      </c>
      <c r="F810" s="67"/>
      <c r="G810" s="67"/>
      <c r="H810" s="67"/>
      <c r="I810" s="75" t="s">
        <v>1043</v>
      </c>
      <c r="J810" s="67" t="e">
        <f aca="false">+$J$808</f>
        <v>#N/A</v>
      </c>
      <c r="K810" s="67" t="e">
        <f aca="false">+$J808*(1+K809)</f>
        <v>#N/A</v>
      </c>
      <c r="L810" s="67" t="e">
        <f aca="false">+J808*((1+L809)*(1+K809))</f>
        <v>#N/A</v>
      </c>
      <c r="M810" s="67" t="e">
        <f aca="false">+J808*((1+M809)*(1+L809)*(1+K809))</f>
        <v>#N/A</v>
      </c>
      <c r="N810" s="67" t="e">
        <f aca="false">+J808*((1+N809)*(1+M809)*(1+L809)*(1+K809))</f>
        <v>#N/A</v>
      </c>
      <c r="O810" s="67" t="e">
        <f aca="false">+J808*((1+O809)*(1+N809)*(1+M809)*(1+L809)*(1+K809))</f>
        <v>#N/A</v>
      </c>
      <c r="P810" s="67" t="e">
        <f aca="false">+J808*((1+P$811)*(1+O$811)*(1+N$811)*(1+M$811)*(1+L$811)*(1+K$811))</f>
        <v>#N/A</v>
      </c>
      <c r="Q810" s="80"/>
      <c r="R810" s="80"/>
      <c r="S810" s="80"/>
      <c r="T810" s="67"/>
    </row>
    <row r="811" customFormat="false" ht="11.25" hidden="false" customHeight="false" outlineLevel="0" collapsed="false">
      <c r="B811" s="67"/>
      <c r="C811" s="569"/>
      <c r="D811" s="67"/>
      <c r="E811" s="43"/>
      <c r="F811" s="67"/>
      <c r="G811" s="67"/>
      <c r="H811" s="67"/>
      <c r="I811" s="75" t="s">
        <v>1044</v>
      </c>
      <c r="J811" s="67"/>
      <c r="K811" s="67" t="e">
        <f aca="false">+K$808</f>
        <v>#N/A</v>
      </c>
      <c r="L811" s="67" t="e">
        <f aca="false">+K808*(1+L809)</f>
        <v>#N/A</v>
      </c>
      <c r="M811" s="67" t="e">
        <f aca="false">+K808*((1+M809)*(1+L809))</f>
        <v>#N/A</v>
      </c>
      <c r="N811" s="67" t="e">
        <f aca="false">+K808*((1+N809)*(1+M809)*(1+L809))</f>
        <v>#N/A</v>
      </c>
      <c r="O811" s="67" t="e">
        <f aca="false">+K808*((1+O809)*(1+N809)*(1+M809)*(1+L809))</f>
        <v>#N/A</v>
      </c>
      <c r="P811" s="67" t="e">
        <f aca="false">+K808*((1+P809)*(1+O809)*(1+N809)*(1+M809)*(1+L809))</f>
        <v>#N/A</v>
      </c>
      <c r="Q811" s="80"/>
      <c r="R811" s="80"/>
      <c r="S811" s="80"/>
      <c r="T811" s="67"/>
    </row>
    <row r="812" customFormat="false" ht="11.25" hidden="false" customHeight="false" outlineLevel="0" collapsed="false">
      <c r="B812" s="67"/>
      <c r="C812" s="569"/>
      <c r="D812" s="67"/>
      <c r="E812" s="43"/>
      <c r="F812" s="67"/>
      <c r="G812" s="67"/>
      <c r="H812" s="67"/>
      <c r="I812" s="75" t="s">
        <v>1045</v>
      </c>
      <c r="J812" s="67"/>
      <c r="K812" s="67"/>
      <c r="L812" s="67" t="e">
        <f aca="false">+L$808</f>
        <v>#N/A</v>
      </c>
      <c r="M812" s="67" t="e">
        <f aca="false">+L808*(1+M809)</f>
        <v>#N/A</v>
      </c>
      <c r="N812" s="67" t="e">
        <f aca="false">+L808*((1+N809)*(1+M809))</f>
        <v>#N/A</v>
      </c>
      <c r="O812" s="67" t="e">
        <f aca="false">+L808*((1+O809)*(1+N809)*(1+M809))</f>
        <v>#N/A</v>
      </c>
      <c r="P812" s="67" t="e">
        <f aca="false">+L808*((1+P809)*(1+O809)*(1+N809)*(1+M809))</f>
        <v>#N/A</v>
      </c>
      <c r="Q812" s="80"/>
      <c r="R812" s="80"/>
      <c r="S812" s="80"/>
      <c r="T812" s="67"/>
    </row>
    <row r="813" customFormat="false" ht="11.25" hidden="false" customHeight="false" outlineLevel="0" collapsed="false">
      <c r="B813" s="67"/>
      <c r="C813" s="569"/>
      <c r="D813" s="67"/>
      <c r="E813" s="43"/>
      <c r="F813" s="67"/>
      <c r="G813" s="67"/>
      <c r="H813" s="67"/>
      <c r="I813" s="75" t="s">
        <v>1046</v>
      </c>
      <c r="J813" s="67"/>
      <c r="K813" s="67"/>
      <c r="L813" s="67"/>
      <c r="M813" s="67" t="e">
        <f aca="false">+M$808</f>
        <v>#N/A</v>
      </c>
      <c r="N813" s="67" t="e">
        <f aca="false">+M808*(1+N809)</f>
        <v>#N/A</v>
      </c>
      <c r="O813" s="67" t="e">
        <f aca="false">+M808*((1+O809)*(1+N809))</f>
        <v>#N/A</v>
      </c>
      <c r="P813" s="67" t="e">
        <f aca="false">+M808*((1+P809)*(1+O809)*(1+N809))</f>
        <v>#N/A</v>
      </c>
      <c r="Q813" s="80"/>
      <c r="R813" s="80"/>
      <c r="S813" s="80"/>
      <c r="T813" s="67"/>
    </row>
    <row r="814" customFormat="false" ht="11.25" hidden="false" customHeight="false" outlineLevel="0" collapsed="false">
      <c r="B814" s="67"/>
      <c r="C814" s="569"/>
      <c r="D814" s="67"/>
      <c r="E814" s="43"/>
      <c r="F814" s="67"/>
      <c r="G814" s="67"/>
      <c r="H814" s="67"/>
      <c r="I814" s="75" t="s">
        <v>1047</v>
      </c>
      <c r="J814" s="67"/>
      <c r="K814" s="67"/>
      <c r="L814" s="67"/>
      <c r="M814" s="67"/>
      <c r="N814" s="67" t="e">
        <f aca="false">+N$808</f>
        <v>#N/A</v>
      </c>
      <c r="O814" s="67" t="e">
        <f aca="false">+N808*(1+O809)</f>
        <v>#N/A</v>
      </c>
      <c r="P814" s="67" t="e">
        <f aca="false">+N808*((1+P809)*(1+O809))</f>
        <v>#N/A</v>
      </c>
      <c r="Q814" s="80"/>
      <c r="R814" s="80"/>
      <c r="S814" s="80"/>
      <c r="T814" s="67"/>
    </row>
    <row r="815" customFormat="false" ht="11.25" hidden="false" customHeight="false" outlineLevel="0" collapsed="false">
      <c r="B815" s="67"/>
      <c r="C815" s="569"/>
      <c r="D815" s="67"/>
      <c r="E815" s="67"/>
      <c r="F815" s="67"/>
      <c r="G815" s="67"/>
      <c r="H815" s="67"/>
      <c r="I815" s="75" t="s">
        <v>1048</v>
      </c>
      <c r="J815" s="67"/>
      <c r="K815" s="67"/>
      <c r="L815" s="67"/>
      <c r="M815" s="67"/>
      <c r="N815" s="67"/>
      <c r="O815" s="67" t="e">
        <f aca="false">+O$808</f>
        <v>#N/A</v>
      </c>
      <c r="P815" s="67" t="e">
        <f aca="false">+O808*(1+P809)</f>
        <v>#N/A</v>
      </c>
      <c r="Q815" s="80"/>
      <c r="R815" s="80"/>
      <c r="S815" s="80"/>
      <c r="T815" s="67"/>
    </row>
    <row r="816" customFormat="false" ht="11.25" hidden="false" customHeight="false" outlineLevel="0" collapsed="false">
      <c r="B816" s="67"/>
      <c r="C816" s="569"/>
      <c r="D816" s="67"/>
      <c r="E816" s="67"/>
      <c r="F816" s="67"/>
      <c r="G816" s="67"/>
      <c r="H816" s="67"/>
      <c r="I816" s="75" t="s">
        <v>1049</v>
      </c>
      <c r="J816" s="67"/>
      <c r="K816" s="67"/>
      <c r="L816" s="67"/>
      <c r="M816" s="67"/>
      <c r="N816" s="67"/>
      <c r="O816" s="67"/>
      <c r="P816" s="67" t="e">
        <f aca="false">+P$808</f>
        <v>#N/A</v>
      </c>
      <c r="Q816" s="80"/>
      <c r="R816" s="80"/>
      <c r="S816" s="80"/>
      <c r="T816" s="67"/>
    </row>
    <row r="817" customFormat="false" ht="11.25" hidden="false" customHeight="false" outlineLevel="0" collapsed="false">
      <c r="B817" s="67"/>
      <c r="C817" s="569"/>
      <c r="D817" s="67"/>
      <c r="E817" s="43" t="s">
        <v>1050</v>
      </c>
      <c r="F817" s="67"/>
      <c r="G817" s="67"/>
      <c r="H817" s="67"/>
      <c r="I817" s="67"/>
      <c r="J817" s="68" t="e">
        <f aca="false">SUM(J810:J816)</f>
        <v>#N/A</v>
      </c>
      <c r="K817" s="68" t="e">
        <f aca="false">SUM(K810:K816)</f>
        <v>#N/A</v>
      </c>
      <c r="L817" s="68" t="e">
        <f aca="false">SUM(L810:L816)</f>
        <v>#N/A</v>
      </c>
      <c r="M817" s="68" t="e">
        <f aca="false">SUM(M810:M816)</f>
        <v>#N/A</v>
      </c>
      <c r="N817" s="68" t="e">
        <f aca="false">SUM(N810:N816)</f>
        <v>#N/A</v>
      </c>
      <c r="O817" s="68" t="e">
        <f aca="false">SUM(O810:O816)</f>
        <v>#N/A</v>
      </c>
      <c r="P817" s="68" t="e">
        <f aca="false">SUM(P810:P816)</f>
        <v>#N/A</v>
      </c>
      <c r="Q817" s="80"/>
      <c r="R817" s="80"/>
      <c r="S817" s="80"/>
      <c r="T817" s="67"/>
    </row>
    <row r="818" customFormat="false" ht="11.25" hidden="false" customHeight="false" outlineLevel="0" collapsed="false">
      <c r="B818" s="67"/>
      <c r="C818" s="569"/>
      <c r="D818" s="67"/>
      <c r="E818" s="67" t="s">
        <v>1051</v>
      </c>
      <c r="F818" s="67"/>
      <c r="G818" s="67"/>
      <c r="H818" s="67"/>
      <c r="I818" s="67"/>
      <c r="J818" s="577" t="n">
        <f aca="false">+C792</f>
        <v>1</v>
      </c>
      <c r="K818" s="577" t="n">
        <f aca="false">J818</f>
        <v>1</v>
      </c>
      <c r="L818" s="577" t="n">
        <f aca="false">K818</f>
        <v>1</v>
      </c>
      <c r="M818" s="577" t="n">
        <f aca="false">L818</f>
        <v>1</v>
      </c>
      <c r="N818" s="577" t="n">
        <f aca="false">M818</f>
        <v>1</v>
      </c>
      <c r="O818" s="577" t="n">
        <f aca="false">N818</f>
        <v>1</v>
      </c>
      <c r="P818" s="577" t="n">
        <f aca="false">O818</f>
        <v>1</v>
      </c>
      <c r="Q818" s="80"/>
      <c r="R818" s="80"/>
      <c r="S818" s="80"/>
      <c r="T818" s="67"/>
    </row>
    <row r="819" customFormat="false" ht="11.25" hidden="false" customHeight="false" outlineLevel="0" collapsed="false">
      <c r="B819" s="67"/>
      <c r="C819" s="569"/>
      <c r="D819" s="67"/>
      <c r="E819" s="43" t="s">
        <v>1052</v>
      </c>
      <c r="F819" s="67"/>
      <c r="G819" s="67"/>
      <c r="H819" s="67"/>
      <c r="I819" s="67"/>
      <c r="J819" s="143" t="e">
        <f aca="false">+J817*J818</f>
        <v>#N/A</v>
      </c>
      <c r="K819" s="143" t="e">
        <f aca="false">+K817*K818</f>
        <v>#N/A</v>
      </c>
      <c r="L819" s="143" t="e">
        <f aca="false">+L817*L818</f>
        <v>#N/A</v>
      </c>
      <c r="M819" s="143" t="e">
        <f aca="false">+M817*M818</f>
        <v>#N/A</v>
      </c>
      <c r="N819" s="143" t="e">
        <f aca="false">+N817*N818</f>
        <v>#N/A</v>
      </c>
      <c r="O819" s="143" t="e">
        <f aca="false">+O817*O818</f>
        <v>#N/A</v>
      </c>
      <c r="P819" s="143" t="e">
        <f aca="false">+P817*P818</f>
        <v>#N/A</v>
      </c>
      <c r="Q819" s="80"/>
      <c r="R819" s="80"/>
      <c r="S819" s="80"/>
      <c r="T819" s="67"/>
    </row>
    <row r="820" customFormat="false" ht="11.25" hidden="false" customHeight="false" outlineLevel="0" collapsed="false">
      <c r="B820" s="67"/>
      <c r="C820" s="569"/>
      <c r="D820" s="67"/>
      <c r="E820" s="67"/>
      <c r="F820" s="67"/>
      <c r="G820" s="65"/>
      <c r="H820" s="67"/>
      <c r="I820" s="80"/>
      <c r="J820" s="80"/>
      <c r="K820" s="80"/>
      <c r="L820" s="80"/>
      <c r="M820" s="80"/>
      <c r="N820" s="80"/>
      <c r="O820" s="80"/>
      <c r="P820" s="80"/>
      <c r="Q820" s="80"/>
      <c r="R820" s="80"/>
      <c r="S820" s="80"/>
      <c r="T820" s="67"/>
    </row>
    <row r="821" customFormat="false" ht="11.25" hidden="false" customHeight="false" outlineLevel="0" collapsed="false">
      <c r="B821" s="67"/>
      <c r="C821" s="569"/>
      <c r="D821" s="67"/>
      <c r="E821" s="67"/>
      <c r="F821" s="67"/>
      <c r="G821" s="65"/>
      <c r="H821" s="67"/>
      <c r="I821" s="80"/>
      <c r="J821" s="80"/>
      <c r="K821" s="80"/>
      <c r="L821" s="80"/>
      <c r="M821" s="80"/>
      <c r="N821" s="80"/>
      <c r="O821" s="80"/>
      <c r="P821" s="80"/>
      <c r="Q821" s="80"/>
      <c r="R821" s="80"/>
      <c r="S821" s="80"/>
      <c r="T821" s="67"/>
    </row>
    <row r="822" customFormat="false" ht="11.25" hidden="false" customHeight="false" outlineLevel="0" collapsed="false">
      <c r="A822" s="571" t="s">
        <v>1053</v>
      </c>
      <c r="B822" s="571"/>
      <c r="C822" s="571"/>
      <c r="D822" s="572"/>
      <c r="E822" s="574"/>
      <c r="F822" s="574"/>
      <c r="G822" s="574"/>
      <c r="H822" s="574"/>
      <c r="I822" s="80"/>
      <c r="J822" s="80"/>
      <c r="K822" s="80"/>
      <c r="L822" s="80"/>
      <c r="M822" s="80"/>
      <c r="N822" s="80"/>
      <c r="O822" s="80"/>
      <c r="P822" s="80"/>
      <c r="Q822" s="80"/>
      <c r="R822" s="80"/>
      <c r="S822" s="80"/>
      <c r="T822" s="67"/>
    </row>
    <row r="823" customFormat="false" ht="12" hidden="false" customHeight="false" outlineLevel="0" collapsed="false">
      <c r="B823" s="67"/>
      <c r="C823" s="569"/>
      <c r="D823" s="67"/>
      <c r="E823" s="67"/>
      <c r="F823" s="67"/>
      <c r="G823" s="65"/>
      <c r="H823" s="67"/>
      <c r="I823" s="80"/>
      <c r="J823" s="80"/>
      <c r="K823" s="80"/>
      <c r="L823" s="80"/>
      <c r="M823" s="80"/>
      <c r="N823" s="80"/>
      <c r="O823" s="80"/>
      <c r="P823" s="80"/>
      <c r="Q823" s="80"/>
      <c r="R823" s="80"/>
      <c r="S823" s="80"/>
      <c r="T823" s="67"/>
    </row>
    <row r="824" customFormat="false" ht="12.75" hidden="false" customHeight="false" outlineLevel="0" collapsed="false">
      <c r="B824" s="67"/>
      <c r="C824" s="569"/>
      <c r="D824" s="67"/>
      <c r="E824" s="67"/>
      <c r="F824" s="554" t="s">
        <v>1005</v>
      </c>
      <c r="H824" s="67"/>
      <c r="I824" s="67"/>
      <c r="J824" s="556" t="s">
        <v>1025</v>
      </c>
      <c r="K824" s="556" t="s">
        <v>1026</v>
      </c>
      <c r="L824" s="556" t="s">
        <v>1006</v>
      </c>
      <c r="M824" s="556" t="s">
        <v>1007</v>
      </c>
      <c r="N824" s="556" t="s">
        <v>1008</v>
      </c>
      <c r="O824" s="556" t="s">
        <v>1027</v>
      </c>
      <c r="P824" s="556" t="s">
        <v>1028</v>
      </c>
      <c r="Q824" s="80"/>
      <c r="R824" s="80"/>
      <c r="S824" s="80"/>
      <c r="T824" s="67"/>
    </row>
    <row r="825" customFormat="false" ht="12" hidden="false" customHeight="false" outlineLevel="0" collapsed="false">
      <c r="B825" s="67"/>
      <c r="C825" s="569"/>
      <c r="D825" s="67"/>
      <c r="E825" s="67"/>
      <c r="F825" s="43" t="s">
        <v>1011</v>
      </c>
      <c r="H825" s="67"/>
      <c r="I825" s="67"/>
      <c r="J825" s="417" t="e">
        <f aca="false">J29</f>
        <v>#VALUE!</v>
      </c>
      <c r="K825" s="417" t="e">
        <f aca="false">K29</f>
        <v>#VALUE!</v>
      </c>
      <c r="L825" s="417" t="e">
        <f aca="false">L29</f>
        <v>#VALUE!</v>
      </c>
      <c r="M825" s="417" t="e">
        <f aca="false">M29</f>
        <v>#VALUE!</v>
      </c>
      <c r="N825" s="417" t="e">
        <f aca="false">N29</f>
        <v>#VALUE!</v>
      </c>
      <c r="O825" s="417" t="e">
        <f aca="false">O29</f>
        <v>#VALUE!</v>
      </c>
      <c r="P825" s="417" t="e">
        <f aca="false">P29</f>
        <v>#VALUE!</v>
      </c>
      <c r="Q825" s="80"/>
      <c r="R825" s="80"/>
      <c r="S825" s="80"/>
      <c r="T825" s="67"/>
    </row>
    <row r="826" customFormat="false" ht="11.25" hidden="false" customHeight="false" outlineLevel="0" collapsed="false">
      <c r="B826" s="67"/>
      <c r="C826" s="569"/>
      <c r="D826" s="67"/>
      <c r="E826" s="67"/>
      <c r="F826" s="43" t="s">
        <v>1054</v>
      </c>
      <c r="H826" s="67"/>
      <c r="I826" s="67"/>
      <c r="J826" s="562" t="n">
        <v>6.46918401114646</v>
      </c>
      <c r="K826" s="562" t="n">
        <v>6.33095913847552</v>
      </c>
      <c r="L826" s="562" t="n">
        <v>6.17686449578701</v>
      </c>
      <c r="M826" s="562" t="n">
        <v>6.01794875017034</v>
      </c>
      <c r="N826" s="562" t="n">
        <v>5.92588786716583</v>
      </c>
      <c r="O826" s="562" t="n">
        <v>5.87802950555581</v>
      </c>
      <c r="P826" s="562" t="n">
        <v>5.86768737526036</v>
      </c>
      <c r="Q826" s="80"/>
      <c r="R826" s="80"/>
      <c r="S826" s="80"/>
      <c r="T826" s="67"/>
    </row>
    <row r="827" customFormat="false" ht="11.25" hidden="false" customHeight="false" outlineLevel="0" collapsed="false">
      <c r="B827" s="67"/>
      <c r="C827" s="569"/>
      <c r="D827" s="67"/>
      <c r="E827" s="67"/>
      <c r="F827" s="43" t="s">
        <v>1013</v>
      </c>
      <c r="H827" s="67"/>
      <c r="I827" s="67"/>
      <c r="J827" s="419" t="e">
        <f aca="false">J825*J826</f>
        <v>#VALUE!</v>
      </c>
      <c r="K827" s="419" t="e">
        <f aca="false">K825*K826</f>
        <v>#VALUE!</v>
      </c>
      <c r="L827" s="419" t="e">
        <f aca="false">L825*L826</f>
        <v>#VALUE!</v>
      </c>
      <c r="M827" s="419" t="e">
        <f aca="false">M825*M826</f>
        <v>#VALUE!</v>
      </c>
      <c r="N827" s="419" t="e">
        <f aca="false">N825*N826</f>
        <v>#VALUE!</v>
      </c>
      <c r="O827" s="419" t="e">
        <f aca="false">O825*O826</f>
        <v>#VALUE!</v>
      </c>
      <c r="P827" s="419" t="e">
        <f aca="false">P825*P826</f>
        <v>#VALUE!</v>
      </c>
      <c r="Q827" s="80"/>
      <c r="R827" s="80"/>
      <c r="S827" s="80"/>
      <c r="T827" s="67"/>
    </row>
    <row r="828" customFormat="false" ht="11.25" hidden="false" customHeight="false" outlineLevel="0" collapsed="false">
      <c r="B828" s="67"/>
      <c r="C828" s="569"/>
      <c r="D828" s="67"/>
      <c r="E828" s="67"/>
      <c r="F828" s="43" t="s">
        <v>1014</v>
      </c>
      <c r="H828" s="67"/>
      <c r="I828" s="67"/>
      <c r="Q828" s="80"/>
      <c r="R828" s="80"/>
      <c r="S828" s="80"/>
      <c r="T828" s="67"/>
    </row>
    <row r="829" customFormat="false" ht="11.25" hidden="false" customHeight="false" outlineLevel="0" collapsed="false">
      <c r="B829" s="67"/>
      <c r="C829" s="569"/>
      <c r="D829" s="67"/>
      <c r="E829" s="67"/>
      <c r="F829" s="43" t="s">
        <v>1015</v>
      </c>
      <c r="H829" s="67"/>
      <c r="I829" s="67"/>
      <c r="J829" s="417" t="e">
        <f aca="false">J195+J196+J199+J200+J202+J208</f>
        <v>#N/A</v>
      </c>
      <c r="K829" s="417" t="e">
        <f aca="false">K195+K196+K199+K200+K202+K208</f>
        <v>#N/A</v>
      </c>
      <c r="L829" s="417" t="e">
        <f aca="false">L195+L196+L199+L200+L202+L208</f>
        <v>#N/A</v>
      </c>
      <c r="M829" s="417" t="e">
        <f aca="false">M195+M196+M199+M200+M202+M208</f>
        <v>#N/A</v>
      </c>
      <c r="N829" s="417" t="e">
        <f aca="false">N195+N196+N199+N200+N202+N208</f>
        <v>#N/A</v>
      </c>
      <c r="O829" s="417" t="e">
        <f aca="false">O195+O196+O199+O200+O202+O208</f>
        <v>#N/A</v>
      </c>
      <c r="P829" s="417" t="e">
        <f aca="false">P195+P196+P199+P200+P202+P208</f>
        <v>#N/A</v>
      </c>
      <c r="Q829" s="80"/>
      <c r="R829" s="80"/>
      <c r="S829" s="80"/>
      <c r="T829" s="67"/>
    </row>
    <row r="830" customFormat="false" ht="11.25" hidden="false" customHeight="false" outlineLevel="0" collapsed="false">
      <c r="B830" s="67"/>
      <c r="C830" s="569"/>
      <c r="D830" s="67"/>
      <c r="E830" s="67"/>
      <c r="F830" s="43" t="s">
        <v>1016</v>
      </c>
      <c r="H830" s="67"/>
      <c r="I830" s="67"/>
      <c r="J830" s="417"/>
      <c r="K830" s="417"/>
      <c r="L830" s="417"/>
      <c r="M830" s="417"/>
      <c r="N830" s="417"/>
      <c r="O830" s="417"/>
      <c r="P830" s="417"/>
      <c r="Q830" s="80"/>
      <c r="R830" s="80"/>
      <c r="S830" s="80"/>
      <c r="T830" s="67"/>
    </row>
    <row r="831" customFormat="false" ht="11.25" hidden="false" customHeight="false" outlineLevel="0" collapsed="false">
      <c r="B831" s="67"/>
      <c r="C831" s="569"/>
      <c r="D831" s="67"/>
      <c r="E831" s="67"/>
      <c r="F831" s="43" t="s">
        <v>1017</v>
      </c>
      <c r="H831" s="67"/>
      <c r="I831" s="67"/>
      <c r="J831" s="417" t="e">
        <f aca="false">J168-J450</f>
        <v>#VALUE!</v>
      </c>
      <c r="K831" s="417" t="e">
        <f aca="false">K168-K450</f>
        <v>#VALUE!</v>
      </c>
      <c r="L831" s="417" t="e">
        <f aca="false">L168-L450</f>
        <v>#VALUE!</v>
      </c>
      <c r="M831" s="417" t="e">
        <f aca="false">M168-M450</f>
        <v>#VALUE!</v>
      </c>
      <c r="N831" s="417" t="e">
        <f aca="false">N168-N450</f>
        <v>#VALUE!</v>
      </c>
      <c r="O831" s="417" t="e">
        <f aca="false">O168-O450</f>
        <v>#VALUE!</v>
      </c>
      <c r="P831" s="417" t="e">
        <f aca="false">P168-P450</f>
        <v>#VALUE!</v>
      </c>
      <c r="Q831" s="80"/>
      <c r="R831" s="80"/>
      <c r="S831" s="80"/>
      <c r="T831" s="67"/>
    </row>
    <row r="832" customFormat="false" ht="11.25" hidden="false" customHeight="false" outlineLevel="0" collapsed="false">
      <c r="B832" s="67"/>
      <c r="C832" s="569"/>
      <c r="D832" s="67"/>
      <c r="E832" s="67"/>
      <c r="F832" s="43" t="s">
        <v>1018</v>
      </c>
      <c r="H832" s="67"/>
      <c r="I832" s="67"/>
      <c r="J832" s="419" t="e">
        <f aca="false">MAX(J827-J829+J831,0)</f>
        <v>#N/A</v>
      </c>
      <c r="K832" s="419" t="e">
        <f aca="false">MAX(K827-K829+K831,0)</f>
        <v>#N/A</v>
      </c>
      <c r="L832" s="419" t="e">
        <f aca="false">MAX(L827-L829+L831,0)</f>
        <v>#N/A</v>
      </c>
      <c r="M832" s="419" t="e">
        <f aca="false">MAX(M827-M829+M831,0)</f>
        <v>#N/A</v>
      </c>
      <c r="N832" s="419" t="e">
        <f aca="false">MAX(N827-N829+N831,0)</f>
        <v>#N/A</v>
      </c>
      <c r="O832" s="419" t="e">
        <f aca="false">MAX(O827-O829+O831,0)</f>
        <v>#N/A</v>
      </c>
      <c r="P832" s="419" t="e">
        <f aca="false">MAX(P827-P829+P831,0)</f>
        <v>#N/A</v>
      </c>
      <c r="Q832" s="80"/>
      <c r="R832" s="80"/>
      <c r="S832" s="80"/>
      <c r="T832" s="67"/>
    </row>
    <row r="833" customFormat="false" ht="11.25" hidden="false" customHeight="false" outlineLevel="0" collapsed="false">
      <c r="B833" s="67"/>
      <c r="C833" s="569"/>
      <c r="D833" s="67"/>
      <c r="E833" s="67"/>
      <c r="F833" s="43" t="s">
        <v>1055</v>
      </c>
      <c r="G833" s="67"/>
      <c r="H833" s="67"/>
      <c r="I833" s="65"/>
      <c r="J833" s="496" t="n">
        <f aca="false">J818</f>
        <v>1</v>
      </c>
      <c r="K833" s="496" t="n">
        <f aca="false">K818</f>
        <v>1</v>
      </c>
      <c r="L833" s="496" t="n">
        <f aca="false">L818</f>
        <v>1</v>
      </c>
      <c r="M833" s="496" t="n">
        <f aca="false">M818</f>
        <v>1</v>
      </c>
      <c r="N833" s="496" t="n">
        <f aca="false">N818</f>
        <v>1</v>
      </c>
      <c r="O833" s="496" t="n">
        <f aca="false">O818</f>
        <v>1</v>
      </c>
      <c r="P833" s="496" t="n">
        <f aca="false">P818</f>
        <v>1</v>
      </c>
      <c r="Q833" s="80"/>
      <c r="R833" s="80"/>
      <c r="S833" s="80"/>
      <c r="T833" s="67"/>
    </row>
    <row r="834" customFormat="false" ht="12" hidden="false" customHeight="false" outlineLevel="0" collapsed="false">
      <c r="B834" s="67"/>
      <c r="C834" s="569"/>
      <c r="D834" s="67"/>
      <c r="E834" s="67"/>
      <c r="F834" s="43" t="s">
        <v>1023</v>
      </c>
      <c r="H834" s="67"/>
      <c r="I834" s="67"/>
      <c r="J834" s="425" t="e">
        <f aca="false">+J832*J833</f>
        <v>#N/A</v>
      </c>
      <c r="K834" s="425" t="e">
        <f aca="false">+K832*K833</f>
        <v>#N/A</v>
      </c>
      <c r="L834" s="425" t="e">
        <f aca="false">+L832*L833</f>
        <v>#N/A</v>
      </c>
      <c r="M834" s="425" t="e">
        <f aca="false">+M832*M833</f>
        <v>#N/A</v>
      </c>
      <c r="N834" s="425" t="e">
        <f aca="false">+N832*N833</f>
        <v>#N/A</v>
      </c>
      <c r="O834" s="425" t="e">
        <f aca="false">+O832*O833</f>
        <v>#N/A</v>
      </c>
      <c r="P834" s="425" t="e">
        <f aca="false">+P832*P833</f>
        <v>#N/A</v>
      </c>
      <c r="Q834" s="80"/>
      <c r="R834" s="80"/>
      <c r="S834" s="80"/>
      <c r="T834" s="67"/>
    </row>
    <row r="835" customFormat="false" ht="12" hidden="false" customHeight="false" outlineLevel="0" collapsed="false">
      <c r="B835" s="67"/>
      <c r="C835" s="569"/>
      <c r="D835" s="67"/>
      <c r="E835" s="67"/>
      <c r="F835" s="67"/>
      <c r="G835" s="67"/>
      <c r="H835" s="67"/>
      <c r="I835" s="43"/>
      <c r="K835" s="67"/>
      <c r="L835" s="432"/>
      <c r="M835" s="432"/>
      <c r="N835" s="432"/>
      <c r="O835" s="432"/>
      <c r="P835" s="432"/>
      <c r="Q835" s="80"/>
      <c r="R835" s="80"/>
      <c r="S835" s="80"/>
      <c r="T835" s="67"/>
    </row>
    <row r="836" customFormat="false" ht="12" hidden="false" customHeight="false" outlineLevel="0" collapsed="false">
      <c r="B836" s="67"/>
      <c r="C836" s="569"/>
      <c r="D836" s="67"/>
      <c r="E836" s="67"/>
      <c r="F836" s="67"/>
      <c r="G836" s="67"/>
      <c r="H836" s="67"/>
      <c r="I836" s="43"/>
      <c r="K836" s="67"/>
      <c r="L836" s="432"/>
      <c r="M836" s="432"/>
      <c r="N836" s="432"/>
      <c r="O836" s="432"/>
      <c r="P836" s="432"/>
      <c r="Q836" s="80"/>
      <c r="R836" s="80"/>
      <c r="S836" s="80"/>
      <c r="T836" s="67"/>
    </row>
    <row r="837" customFormat="false" ht="12.75" hidden="false" customHeight="false" outlineLevel="0" collapsed="false">
      <c r="B837" s="67"/>
      <c r="C837" s="569"/>
      <c r="D837" s="67"/>
      <c r="E837" s="67"/>
      <c r="F837" s="67" t="s">
        <v>1056</v>
      </c>
      <c r="G837" s="67"/>
      <c r="H837" s="67"/>
      <c r="I837" s="580" t="e">
        <f aca="false">I172</f>
        <v>#VALUE!</v>
      </c>
      <c r="J837" s="580" t="e">
        <f aca="false">J172</f>
        <v>#VALUE!</v>
      </c>
      <c r="K837" s="580" t="e">
        <f aca="false">K172</f>
        <v>#VALUE!</v>
      </c>
      <c r="L837" s="580" t="e">
        <f aca="false">L172</f>
        <v>#VALUE!</v>
      </c>
      <c r="M837" s="580" t="e">
        <f aca="false">M172</f>
        <v>#VALUE!</v>
      </c>
      <c r="N837" s="580" t="e">
        <f aca="false">N172</f>
        <v>#VALUE!</v>
      </c>
      <c r="O837" s="580" t="e">
        <f aca="false">O172</f>
        <v>#VALUE!</v>
      </c>
      <c r="P837" s="580" t="e">
        <f aca="false">P172</f>
        <v>#VALUE!</v>
      </c>
      <c r="Q837" s="80"/>
      <c r="R837" s="80"/>
      <c r="S837" s="80"/>
      <c r="T837" s="67"/>
    </row>
    <row r="838" customFormat="false" ht="12" hidden="false" customHeight="false" outlineLevel="0" collapsed="false">
      <c r="B838" s="67"/>
      <c r="C838" s="569"/>
      <c r="D838" s="67"/>
      <c r="E838" s="67"/>
      <c r="F838" s="67" t="s">
        <v>1057</v>
      </c>
      <c r="G838" s="67"/>
      <c r="H838" s="67"/>
      <c r="I838" s="35" t="n">
        <v>-95000</v>
      </c>
      <c r="J838" s="581" t="e">
        <f aca="false">IF(J819&gt;1,J819,J834)</f>
        <v>#N/A</v>
      </c>
      <c r="K838" s="581" t="e">
        <f aca="false">IF(SUM($J819:K819)&gt;1,K819,K834)</f>
        <v>#N/A</v>
      </c>
      <c r="L838" s="581" t="e">
        <f aca="false">IF(SUM($J819:L819)&gt;1,L819,L834)</f>
        <v>#N/A</v>
      </c>
      <c r="M838" s="581" t="e">
        <f aca="false">IF(SUM($J819:N819)&gt;1,M819,M834)</f>
        <v>#N/A</v>
      </c>
      <c r="N838" s="581" t="e">
        <f aca="false">IF(SUM($J819:N819)&gt;1,N819,N834)</f>
        <v>#N/A</v>
      </c>
      <c r="O838" s="581" t="e">
        <f aca="false">IF(SUM($J819:O819)&gt;1,O819,O834)</f>
        <v>#N/A</v>
      </c>
      <c r="P838" s="581" t="e">
        <f aca="false">IF(SUM($J819:P819)&gt;1,P819,P834)</f>
        <v>#N/A</v>
      </c>
      <c r="Q838" s="80"/>
      <c r="R838" s="80"/>
      <c r="S838" s="80"/>
      <c r="T838" s="67"/>
    </row>
    <row r="839" customFormat="false" ht="11.25" hidden="false" customHeight="false" outlineLevel="0" collapsed="false">
      <c r="B839" s="67"/>
      <c r="C839" s="569"/>
      <c r="D839" s="67"/>
      <c r="E839" s="67"/>
      <c r="F839" s="67"/>
      <c r="G839" s="65"/>
      <c r="H839" s="67"/>
      <c r="I839" s="80"/>
      <c r="J839" s="80"/>
      <c r="K839" s="80"/>
      <c r="L839" s="80"/>
      <c r="M839" s="80"/>
      <c r="N839" s="80"/>
      <c r="O839" s="80"/>
      <c r="P839" s="80"/>
      <c r="Q839" s="80"/>
      <c r="R839" s="80"/>
      <c r="S839" s="80"/>
      <c r="T839" s="67"/>
    </row>
    <row r="840" customFormat="false" ht="11.25" hidden="false" customHeight="false" outlineLevel="0" collapsed="false">
      <c r="B840" s="67"/>
      <c r="C840" s="569"/>
      <c r="D840" s="67"/>
      <c r="E840" s="67"/>
      <c r="F840" s="67"/>
      <c r="G840" s="65"/>
      <c r="H840" s="67"/>
      <c r="I840" s="80"/>
      <c r="J840" s="80"/>
      <c r="K840" s="80"/>
      <c r="L840" s="80"/>
      <c r="M840" s="80"/>
      <c r="N840" s="80"/>
      <c r="O840" s="80"/>
      <c r="P840" s="80"/>
      <c r="Q840" s="80"/>
      <c r="R840" s="80"/>
      <c r="S840" s="80"/>
      <c r="T840" s="67"/>
    </row>
    <row r="841" customFormat="false" ht="11.25" hidden="false" customHeight="false" outlineLevel="0" collapsed="false">
      <c r="B841" s="67"/>
      <c r="C841" s="569"/>
      <c r="D841" s="67"/>
      <c r="E841" s="67"/>
      <c r="F841" s="67"/>
      <c r="G841" s="65"/>
      <c r="H841" s="67"/>
      <c r="I841" s="80"/>
      <c r="J841" s="80"/>
      <c r="K841" s="80"/>
      <c r="L841" s="80"/>
      <c r="M841" s="80"/>
      <c r="N841" s="80"/>
      <c r="O841" s="80"/>
      <c r="P841" s="80"/>
      <c r="Q841" s="80"/>
      <c r="R841" s="80"/>
      <c r="S841" s="80"/>
      <c r="T841" s="67"/>
    </row>
    <row r="842" customFormat="false" ht="11.25" hidden="false" customHeight="false" outlineLevel="0" collapsed="false">
      <c r="A842" s="571" t="s">
        <v>1058</v>
      </c>
      <c r="B842" s="571"/>
      <c r="C842" s="571"/>
      <c r="D842" s="572"/>
      <c r="E842" s="574"/>
      <c r="F842" s="574"/>
      <c r="G842" s="574"/>
      <c r="H842" s="574"/>
      <c r="I842" s="80"/>
      <c r="J842" s="80"/>
      <c r="K842" s="80"/>
      <c r="L842" s="80"/>
      <c r="M842" s="80"/>
      <c r="N842" s="80"/>
      <c r="O842" s="80"/>
      <c r="P842" s="80"/>
      <c r="Q842" s="80"/>
      <c r="R842" s="80"/>
      <c r="S842" s="80"/>
      <c r="T842" s="67"/>
    </row>
    <row r="843" customFormat="false" ht="11.25" hidden="false" customHeight="false" outlineLevel="0" collapsed="false">
      <c r="A843" s="43"/>
      <c r="C843" s="569"/>
      <c r="E843" s="67"/>
      <c r="F843" s="67"/>
      <c r="G843" s="67"/>
      <c r="H843" s="67"/>
      <c r="I843" s="67"/>
      <c r="J843" s="67"/>
      <c r="K843" s="67"/>
      <c r="L843" s="67"/>
      <c r="M843" s="67"/>
      <c r="N843" s="67"/>
      <c r="O843" s="67"/>
      <c r="P843" s="67"/>
      <c r="Q843" s="67"/>
      <c r="R843" s="67"/>
      <c r="S843" s="67"/>
    </row>
    <row r="844" customFormat="false" ht="12" hidden="false" customHeight="false" outlineLevel="0" collapsed="false">
      <c r="A844" s="67"/>
      <c r="C844" s="569"/>
      <c r="E844" s="67"/>
      <c r="F844" s="67"/>
      <c r="G844" s="67"/>
      <c r="H844" s="67"/>
      <c r="I844" s="67"/>
      <c r="J844" s="67"/>
      <c r="K844" s="67"/>
      <c r="L844" s="67"/>
      <c r="M844" s="67"/>
      <c r="N844" s="67"/>
      <c r="O844" s="67"/>
      <c r="P844" s="67"/>
      <c r="Q844" s="67"/>
      <c r="R844" s="67"/>
      <c r="S844" s="67"/>
    </row>
    <row r="845" customFormat="false" ht="12.75" hidden="false" customHeight="false" outlineLevel="0" collapsed="false">
      <c r="A845" s="67"/>
      <c r="E845" s="370"/>
      <c r="G845" s="582" t="str">
        <f aca="false">L786</f>
        <v>Year 3</v>
      </c>
      <c r="H845" s="439"/>
      <c r="I845" s="583" t="s">
        <v>1059</v>
      </c>
      <c r="J845" s="583"/>
      <c r="K845" s="583"/>
      <c r="L845" s="583"/>
      <c r="M845" s="583"/>
      <c r="N845" s="583"/>
      <c r="O845" s="583"/>
      <c r="P845" s="583"/>
      <c r="Q845" s="583"/>
      <c r="R845" s="583"/>
      <c r="S845" s="583"/>
    </row>
    <row r="846" customFormat="false" ht="12.75" hidden="false" customHeight="false" outlineLevel="0" collapsed="false">
      <c r="A846" s="67"/>
      <c r="B846" s="67"/>
      <c r="C846" s="67"/>
      <c r="D846" s="67"/>
      <c r="E846" s="67"/>
      <c r="G846" s="584" t="s">
        <v>1060</v>
      </c>
      <c r="H846" s="580" t="n">
        <f aca="false">H170</f>
        <v>36341</v>
      </c>
      <c r="I846" s="580" t="n">
        <f aca="false">I170</f>
        <v>36525</v>
      </c>
      <c r="J846" s="580" t="n">
        <f aca="false">J170</f>
        <v>36891</v>
      </c>
      <c r="K846" s="580" t="n">
        <f aca="false">K170</f>
        <v>37256</v>
      </c>
      <c r="L846" s="580" t="n">
        <f aca="false">L170</f>
        <v>37621</v>
      </c>
      <c r="M846" s="580" t="n">
        <f aca="false">M170</f>
        <v>37986</v>
      </c>
      <c r="N846" s="580" t="n">
        <f aca="false">N170</f>
        <v>38352</v>
      </c>
      <c r="O846" s="580" t="n">
        <f aca="false">O170</f>
        <v>38717</v>
      </c>
      <c r="P846" s="580" t="n">
        <f aca="false">P170</f>
        <v>39082</v>
      </c>
      <c r="Q846" s="580" t="n">
        <f aca="false">Q170</f>
        <v>39447</v>
      </c>
      <c r="R846" s="580" t="n">
        <f aca="false">R170</f>
        <v>39813</v>
      </c>
      <c r="S846" s="580" t="n">
        <f aca="false">S170</f>
        <v>40178</v>
      </c>
      <c r="T846" s="67"/>
      <c r="U846" s="67"/>
      <c r="V846" s="67"/>
      <c r="W846" s="67"/>
      <c r="X846" s="67"/>
      <c r="Y846" s="67"/>
    </row>
    <row r="847" customFormat="false" ht="12" hidden="false" customHeight="false" outlineLevel="0" collapsed="false">
      <c r="A847" s="67"/>
      <c r="B847" s="67"/>
      <c r="C847" s="67"/>
      <c r="D847" s="67"/>
      <c r="E847" s="67"/>
      <c r="G847" s="585" t="str">
        <f aca="false">A788</f>
        <v>Term Loan</v>
      </c>
      <c r="H847" s="586" t="n">
        <f aca="false">-H338</f>
        <v>-0</v>
      </c>
      <c r="I847" s="450" t="e">
        <f aca="false">I243+I244+I242+I246*I241*$C$328</f>
        <v>#VALUE!</v>
      </c>
      <c r="J847" s="450" t="e">
        <f aca="false">J243+J244+J242+J246*J241</f>
        <v>#N/A</v>
      </c>
      <c r="K847" s="450" t="e">
        <f aca="false">K243+K244+K242+K246*K241</f>
        <v>#N/A</v>
      </c>
      <c r="L847" s="450" t="e">
        <f aca="false">L243+L244+L242+L246*L241+L796*C788</f>
        <v>#N/A</v>
      </c>
      <c r="M847" s="450" t="e">
        <f aca="false">M243+M244+M242+M246*M241</f>
        <v>#N/A</v>
      </c>
      <c r="N847" s="450" t="e">
        <f aca="false">N243+N244+N242+N246*N241</f>
        <v>#N/A</v>
      </c>
      <c r="O847" s="450" t="e">
        <f aca="false">O243+O244+O242+O246*O241</f>
        <v>#N/A</v>
      </c>
      <c r="P847" s="450" t="e">
        <f aca="false">P243+P244+P242+P246*P241</f>
        <v>#N/A</v>
      </c>
      <c r="Q847" s="450" t="e">
        <f aca="false">Q243+Q244+Q242+Q246*Q241</f>
        <v>#N/A</v>
      </c>
      <c r="R847" s="450" t="e">
        <f aca="false">R243+R244+R242+R246*R241</f>
        <v>#N/A</v>
      </c>
      <c r="S847" s="450" t="e">
        <f aca="false">S243+S244+S242+S246*S241+S245</f>
        <v>#N/A</v>
      </c>
    </row>
    <row r="848" customFormat="false" ht="11.25" hidden="false" customHeight="false" outlineLevel="0" collapsed="false">
      <c r="A848" s="67"/>
      <c r="B848" s="67"/>
      <c r="C848" s="67"/>
      <c r="D848" s="67"/>
      <c r="E848" s="67"/>
      <c r="G848" s="585" t="str">
        <f aca="false">A789</f>
        <v>Sr Sub Notes</v>
      </c>
      <c r="H848" s="418" t="n">
        <f aca="false">-H343</f>
        <v>-0</v>
      </c>
      <c r="I848" s="417" t="e">
        <f aca="false">I278+I279+I97+I519</f>
        <v>#VALUE!</v>
      </c>
      <c r="J848" s="417" t="e">
        <f aca="false">J278+J279+J97+J519</f>
        <v>#N/A</v>
      </c>
      <c r="K848" s="417" t="e">
        <f aca="false">K278+K279+K97+K519</f>
        <v>#N/A</v>
      </c>
      <c r="L848" s="417" t="e">
        <f aca="false">L278+L279+L97+L519+L796*C789</f>
        <v>#N/A</v>
      </c>
      <c r="M848" s="417" t="e">
        <f aca="false">M278+M279+M97+M519</f>
        <v>#N/A</v>
      </c>
      <c r="N848" s="417" t="e">
        <f aca="false">N278+N279+N97+N519</f>
        <v>#N/A</v>
      </c>
      <c r="O848" s="417" t="e">
        <f aca="false">O278+O279+O97+O519</f>
        <v>#N/A</v>
      </c>
      <c r="P848" s="417" t="e">
        <f aca="false">P278+P279+P97+P519</f>
        <v>#N/A</v>
      </c>
      <c r="Q848" s="417" t="e">
        <f aca="false">Q278+Q279+Q97+Q519</f>
        <v>#N/A</v>
      </c>
      <c r="R848" s="417" t="e">
        <f aca="false">R278+R279+R97+R519</f>
        <v>#N/A</v>
      </c>
      <c r="S848" s="417" t="e">
        <f aca="false">S278+S279+S97+S519+S280</f>
        <v>#N/A</v>
      </c>
    </row>
    <row r="849" customFormat="false" ht="11.25" hidden="false" customHeight="false" outlineLevel="0" collapsed="false">
      <c r="A849" s="67"/>
      <c r="B849" s="67"/>
      <c r="C849" s="67"/>
      <c r="D849" s="67"/>
      <c r="E849" s="67"/>
      <c r="G849" s="585" t="str">
        <f aca="false">A790</f>
        <v>Jr. Sub Notes</v>
      </c>
      <c r="H849" s="418" t="n">
        <f aca="false">-H344</f>
        <v>-0</v>
      </c>
      <c r="I849" s="417" t="n">
        <f aca="false">I98+I522+I527</f>
        <v>0</v>
      </c>
      <c r="J849" s="417" t="n">
        <f aca="false">J98+J522+J527</f>
        <v>0</v>
      </c>
      <c r="K849" s="417" t="n">
        <f aca="false">K98+K522+K527</f>
        <v>0</v>
      </c>
      <c r="L849" s="417" t="e">
        <f aca="false">L98+L522+L527+L796*C790</f>
        <v>#N/A</v>
      </c>
      <c r="M849" s="417" t="n">
        <f aca="false">M98+M522+M527</f>
        <v>0</v>
      </c>
      <c r="N849" s="417" t="n">
        <f aca="false">N98+N522+N527</f>
        <v>0</v>
      </c>
      <c r="O849" s="417" t="n">
        <f aca="false">O98+O522+O527</f>
        <v>0</v>
      </c>
      <c r="P849" s="417" t="n">
        <f aca="false">P98+P522+P527</f>
        <v>0</v>
      </c>
      <c r="Q849" s="417" t="n">
        <f aca="false">Q98+Q522+Q527</f>
        <v>0</v>
      </c>
      <c r="R849" s="417" t="n">
        <f aca="false">R98+R522+R527</f>
        <v>0</v>
      </c>
      <c r="S849" s="417" t="n">
        <f aca="false">S98+S522+S527+S286</f>
        <v>0</v>
      </c>
    </row>
    <row r="850" customFormat="false" ht="11.25" hidden="false" customHeight="false" outlineLevel="0" collapsed="false">
      <c r="A850" s="67"/>
      <c r="B850" s="67"/>
      <c r="C850" s="67"/>
      <c r="D850" s="67"/>
      <c r="E850" s="67"/>
      <c r="G850" s="585" t="str">
        <f aca="false">A791</f>
        <v>Preferred Stock</v>
      </c>
      <c r="H850" s="418" t="n">
        <f aca="false">-H345</f>
        <v>-0</v>
      </c>
      <c r="I850" s="35" t="n">
        <f aca="false">I109-I533+I529</f>
        <v>0</v>
      </c>
      <c r="J850" s="35" t="n">
        <f aca="false">J109-J533+J529</f>
        <v>0</v>
      </c>
      <c r="K850" s="35" t="n">
        <f aca="false">K109-K533+K529</f>
        <v>0</v>
      </c>
      <c r="L850" s="35" t="e">
        <f aca="false">L109-L533+L529+L796*C791+L292</f>
        <v>#N/A</v>
      </c>
    </row>
    <row r="851" customFormat="false" ht="11.25" hidden="false" customHeight="false" outlineLevel="0" collapsed="false">
      <c r="A851" s="67"/>
      <c r="B851" s="67"/>
      <c r="C851" s="67"/>
      <c r="D851" s="67"/>
      <c r="E851" s="162" t="e">
        <f aca="false">XIRR(H851:L851,H846:L846)</f>
        <v>#VALUE!</v>
      </c>
      <c r="G851" s="585" t="str">
        <f aca="false">A792</f>
        <v>Common Stock</v>
      </c>
      <c r="H851" s="587" t="n">
        <f aca="false">-H346</f>
        <v>-0</v>
      </c>
      <c r="I851" s="588" t="e">
        <f aca="false">IF($I$808&gt;0,I808,(I112+I536)*C792)</f>
        <v>#VALUE!</v>
      </c>
      <c r="J851" s="588" t="e">
        <f aca="false">IF(I808&gt;0,0,IF(J808&gt;0,J808,(J112+J536)*C792))</f>
        <v>#VALUE!</v>
      </c>
      <c r="K851" s="588" t="e">
        <f aca="false">IF(SUM(I808:J808)&gt;0,0,IF(K808&gt;0,K808,(K112+K536)*C792))</f>
        <v>#VALUE!</v>
      </c>
      <c r="L851" s="588" t="e">
        <f aca="false">IF(SUM(I808:K808)&gt;0,0,(IF(L808&gt;0,L808,(L112+L536+L796*C792))))</f>
        <v>#VALUE!</v>
      </c>
      <c r="M851" s="417"/>
      <c r="N851" s="417"/>
      <c r="O851" s="417"/>
      <c r="P851" s="417"/>
      <c r="Q851" s="417"/>
      <c r="R851" s="417"/>
      <c r="S851" s="417"/>
    </row>
    <row r="852" customFormat="false" ht="12" hidden="false" customHeight="false" outlineLevel="0" collapsed="false">
      <c r="A852" s="67"/>
      <c r="B852" s="67"/>
      <c r="C852" s="67"/>
      <c r="D852" s="67"/>
      <c r="E852" s="67"/>
      <c r="G852" s="585"/>
      <c r="H852" s="432"/>
      <c r="I852" s="417"/>
      <c r="J852" s="417"/>
      <c r="K852" s="417"/>
      <c r="L852" s="417"/>
      <c r="M852" s="417"/>
      <c r="N852" s="417"/>
      <c r="O852" s="417"/>
      <c r="P852" s="417"/>
      <c r="Q852" s="417"/>
      <c r="R852" s="417"/>
      <c r="S852" s="417"/>
    </row>
    <row r="853" customFormat="false" ht="12.75" hidden="false" customHeight="false" outlineLevel="0" collapsed="false">
      <c r="A853" s="67"/>
      <c r="B853" s="67"/>
      <c r="C853" s="67"/>
      <c r="D853" s="67"/>
      <c r="E853" s="67"/>
      <c r="G853" s="582" t="str">
        <f aca="false">F787</f>
        <v>Year 4</v>
      </c>
      <c r="H853" s="439"/>
      <c r="I853" s="583" t="s">
        <v>1059</v>
      </c>
      <c r="J853" s="583"/>
      <c r="K853" s="583"/>
      <c r="L853" s="583"/>
      <c r="M853" s="583" t="n">
        <v>0</v>
      </c>
      <c r="N853" s="583"/>
      <c r="O853" s="583"/>
      <c r="P853" s="583"/>
      <c r="Q853" s="583"/>
      <c r="R853" s="583"/>
      <c r="S853" s="583"/>
    </row>
    <row r="854" customFormat="false" ht="12.75" hidden="false" customHeight="false" outlineLevel="0" collapsed="false">
      <c r="A854" s="67"/>
      <c r="B854" s="67"/>
      <c r="C854" s="67"/>
      <c r="D854" s="67"/>
      <c r="E854" s="67"/>
      <c r="G854" s="584" t="s">
        <v>1060</v>
      </c>
      <c r="H854" s="580" t="n">
        <f aca="false">H170</f>
        <v>36341</v>
      </c>
      <c r="I854" s="580" t="n">
        <f aca="false">I170</f>
        <v>36525</v>
      </c>
      <c r="J854" s="580" t="n">
        <f aca="false">J170</f>
        <v>36891</v>
      </c>
      <c r="K854" s="580" t="n">
        <f aca="false">K170</f>
        <v>37256</v>
      </c>
      <c r="L854" s="580" t="n">
        <f aca="false">L170</f>
        <v>37621</v>
      </c>
      <c r="M854" s="580" t="n">
        <f aca="false">M170</f>
        <v>37986</v>
      </c>
      <c r="N854" s="580" t="n">
        <f aca="false">N170</f>
        <v>38352</v>
      </c>
      <c r="O854" s="580" t="n">
        <f aca="false">O170</f>
        <v>38717</v>
      </c>
      <c r="P854" s="580" t="n">
        <f aca="false">P170</f>
        <v>39082</v>
      </c>
      <c r="Q854" s="580" t="n">
        <f aca="false">Q170</f>
        <v>39447</v>
      </c>
      <c r="R854" s="580" t="n">
        <f aca="false">R170</f>
        <v>39813</v>
      </c>
      <c r="S854" s="580" t="n">
        <f aca="false">S170</f>
        <v>40178</v>
      </c>
    </row>
    <row r="855" customFormat="false" ht="12" hidden="false" customHeight="false" outlineLevel="0" collapsed="false">
      <c r="A855" s="67"/>
      <c r="B855" s="67"/>
      <c r="C855" s="67"/>
      <c r="D855" s="67"/>
      <c r="E855" s="67"/>
      <c r="G855" s="585" t="str">
        <f aca="false">A788</f>
        <v>Term Loan</v>
      </c>
      <c r="H855" s="586" t="n">
        <f aca="false">-H338</f>
        <v>-0</v>
      </c>
      <c r="I855" s="450" t="e">
        <f aca="false">I243+I244+I242+I246*I241*$C$328</f>
        <v>#VALUE!</v>
      </c>
      <c r="J855" s="450" t="e">
        <f aca="false">J243+J244+J242+J246*J241</f>
        <v>#N/A</v>
      </c>
      <c r="K855" s="450" t="e">
        <f aca="false">K243+K244+K242+K246*K241</f>
        <v>#N/A</v>
      </c>
      <c r="L855" s="450" t="e">
        <f aca="false">L243+L244+L242+L246*L241</f>
        <v>#N/A</v>
      </c>
      <c r="M855" s="450" t="e">
        <f aca="false">M243+M244+M242+M246*M241+$M$796*$C$788</f>
        <v>#N/A</v>
      </c>
      <c r="N855" s="450" t="e">
        <f aca="false">N243+N244+N242+N246*N241</f>
        <v>#N/A</v>
      </c>
      <c r="O855" s="450" t="e">
        <f aca="false">O243+O244+O242+O246*O241</f>
        <v>#N/A</v>
      </c>
      <c r="P855" s="450" t="e">
        <f aca="false">P243+P244+P242+P246*P241</f>
        <v>#N/A</v>
      </c>
      <c r="Q855" s="450" t="e">
        <f aca="false">Q243+Q244+Q242+Q246*Q241</f>
        <v>#N/A</v>
      </c>
      <c r="R855" s="450" t="e">
        <f aca="false">R243+R244+R242+R246*R241</f>
        <v>#N/A</v>
      </c>
      <c r="S855" s="450" t="e">
        <f aca="false">S243+S244+S242+S246*S241+S245</f>
        <v>#N/A</v>
      </c>
    </row>
    <row r="856" customFormat="false" ht="11.25" hidden="false" customHeight="false" outlineLevel="0" collapsed="false">
      <c r="A856" s="67"/>
      <c r="B856" s="67"/>
      <c r="C856" s="67"/>
      <c r="D856" s="67"/>
      <c r="E856" s="67"/>
      <c r="G856" s="585" t="str">
        <f aca="false">A789</f>
        <v>Sr Sub Notes</v>
      </c>
      <c r="H856" s="418" t="n">
        <f aca="false">-H343</f>
        <v>-0</v>
      </c>
      <c r="I856" s="417" t="e">
        <f aca="false">I278+I279+I97+I519</f>
        <v>#VALUE!</v>
      </c>
      <c r="J856" s="417" t="e">
        <f aca="false">J278+J279+J97+J519</f>
        <v>#N/A</v>
      </c>
      <c r="K856" s="417" t="e">
        <f aca="false">K278+K279+K97+K519</f>
        <v>#N/A</v>
      </c>
      <c r="L856" s="417" t="e">
        <f aca="false">L278+L279+L97+L519</f>
        <v>#N/A</v>
      </c>
      <c r="M856" s="417" t="e">
        <f aca="false">M278+M279+M97+M519+M796*C789</f>
        <v>#N/A</v>
      </c>
      <c r="N856" s="417" t="e">
        <f aca="false">N278+N279+N97+N519</f>
        <v>#N/A</v>
      </c>
      <c r="O856" s="417" t="e">
        <f aca="false">O278+O279+O97+O519</f>
        <v>#N/A</v>
      </c>
      <c r="P856" s="417" t="e">
        <f aca="false">P278+P279+P97+P519</f>
        <v>#N/A</v>
      </c>
      <c r="Q856" s="417" t="e">
        <f aca="false">Q278+Q279+Q97+Q519</f>
        <v>#N/A</v>
      </c>
      <c r="R856" s="417" t="e">
        <f aca="false">R278+R279+R97+R519</f>
        <v>#N/A</v>
      </c>
      <c r="S856" s="417" t="e">
        <f aca="false">S278+S279+S97+S519+S280</f>
        <v>#N/A</v>
      </c>
    </row>
    <row r="857" customFormat="false" ht="11.25" hidden="false" customHeight="false" outlineLevel="0" collapsed="false">
      <c r="A857" s="67"/>
      <c r="B857" s="67"/>
      <c r="C857" s="67"/>
      <c r="D857" s="67"/>
      <c r="E857" s="67"/>
      <c r="G857" s="585" t="str">
        <f aca="false">A790</f>
        <v>Jr. Sub Notes</v>
      </c>
      <c r="H857" s="418" t="n">
        <f aca="false">-H344</f>
        <v>-0</v>
      </c>
      <c r="I857" s="417" t="n">
        <f aca="false">I98+I522+I527</f>
        <v>0</v>
      </c>
      <c r="J857" s="417" t="n">
        <f aca="false">J98+J522+J527</f>
        <v>0</v>
      </c>
      <c r="K857" s="417" t="n">
        <f aca="false">K98+K522+K527</f>
        <v>0</v>
      </c>
      <c r="L857" s="417" t="n">
        <f aca="false">L98+L522+L527</f>
        <v>0</v>
      </c>
      <c r="M857" s="417" t="e">
        <f aca="false">M98+M522+M527+M796*C790</f>
        <v>#N/A</v>
      </c>
      <c r="N857" s="417" t="n">
        <f aca="false">N98+N522+N527</f>
        <v>0</v>
      </c>
      <c r="O857" s="417" t="n">
        <f aca="false">O98+O522+O527</f>
        <v>0</v>
      </c>
      <c r="P857" s="417" t="n">
        <f aca="false">P98+P522+P527</f>
        <v>0</v>
      </c>
      <c r="Q857" s="417" t="n">
        <f aca="false">Q98+Q522+Q527</f>
        <v>0</v>
      </c>
      <c r="R857" s="417" t="n">
        <f aca="false">R98+R522+R527</f>
        <v>0</v>
      </c>
      <c r="S857" s="417" t="n">
        <f aca="false">S98+S522+S527+S286</f>
        <v>0</v>
      </c>
    </row>
    <row r="858" customFormat="false" ht="11.25" hidden="false" customHeight="false" outlineLevel="0" collapsed="false">
      <c r="A858" s="67"/>
      <c r="B858" s="67"/>
      <c r="C858" s="67"/>
      <c r="D858" s="67"/>
      <c r="E858" s="67"/>
      <c r="G858" s="585" t="str">
        <f aca="false">A791</f>
        <v>Preferred Stock</v>
      </c>
      <c r="H858" s="418" t="n">
        <f aca="false">-H345</f>
        <v>-0</v>
      </c>
      <c r="I858" s="35" t="n">
        <f aca="false">I109-I533+I529</f>
        <v>0</v>
      </c>
      <c r="J858" s="35" t="n">
        <f aca="false">J109-J533+J529</f>
        <v>0</v>
      </c>
      <c r="K858" s="35" t="n">
        <f aca="false">K109-K533+K529</f>
        <v>0</v>
      </c>
      <c r="L858" s="35" t="n">
        <f aca="false">L109-L533+L529</f>
        <v>0</v>
      </c>
      <c r="M858" s="35" t="e">
        <f aca="false">M109-M533+M529+M796*C791+M292</f>
        <v>#N/A</v>
      </c>
    </row>
    <row r="859" customFormat="false" ht="11.25" hidden="false" customHeight="false" outlineLevel="0" collapsed="false">
      <c r="A859" s="67"/>
      <c r="B859" s="67"/>
      <c r="C859" s="67"/>
      <c r="D859" s="67"/>
      <c r="E859" s="67"/>
      <c r="G859" s="585" t="str">
        <f aca="false">A792</f>
        <v>Common Stock</v>
      </c>
      <c r="H859" s="587" t="n">
        <f aca="false">-H346</f>
        <v>-0</v>
      </c>
      <c r="I859" s="588" t="e">
        <f aca="false">IF(I808&gt;0,I808,(I112+I536)*C792)</f>
        <v>#VALUE!</v>
      </c>
      <c r="J859" s="588" t="e">
        <f aca="false">IF(I808&gt;0,0,IF(J808&gt;0,+J808,(J112+J536)*C792))</f>
        <v>#VALUE!</v>
      </c>
      <c r="K859" s="588" t="e">
        <f aca="false">IF(SUM(I808:J808)&gt;0,0,IF(K808&gt;0,+K808,(K112+K536)*C792))</f>
        <v>#VALUE!</v>
      </c>
      <c r="L859" s="588" t="e">
        <f aca="false">IF(SUM(I808:K808)&gt;0,0,IF(L808&gt;0,+L808,(L112+L536)*C792))</f>
        <v>#VALUE!</v>
      </c>
      <c r="M859" s="588" t="e">
        <f aca="false">IF(SUM(I808:L808)&gt;0,0,(IF(M808&gt;0,+M808,(M112+M536+M796*C792))))</f>
        <v>#VALUE!</v>
      </c>
      <c r="N859" s="417"/>
      <c r="O859" s="417"/>
      <c r="P859" s="417"/>
      <c r="Q859" s="417"/>
      <c r="R859" s="417"/>
      <c r="S859" s="417"/>
    </row>
    <row r="860" customFormat="false" ht="12" hidden="false" customHeight="false" outlineLevel="0" collapsed="false">
      <c r="A860" s="67"/>
      <c r="B860" s="67"/>
      <c r="C860" s="67"/>
      <c r="D860" s="67"/>
      <c r="E860" s="67"/>
      <c r="G860" s="67"/>
      <c r="H860" s="67"/>
      <c r="I860" s="67"/>
      <c r="J860" s="67"/>
      <c r="K860" s="67"/>
      <c r="L860" s="67"/>
      <c r="M860" s="67"/>
      <c r="N860" s="67"/>
      <c r="O860" s="67"/>
      <c r="P860" s="67"/>
      <c r="Q860" s="67"/>
      <c r="R860" s="67"/>
      <c r="S860" s="67"/>
    </row>
    <row r="861" customFormat="false" ht="12.75" hidden="false" customHeight="false" outlineLevel="0" collapsed="false">
      <c r="A861" s="67"/>
      <c r="B861" s="67"/>
      <c r="C861" s="67"/>
      <c r="D861" s="67"/>
      <c r="E861" s="67"/>
      <c r="G861" s="582" t="str">
        <f aca="false">N786</f>
        <v>Year 5</v>
      </c>
      <c r="H861" s="439"/>
      <c r="I861" s="583" t="s">
        <v>1059</v>
      </c>
      <c r="J861" s="583"/>
      <c r="K861" s="583"/>
      <c r="L861" s="583"/>
      <c r="M861" s="583"/>
      <c r="N861" s="583"/>
      <c r="O861" s="583"/>
      <c r="P861" s="583"/>
      <c r="Q861" s="583"/>
      <c r="R861" s="583"/>
      <c r="S861" s="583"/>
      <c r="T861" s="67"/>
      <c r="U861" s="67"/>
      <c r="V861" s="67"/>
    </row>
    <row r="862" customFormat="false" ht="12.75" hidden="false" customHeight="false" outlineLevel="0" collapsed="false">
      <c r="A862" s="67"/>
      <c r="B862" s="67"/>
      <c r="C862" s="67"/>
      <c r="D862" s="67"/>
      <c r="E862" s="67"/>
      <c r="G862" s="584" t="s">
        <v>1060</v>
      </c>
      <c r="H862" s="580" t="n">
        <f aca="false">H170</f>
        <v>36341</v>
      </c>
      <c r="I862" s="580" t="n">
        <f aca="false">I170</f>
        <v>36525</v>
      </c>
      <c r="J862" s="580" t="n">
        <f aca="false">J170</f>
        <v>36891</v>
      </c>
      <c r="K862" s="580" t="n">
        <f aca="false">K170</f>
        <v>37256</v>
      </c>
      <c r="L862" s="580" t="n">
        <f aca="false">L170</f>
        <v>37621</v>
      </c>
      <c r="M862" s="580" t="n">
        <f aca="false">M170</f>
        <v>37986</v>
      </c>
      <c r="N862" s="580" t="n">
        <f aca="false">N170</f>
        <v>38352</v>
      </c>
      <c r="O862" s="580" t="n">
        <f aca="false">O170</f>
        <v>38717</v>
      </c>
      <c r="P862" s="580" t="n">
        <f aca="false">P170</f>
        <v>39082</v>
      </c>
      <c r="Q862" s="580" t="n">
        <f aca="false">Q170</f>
        <v>39447</v>
      </c>
      <c r="R862" s="580" t="n">
        <f aca="false">R170</f>
        <v>39813</v>
      </c>
      <c r="S862" s="580" t="n">
        <f aca="false">S170</f>
        <v>40178</v>
      </c>
      <c r="T862" s="67"/>
      <c r="U862" s="67"/>
      <c r="V862" s="67"/>
      <c r="W862" s="67"/>
      <c r="X862" s="67"/>
      <c r="Y862" s="67"/>
    </row>
    <row r="863" customFormat="false" ht="12" hidden="false" customHeight="false" outlineLevel="0" collapsed="false">
      <c r="A863" s="43"/>
      <c r="C863" s="67"/>
      <c r="G863" s="65" t="str">
        <f aca="false">A788</f>
        <v>Term Loan</v>
      </c>
      <c r="H863" s="586" t="n">
        <f aca="false">-H338</f>
        <v>-0</v>
      </c>
      <c r="I863" s="450" t="e">
        <f aca="false">I243+I244+I242+I246*I241*$C$328</f>
        <v>#VALUE!</v>
      </c>
      <c r="J863" s="450" t="e">
        <f aca="false">J243+J244+J242+J246*J241</f>
        <v>#N/A</v>
      </c>
      <c r="K863" s="450" t="e">
        <f aca="false">K243+K244+K242+K246*K241</f>
        <v>#N/A</v>
      </c>
      <c r="L863" s="450" t="e">
        <f aca="false">L243+L244+L242+L246*L241+IF($J$795="NO",0,+L796*$C788)</f>
        <v>#N/A</v>
      </c>
      <c r="M863" s="450" t="e">
        <f aca="false">M243+M244+M242+M246*M241+IF($J$795="NO",0,+M796*$C788)</f>
        <v>#N/A</v>
      </c>
      <c r="N863" s="450" t="e">
        <f aca="false">N243+N244+N242+N246*N241+$N$796*$C$788</f>
        <v>#N/A</v>
      </c>
      <c r="O863" s="450" t="e">
        <f aca="false">O243+O244+O242+O246*O241</f>
        <v>#N/A</v>
      </c>
      <c r="P863" s="450" t="e">
        <f aca="false">P243+P244+P242+P246*P241</f>
        <v>#N/A</v>
      </c>
      <c r="Q863" s="450" t="e">
        <f aca="false">Q243+Q244+Q242+Q246*Q241</f>
        <v>#N/A</v>
      </c>
      <c r="R863" s="450" t="e">
        <f aca="false">R243+R244+R242+R246*R241</f>
        <v>#N/A</v>
      </c>
      <c r="S863" s="450" t="e">
        <f aca="false">S243+S244+S242+S246*S241+S245</f>
        <v>#N/A</v>
      </c>
    </row>
    <row r="864" customFormat="false" ht="11.25" hidden="false" customHeight="false" outlineLevel="0" collapsed="false">
      <c r="A864" s="43"/>
      <c r="E864" s="67"/>
      <c r="G864" s="65" t="str">
        <f aca="false">A789</f>
        <v>Sr Sub Notes</v>
      </c>
      <c r="H864" s="418" t="n">
        <f aca="false">-H343</f>
        <v>-0</v>
      </c>
      <c r="I864" s="417" t="e">
        <f aca="false">I278+I279+I97+I519</f>
        <v>#VALUE!</v>
      </c>
      <c r="J864" s="417" t="e">
        <f aca="false">J278+J279+J97+J519</f>
        <v>#N/A</v>
      </c>
      <c r="K864" s="417" t="e">
        <f aca="false">K278+K279+K97+K519</f>
        <v>#N/A</v>
      </c>
      <c r="L864" s="417" t="e">
        <f aca="false">L278+L279+L97+L519+IF(J795="NO",0,+L796*$C$789)</f>
        <v>#N/A</v>
      </c>
      <c r="M864" s="417" t="e">
        <f aca="false">M278+M279+M97+M519+IF(J795="NO",0,+M796*$C$789)</f>
        <v>#N/A</v>
      </c>
      <c r="N864" s="417" t="e">
        <f aca="false">N278+N279+N97+N519+$N$796*$C$789</f>
        <v>#N/A</v>
      </c>
      <c r="O864" s="417" t="e">
        <f aca="false">O278+O279+O97+O519</f>
        <v>#N/A</v>
      </c>
      <c r="P864" s="417" t="e">
        <f aca="false">P278+P279+P97+P519</f>
        <v>#N/A</v>
      </c>
      <c r="Q864" s="417" t="e">
        <f aca="false">Q278+Q279+Q97+Q519</f>
        <v>#N/A</v>
      </c>
      <c r="R864" s="417" t="e">
        <f aca="false">R278+R279+R97+R519</f>
        <v>#N/A</v>
      </c>
      <c r="S864" s="417" t="e">
        <f aca="false">S278+S279+S97+S519+S280</f>
        <v>#N/A</v>
      </c>
    </row>
    <row r="865" customFormat="false" ht="11.25" hidden="false" customHeight="false" outlineLevel="0" collapsed="false">
      <c r="A865" s="43"/>
      <c r="G865" s="65" t="str">
        <f aca="false">A790</f>
        <v>Jr. Sub Notes</v>
      </c>
      <c r="H865" s="418" t="n">
        <f aca="false">-H344</f>
        <v>-0</v>
      </c>
      <c r="I865" s="417" t="n">
        <f aca="false">I98+I522+I527</f>
        <v>0</v>
      </c>
      <c r="J865" s="417" t="n">
        <f aca="false">J98+J522+J527</f>
        <v>0</v>
      </c>
      <c r="K865" s="417" t="n">
        <f aca="false">K98+K522+K527</f>
        <v>0</v>
      </c>
      <c r="L865" s="417" t="n">
        <f aca="false">L98+L522+L527+IF($J$795="NO",0,L796*$C$790)</f>
        <v>0</v>
      </c>
      <c r="M865" s="417" t="n">
        <f aca="false">M98+M522+M527+IF($J$795="NO",0,M796*$C$790)</f>
        <v>0</v>
      </c>
      <c r="N865" s="417" t="e">
        <f aca="false">N98+N522+N527+$N$796*$C$790</f>
        <v>#N/A</v>
      </c>
      <c r="O865" s="417" t="n">
        <f aca="false">O98+O522+O527</f>
        <v>0</v>
      </c>
      <c r="P865" s="417" t="n">
        <f aca="false">P98+P522+P527</f>
        <v>0</v>
      </c>
      <c r="Q865" s="417" t="n">
        <f aca="false">Q98+Q522+Q527</f>
        <v>0</v>
      </c>
      <c r="R865" s="417" t="n">
        <f aca="false">R98+R522+R527</f>
        <v>0</v>
      </c>
      <c r="S865" s="417" t="n">
        <f aca="false">S98+S522+S527+S286</f>
        <v>0</v>
      </c>
    </row>
    <row r="866" customFormat="false" ht="11.25" hidden="false" customHeight="false" outlineLevel="0" collapsed="false">
      <c r="A866" s="43"/>
      <c r="C866" s="417"/>
      <c r="G866" s="65" t="str">
        <f aca="false">A791</f>
        <v>Preferred Stock</v>
      </c>
      <c r="H866" s="418" t="n">
        <f aca="false">-H345</f>
        <v>-0</v>
      </c>
      <c r="I866" s="35" t="n">
        <f aca="false">I109-I533+I529</f>
        <v>0</v>
      </c>
      <c r="J866" s="35" t="n">
        <f aca="false">J109-J533+J529</f>
        <v>0</v>
      </c>
      <c r="K866" s="35" t="n">
        <f aca="false">K109-K533+K529</f>
        <v>0</v>
      </c>
      <c r="L866" s="35" t="n">
        <f aca="false">L109-L533+L529+IF($J$795="NO",0,(+L796*$C$791)+(L292*L795))</f>
        <v>0</v>
      </c>
      <c r="M866" s="35" t="n">
        <f aca="false">M109-M533+M529+IF($J$795="NO",0,(+M796*$C$791)+(M292*M795))</f>
        <v>0</v>
      </c>
      <c r="N866" s="35" t="e">
        <f aca="false">N109-N533+N529+($N$796*$C$791)+(N292*N795)</f>
        <v>#N/A</v>
      </c>
    </row>
    <row r="867" customFormat="false" ht="11.25" hidden="false" customHeight="false" outlineLevel="0" collapsed="false">
      <c r="A867" s="43"/>
      <c r="G867" s="65" t="str">
        <f aca="false">A792</f>
        <v>Common Stock</v>
      </c>
      <c r="H867" s="587" t="n">
        <f aca="false">-H346</f>
        <v>-0</v>
      </c>
      <c r="I867" s="588" t="e">
        <f aca="false">IF(I808&gt;0,+I808,(I112+I536)*C792)</f>
        <v>#VALUE!</v>
      </c>
      <c r="J867" s="588" t="e">
        <f aca="false">IF(I808&gt;0,0,IF(J808&gt;0,+J808,(J112+J536)*C792))</f>
        <v>#VALUE!</v>
      </c>
      <c r="K867" s="588" t="e">
        <f aca="false">IF(SUM(I808:J808)&gt;0,0,IF(K808&gt;0,+K808,(K112+K536)*C792))</f>
        <v>#VALUE!</v>
      </c>
      <c r="L867" s="588" t="e">
        <f aca="false">IF(SUM(I808:K808)&gt;0,0,IF(L808&gt;0,+L808,(L112+L536)*C792+IF($J$795="NO",0,+L796*$C$792)))</f>
        <v>#VALUE!</v>
      </c>
      <c r="M867" s="588" t="e">
        <f aca="false">IF(SUM(I808:L808)&gt;0,0,IF(M808&gt;0,+M808,(M112+M536)*C792+IF($J$795="NO",0,+M796*$C$792)))</f>
        <v>#VALUE!</v>
      </c>
      <c r="N867" s="588" t="e">
        <f aca="false">IF(SUM(I808:M808)&gt;0,0,(IF(N808&gt;0,+N808,N112+(N536+N796*C792))))</f>
        <v>#VALUE!</v>
      </c>
      <c r="O867" s="417"/>
      <c r="P867" s="417"/>
      <c r="Q867" s="417"/>
      <c r="R867" s="417"/>
      <c r="S867" s="417"/>
    </row>
    <row r="868" customFormat="false" ht="11.25" hidden="false" customHeight="false" outlineLevel="0" collapsed="false">
      <c r="A868" s="43"/>
      <c r="H868" s="175"/>
    </row>
    <row r="869" customFormat="false" ht="11.25" hidden="false" customHeight="false" outlineLevel="0" collapsed="false">
      <c r="A869" s="43"/>
      <c r="H869" s="175"/>
    </row>
    <row r="870" customFormat="false" ht="11.25" hidden="false" customHeight="false" outlineLevel="0" collapsed="false">
      <c r="A870" s="43"/>
      <c r="H870" s="175"/>
    </row>
    <row r="871" customFormat="false" ht="11.25" hidden="false" customHeight="false" outlineLevel="0" collapsed="false">
      <c r="A871" s="43"/>
      <c r="H871" s="175"/>
    </row>
    <row r="872" customFormat="false" ht="11.25" hidden="false" customHeight="false" outlineLevel="0" collapsed="false">
      <c r="A872" s="43"/>
      <c r="H872" s="175"/>
    </row>
    <row r="873" customFormat="false" ht="11.25" hidden="false" customHeight="false" outlineLevel="0" collapsed="false">
      <c r="A873" s="43"/>
      <c r="G873" s="67"/>
      <c r="H873" s="175"/>
    </row>
    <row r="874" customFormat="false" ht="11.25" hidden="false" customHeight="false" outlineLevel="0" collapsed="false">
      <c r="A874" s="43"/>
      <c r="H874" s="175"/>
      <c r="S874" s="67"/>
    </row>
    <row r="875" customFormat="false" ht="11.25" hidden="false" customHeight="false" outlineLevel="0" collapsed="false">
      <c r="A875" s="554" t="s">
        <v>1061</v>
      </c>
      <c r="G875" s="67"/>
      <c r="H875" s="67"/>
      <c r="I875" s="67"/>
      <c r="J875" s="67"/>
      <c r="K875" s="67"/>
      <c r="L875" s="67"/>
      <c r="M875" s="67"/>
      <c r="N875" s="67"/>
      <c r="O875" s="67"/>
      <c r="P875" s="67"/>
      <c r="Q875" s="67"/>
      <c r="R875" s="67"/>
      <c r="S875" s="67"/>
    </row>
    <row r="876" customFormat="false" ht="11.25" hidden="false" customHeight="false" outlineLevel="0" collapsed="false">
      <c r="A876" s="43"/>
      <c r="E876" s="4" t="s">
        <v>1062</v>
      </c>
      <c r="G876" s="235" t="str">
        <f aca="false">A792</f>
        <v>Common Stock</v>
      </c>
      <c r="H876" s="153" t="s">
        <v>1063</v>
      </c>
      <c r="M876" s="4" t="s">
        <v>1064</v>
      </c>
      <c r="O876" s="235" t="str">
        <f aca="false">PREFNAME</f>
        <v>Preferred Stock</v>
      </c>
      <c r="P876" s="153" t="s">
        <v>1063</v>
      </c>
      <c r="S876" s="67"/>
    </row>
    <row r="877" customFormat="false" ht="11.25" hidden="false" customHeight="false" outlineLevel="0" collapsed="false">
      <c r="A877" s="307"/>
      <c r="F877" s="138" t="s">
        <v>1012</v>
      </c>
      <c r="G877" s="149"/>
      <c r="H877" s="149"/>
      <c r="I877" s="149"/>
      <c r="J877" s="149"/>
      <c r="N877" s="138" t="s">
        <v>1012</v>
      </c>
      <c r="O877" s="149"/>
      <c r="P877" s="149"/>
      <c r="Q877" s="149"/>
      <c r="R877" s="149"/>
      <c r="S877" s="67"/>
    </row>
    <row r="878" customFormat="false" ht="11.25" hidden="false" customHeight="false" outlineLevel="0" collapsed="false">
      <c r="A878" s="43"/>
      <c r="E878" s="589" t="str">
        <f aca="false">E792</f>
        <v>NA</v>
      </c>
      <c r="F878" s="590" t="n">
        <f aca="false">G878-1</f>
        <v>4</v>
      </c>
      <c r="G878" s="590" t="n">
        <f aca="false">H878-1</f>
        <v>5</v>
      </c>
      <c r="H878" s="590" t="n">
        <v>6</v>
      </c>
      <c r="I878" s="590" t="n">
        <f aca="false">H878+1</f>
        <v>7</v>
      </c>
      <c r="J878" s="590" t="n">
        <f aca="false">I878+1</f>
        <v>8</v>
      </c>
      <c r="M878" s="591" t="str">
        <f aca="false">PREF5</f>
        <v>NA</v>
      </c>
      <c r="N878" s="592" t="n">
        <f aca="false">O878-1</f>
        <v>4</v>
      </c>
      <c r="O878" s="592" t="n">
        <f aca="false">P878-1</f>
        <v>5</v>
      </c>
      <c r="P878" s="592" t="n">
        <v>6</v>
      </c>
      <c r="Q878" s="592" t="n">
        <f aca="false">P878+1</f>
        <v>7</v>
      </c>
      <c r="R878" s="592" t="n">
        <f aca="false">Q878+1</f>
        <v>8</v>
      </c>
      <c r="S878" s="67"/>
    </row>
    <row r="879" customFormat="false" ht="11.25" hidden="false" customHeight="false" outlineLevel="0" collapsed="false">
      <c r="C879" s="67"/>
      <c r="D879" s="174" t="s">
        <v>370</v>
      </c>
      <c r="E879" s="593" t="n">
        <v>0.8</v>
      </c>
      <c r="F879" s="594" t="n">
        <v>-0.346845115534961</v>
      </c>
      <c r="G879" s="594" t="n">
        <v>-0.346845120564103</v>
      </c>
      <c r="H879" s="594" t="n">
        <v>-0.346845120564103</v>
      </c>
      <c r="I879" s="594" t="n">
        <v>-0.346845120564103</v>
      </c>
      <c r="J879" s="594" t="n">
        <v>-0.346845120564103</v>
      </c>
      <c r="L879" s="174" t="s">
        <v>370</v>
      </c>
      <c r="M879" s="595" t="n">
        <v>0.327</v>
      </c>
      <c r="N879" s="594" t="n">
        <v>0.078570631146431</v>
      </c>
      <c r="O879" s="594" t="n">
        <v>0.0671295017004013</v>
      </c>
      <c r="P879" s="594" t="n">
        <v>0.078570631146431</v>
      </c>
      <c r="Q879" s="594" t="n">
        <v>0.089406880736351</v>
      </c>
      <c r="R879" s="594" t="n">
        <v>0.0997050225734711</v>
      </c>
      <c r="S879" s="67"/>
    </row>
    <row r="880" customFormat="false" ht="11.25" hidden="false" customHeight="false" outlineLevel="0" collapsed="false">
      <c r="C880" s="67"/>
      <c r="D880" s="174" t="s">
        <v>1065</v>
      </c>
      <c r="E880" s="593" t="n">
        <f aca="false">MIN(E879+0.05,1)</f>
        <v>0.85</v>
      </c>
      <c r="F880" s="594" t="n">
        <v>-0.332999765500426</v>
      </c>
      <c r="G880" s="594" t="n">
        <v>-0.332999765500426</v>
      </c>
      <c r="H880" s="594" t="n">
        <v>-0.332999765500426</v>
      </c>
      <c r="I880" s="594" t="n">
        <v>-0.332999765500426</v>
      </c>
      <c r="J880" s="594" t="n">
        <v>-0.332999765500426</v>
      </c>
      <c r="L880" s="174" t="s">
        <v>1065</v>
      </c>
      <c r="M880" s="593" t="n">
        <f aca="false">MIN(M879+0.05,1)</f>
        <v>0.377</v>
      </c>
      <c r="N880" s="594" t="n">
        <v>0.0559451788663864</v>
      </c>
      <c r="O880" s="594" t="n">
        <v>0.0698006302118301</v>
      </c>
      <c r="P880" s="594" t="n">
        <v>0.0827706962823868</v>
      </c>
      <c r="Q880" s="594" t="n">
        <v>0.0949720710515976</v>
      </c>
      <c r="R880" s="594" t="n">
        <v>0.106499177217484</v>
      </c>
      <c r="S880" s="67"/>
    </row>
    <row r="881" customFormat="false" ht="11.25" hidden="false" customHeight="false" outlineLevel="0" collapsed="false">
      <c r="C881" s="149"/>
      <c r="D881" s="149"/>
      <c r="E881" s="593" t="n">
        <f aca="false">MIN(E880+0.05,1)</f>
        <v>0.9</v>
      </c>
      <c r="F881" s="594" t="n">
        <v>-0.31976998411119</v>
      </c>
      <c r="G881" s="594" t="n">
        <v>-0.31976998411119</v>
      </c>
      <c r="H881" s="594" t="n">
        <v>-0.31976998411119</v>
      </c>
      <c r="I881" s="594" t="n">
        <v>-0.31976998411119</v>
      </c>
      <c r="J881" s="594" t="n">
        <v>-0.31976998411119</v>
      </c>
      <c r="L881" s="149"/>
      <c r="M881" s="593" t="n">
        <f aca="false">MIN(M880+0.05,1)</f>
        <v>0.427</v>
      </c>
      <c r="N881" s="594" t="n">
        <v>0.0568830460309982</v>
      </c>
      <c r="O881" s="594" t="n">
        <v>0.0724370807409287</v>
      </c>
      <c r="P881" s="594" t="n">
        <v>0.0868868261575699</v>
      </c>
      <c r="Q881" s="594" t="n">
        <v>0.100392693281174</v>
      </c>
      <c r="R881" s="594" t="n">
        <v>0.113081592321396</v>
      </c>
      <c r="S881" s="67"/>
    </row>
    <row r="882" customFormat="false" ht="11.25" hidden="false" customHeight="false" outlineLevel="0" collapsed="false">
      <c r="C882" s="149"/>
      <c r="D882" s="149"/>
      <c r="E882" s="593" t="n">
        <f aca="false">MIN(E881+0.05,1)</f>
        <v>0.95</v>
      </c>
      <c r="F882" s="594" t="n">
        <v>-0.307097196951509</v>
      </c>
      <c r="G882" s="594" t="n">
        <v>-0.307097196951509</v>
      </c>
      <c r="H882" s="594" t="n">
        <v>-0.307097196951509</v>
      </c>
      <c r="I882" s="594" t="n">
        <v>-0.307097196951509</v>
      </c>
      <c r="J882" s="594" t="n">
        <v>-0.307097196951509</v>
      </c>
      <c r="L882" s="149"/>
      <c r="M882" s="593" t="n">
        <f aca="false">MIN(M881+0.05,1)</f>
        <v>0.477</v>
      </c>
      <c r="N882" s="594" t="n">
        <v>0.0578165382146835</v>
      </c>
      <c r="O882" s="594" t="n">
        <v>0.0750398486852646</v>
      </c>
      <c r="P882" s="594" t="n">
        <v>0.0909226626157761</v>
      </c>
      <c r="Q882" s="594" t="n">
        <v>0.105676835775375</v>
      </c>
      <c r="R882" s="594" t="n">
        <v>0.119466358423233</v>
      </c>
      <c r="S882" s="67"/>
    </row>
    <row r="883" customFormat="false" ht="11.25" hidden="false" customHeight="false" outlineLevel="0" collapsed="false">
      <c r="C883" s="149"/>
      <c r="D883" s="149"/>
      <c r="E883" s="593" t="n">
        <f aca="false">MIN(E882+0.05,1)</f>
        <v>1</v>
      </c>
      <c r="F883" s="594" t="n">
        <v>-0.294931048899889</v>
      </c>
      <c r="G883" s="594" t="n">
        <v>-0.294931048899889</v>
      </c>
      <c r="H883" s="594" t="n">
        <v>-0.294931048899889</v>
      </c>
      <c r="I883" s="594" t="n">
        <v>-0.294931048899889</v>
      </c>
      <c r="J883" s="594" t="n">
        <v>-0.294931048899889</v>
      </c>
      <c r="L883" s="149"/>
      <c r="M883" s="593" t="n">
        <f aca="false">MIN(M882+0.05,1)</f>
        <v>0.527</v>
      </c>
      <c r="N883" s="594" t="n">
        <v>0.0587457031011582</v>
      </c>
      <c r="O883" s="594" t="n">
        <v>0.0776098638772965</v>
      </c>
      <c r="P883" s="594" t="n">
        <v>0.0948816031217575</v>
      </c>
      <c r="Q883" s="594" t="n">
        <v>0.110831886529922</v>
      </c>
      <c r="R883" s="594" t="n">
        <v>0.125666218996048</v>
      </c>
      <c r="S883" s="67"/>
    </row>
    <row r="884" customFormat="false" ht="11.25" hidden="false" customHeight="false" outlineLevel="0" collapsed="false">
      <c r="E884" s="500"/>
      <c r="F884" s="370"/>
      <c r="G884" s="370"/>
      <c r="H884" s="370"/>
      <c r="I884" s="370"/>
      <c r="J884" s="370"/>
    </row>
    <row r="885" customFormat="false" ht="11.25" hidden="false" customHeight="false" outlineLevel="0" collapsed="false">
      <c r="E885" s="500"/>
      <c r="F885" s="370"/>
      <c r="G885" s="370"/>
      <c r="H885" s="370"/>
      <c r="I885" s="370"/>
      <c r="J885" s="370"/>
    </row>
    <row r="886" customFormat="false" ht="11.25" hidden="false" customHeight="false" outlineLevel="0" collapsed="false">
      <c r="A886" s="67"/>
      <c r="B886" s="67"/>
      <c r="C886" s="67"/>
      <c r="D886" s="67"/>
      <c r="E886" s="67"/>
      <c r="F886" s="67"/>
      <c r="G886" s="67"/>
      <c r="H886" s="67"/>
      <c r="I886" s="67"/>
      <c r="J886" s="67"/>
      <c r="K886" s="67"/>
      <c r="L886" s="67"/>
      <c r="M886" s="67"/>
      <c r="N886" s="67"/>
      <c r="O886" s="67"/>
      <c r="P886" s="67"/>
      <c r="Q886" s="67"/>
      <c r="R886" s="67"/>
      <c r="S886" s="67"/>
    </row>
    <row r="887" customFormat="false" ht="12" hidden="false" customHeight="false" outlineLevel="0" collapsed="false">
      <c r="A887" s="43"/>
      <c r="E887" s="500"/>
      <c r="F887" s="370"/>
      <c r="G887" s="370"/>
      <c r="H887" s="67"/>
      <c r="I887" s="67"/>
      <c r="J887" s="67"/>
      <c r="K887" s="67"/>
      <c r="L887" s="67"/>
      <c r="M887" s="67"/>
      <c r="N887" s="67"/>
      <c r="O887" s="67"/>
      <c r="P887" s="67"/>
      <c r="Q887" s="67"/>
      <c r="R887" s="67"/>
      <c r="S887" s="67"/>
      <c r="T887" s="67"/>
    </row>
    <row r="888" customFormat="false" ht="12.75" hidden="false" customHeight="false" outlineLevel="0" collapsed="false">
      <c r="A888" s="153" t="s">
        <v>1066</v>
      </c>
      <c r="H888" s="596" t="n">
        <f aca="false">H170</f>
        <v>36341</v>
      </c>
      <c r="I888" s="596" t="n">
        <f aca="false">I170</f>
        <v>36525</v>
      </c>
      <c r="J888" s="596" t="n">
        <f aca="false">J170</f>
        <v>36891</v>
      </c>
      <c r="K888" s="596" t="n">
        <f aca="false">K170</f>
        <v>37256</v>
      </c>
      <c r="L888" s="596" t="n">
        <f aca="false">L170</f>
        <v>37621</v>
      </c>
      <c r="M888" s="596" t="n">
        <f aca="false">M170</f>
        <v>37986</v>
      </c>
      <c r="N888" s="596" t="n">
        <f aca="false">N170</f>
        <v>38352</v>
      </c>
      <c r="O888" s="596" t="n">
        <f aca="false">O170</f>
        <v>38717</v>
      </c>
      <c r="P888" s="596" t="n">
        <f aca="false">P170</f>
        <v>39082</v>
      </c>
      <c r="Q888" s="596" t="n">
        <f aca="false">Q170</f>
        <v>39447</v>
      </c>
      <c r="R888" s="596" t="n">
        <f aca="false">R170</f>
        <v>39813</v>
      </c>
      <c r="S888" s="596" t="n">
        <f aca="false">S170</f>
        <v>40178</v>
      </c>
      <c r="T888" s="596" t="n">
        <f aca="false">T170</f>
        <v>40543</v>
      </c>
      <c r="U888" s="596" t="n">
        <f aca="false">U170</f>
        <v>40908</v>
      </c>
      <c r="V888" s="596" t="n">
        <f aca="false">V170</f>
        <v>41274</v>
      </c>
      <c r="W888" s="596" t="n">
        <f aca="false">W170</f>
        <v>41639</v>
      </c>
      <c r="X888" s="596" t="n">
        <f aca="false">X170</f>
        <v>42004</v>
      </c>
      <c r="Y888" s="596" t="n">
        <f aca="false">Y170</f>
        <v>42369</v>
      </c>
      <c r="Z888" s="596" t="n">
        <f aca="false">Z170</f>
        <v>42735</v>
      </c>
      <c r="AA888" s="596" t="n">
        <f aca="false">AA170</f>
        <v>43100</v>
      </c>
      <c r="AB888" s="596" t="n">
        <f aca="false">AB170</f>
        <v>43465</v>
      </c>
      <c r="AC888" s="596" t="n">
        <f aca="false">AC170</f>
        <v>43830</v>
      </c>
    </row>
    <row r="889" customFormat="false" ht="12" hidden="false" customHeight="false" outlineLevel="0" collapsed="false">
      <c r="A889" s="307" t="s">
        <v>1067</v>
      </c>
      <c r="H889" s="260"/>
      <c r="I889" s="206"/>
      <c r="J889" s="67"/>
      <c r="K889" s="67"/>
      <c r="L889" s="67"/>
      <c r="M889" s="67"/>
      <c r="N889" s="67"/>
      <c r="O889" s="67"/>
      <c r="P889" s="67"/>
      <c r="Q889" s="67"/>
      <c r="R889" s="67"/>
      <c r="S889" s="67"/>
      <c r="T889" s="67"/>
      <c r="U889" s="67"/>
      <c r="V889" s="67"/>
      <c r="W889" s="67"/>
      <c r="X889" s="67"/>
      <c r="Y889" s="67"/>
      <c r="Z889" s="67"/>
      <c r="AA889" s="67"/>
      <c r="AB889" s="67"/>
      <c r="AC889" s="67"/>
    </row>
    <row r="890" customFormat="false" ht="11.25" hidden="false" customHeight="false" outlineLevel="0" collapsed="false">
      <c r="A890" s="597" t="s">
        <v>1068</v>
      </c>
      <c r="I890" s="421" t="n">
        <f aca="false">I83</f>
        <v>-478.405829722169</v>
      </c>
      <c r="J890" s="35" t="n">
        <f aca="false">J83</f>
        <v>-1099.18750394434</v>
      </c>
      <c r="K890" s="35" t="n">
        <f aca="false">K83</f>
        <v>-1029.19522792534</v>
      </c>
      <c r="L890" s="35" t="n">
        <f aca="false">L83</f>
        <v>-976.491745166355</v>
      </c>
      <c r="M890" s="35" t="n">
        <f aca="false">M83</f>
        <v>-918.053337924344</v>
      </c>
      <c r="N890" s="35" t="n">
        <f aca="false">N83</f>
        <v>-845.734802591897</v>
      </c>
      <c r="O890" s="35" t="n">
        <f aca="false">O83</f>
        <v>-749.798111986464</v>
      </c>
      <c r="P890" s="35" t="n">
        <f aca="false">P83</f>
        <v>-651.231702801113</v>
      </c>
      <c r="Q890" s="35" t="n">
        <f aca="false">Q83</f>
        <v>-585.545594840775</v>
      </c>
      <c r="R890" s="35" t="n">
        <f aca="false">R83</f>
        <v>-510.131434214954</v>
      </c>
      <c r="S890" s="35" t="n">
        <f aca="false">S83</f>
        <v>-422.566598981503</v>
      </c>
      <c r="T890" s="35" t="n">
        <f aca="false">T83</f>
        <v>-361.291679937779</v>
      </c>
      <c r="U890" s="35" t="n">
        <f aca="false">U83</f>
        <v>-309.241572382939</v>
      </c>
      <c r="V890" s="35" t="n">
        <f aca="false">V83</f>
        <v>-261.009667448638</v>
      </c>
      <c r="W890" s="35" t="n">
        <f aca="false">W83</f>
        <v>-200.878507703039</v>
      </c>
      <c r="X890" s="35" t="n">
        <f aca="false">X83</f>
        <v>-166.635113339075</v>
      </c>
      <c r="Y890" s="35" t="n">
        <f aca="false">Y83</f>
        <v>-120.772602358089</v>
      </c>
      <c r="Z890" s="35" t="n">
        <f aca="false">Z83</f>
        <v>-85.1458873833599</v>
      </c>
      <c r="AA890" s="35" t="n">
        <f aca="false">AA83</f>
        <v>-65.1166973455136</v>
      </c>
      <c r="AB890" s="35" t="n">
        <f aca="false">AB83</f>
        <v>-50.0967436782353</v>
      </c>
      <c r="AC890" s="35" t="n">
        <f aca="false">AC83</f>
        <v>-41.3987895312003</v>
      </c>
    </row>
    <row r="891" customFormat="false" ht="11.25" hidden="false" customHeight="false" outlineLevel="0" collapsed="false">
      <c r="A891" s="43"/>
      <c r="I891" s="421"/>
    </row>
    <row r="892" customFormat="false" ht="11.25" hidden="false" customHeight="false" outlineLevel="0" collapsed="false">
      <c r="A892" s="43" t="s">
        <v>1069</v>
      </c>
      <c r="I892" s="421" t="n">
        <f aca="false">I890*$Q$919</f>
        <v>-167.442040402759</v>
      </c>
      <c r="J892" s="35" t="n">
        <f aca="false">J890*$Q$919</f>
        <v>-384.715626380518</v>
      </c>
      <c r="K892" s="35" t="n">
        <f aca="false">K890*$Q$919</f>
        <v>-360.21832977387</v>
      </c>
      <c r="L892" s="35" t="n">
        <f aca="false">L890*$Q$919</f>
        <v>-341.772110808224</v>
      </c>
      <c r="M892" s="35" t="n">
        <f aca="false">M890*$Q$919</f>
        <v>-321.31866827352</v>
      </c>
      <c r="N892" s="35" t="n">
        <f aca="false">N890*$Q$919</f>
        <v>-296.007180907164</v>
      </c>
      <c r="O892" s="35" t="n">
        <f aca="false">O890*$Q$919</f>
        <v>-262.429339195262</v>
      </c>
      <c r="P892" s="35" t="n">
        <f aca="false">P890*$Q$919</f>
        <v>-227.93109598039</v>
      </c>
      <c r="Q892" s="35" t="n">
        <f aca="false">Q890*$Q$919</f>
        <v>-204.940958194271</v>
      </c>
      <c r="R892" s="35" t="n">
        <f aca="false">R890*$Q$919</f>
        <v>-178.546001975234</v>
      </c>
      <c r="S892" s="35" t="n">
        <f aca="false">S890*$Q$919</f>
        <v>-147.898309643526</v>
      </c>
      <c r="T892" s="35" t="n">
        <f aca="false">T890*$Q$919</f>
        <v>-126.452087978223</v>
      </c>
      <c r="U892" s="35" t="n">
        <f aca="false">U890*$Q$919</f>
        <v>-108.234550334029</v>
      </c>
      <c r="V892" s="35" t="n">
        <f aca="false">V890*$Q$919</f>
        <v>-91.3533836070231</v>
      </c>
      <c r="W892" s="35" t="n">
        <f aca="false">W890*$Q$919</f>
        <v>-70.3074776960636</v>
      </c>
      <c r="X892" s="35" t="n">
        <f aca="false">X890*$Q$919</f>
        <v>-58.3222896686762</v>
      </c>
      <c r="Y892" s="35" t="n">
        <f aca="false">Y890*$Q$919</f>
        <v>-42.2704108253312</v>
      </c>
      <c r="Z892" s="35" t="n">
        <f aca="false">Z890*$Q$919</f>
        <v>-29.801060584176</v>
      </c>
      <c r="AA892" s="35" t="n">
        <f aca="false">AA890*$Q$919</f>
        <v>-22.7908440709298</v>
      </c>
      <c r="AB892" s="35" t="n">
        <f aca="false">AB890*$Q$919</f>
        <v>-17.5338602873824</v>
      </c>
      <c r="AC892" s="35" t="n">
        <f aca="false">AC890*$Q$919</f>
        <v>-14.4895763359201</v>
      </c>
    </row>
    <row r="893" customFormat="false" ht="11.25" hidden="false" customHeight="false" outlineLevel="0" collapsed="false">
      <c r="A893" s="307" t="s">
        <v>1070</v>
      </c>
      <c r="I893" s="422" t="n">
        <f aca="false">I890-I892</f>
        <v>-310.96378931941</v>
      </c>
      <c r="J893" s="158" t="n">
        <f aca="false">J890-J892</f>
        <v>-714.471877563819</v>
      </c>
      <c r="K893" s="158" t="n">
        <f aca="false">K890-K892</f>
        <v>-668.976898151473</v>
      </c>
      <c r="L893" s="158" t="n">
        <f aca="false">L890-L892</f>
        <v>-634.71963435813</v>
      </c>
      <c r="M893" s="158" t="n">
        <f aca="false">M890-M892</f>
        <v>-596.734669650823</v>
      </c>
      <c r="N893" s="158" t="n">
        <f aca="false">N890-N892</f>
        <v>-549.727621684733</v>
      </c>
      <c r="O893" s="158" t="n">
        <f aca="false">O890-O892</f>
        <v>-487.368772791201</v>
      </c>
      <c r="P893" s="158" t="n">
        <f aca="false">P890-P892</f>
        <v>-423.300606820723</v>
      </c>
      <c r="Q893" s="158" t="n">
        <f aca="false">Q890-Q892</f>
        <v>-380.604636646504</v>
      </c>
      <c r="R893" s="158" t="n">
        <f aca="false">R890-R892</f>
        <v>-331.58543223972</v>
      </c>
      <c r="S893" s="158" t="n">
        <f aca="false">S890-S892</f>
        <v>-274.668289337977</v>
      </c>
      <c r="T893" s="158" t="n">
        <f aca="false">T890-T892</f>
        <v>-234.839591959556</v>
      </c>
      <c r="U893" s="158" t="n">
        <f aca="false">U890-U892</f>
        <v>-201.00702204891</v>
      </c>
      <c r="V893" s="158" t="n">
        <f aca="false">V890-V892</f>
        <v>-169.656283841614</v>
      </c>
      <c r="W893" s="158" t="n">
        <f aca="false">W890-W892</f>
        <v>-130.571030006975</v>
      </c>
      <c r="X893" s="158" t="n">
        <f aca="false">X890-X892</f>
        <v>-108.312823670399</v>
      </c>
      <c r="Y893" s="158" t="n">
        <f aca="false">Y890-Y892</f>
        <v>-78.5021915327579</v>
      </c>
      <c r="Z893" s="158" t="n">
        <f aca="false">Z890-Z892</f>
        <v>-55.344826799184</v>
      </c>
      <c r="AA893" s="158" t="n">
        <f aca="false">AA890-AA892</f>
        <v>-42.3258532745839</v>
      </c>
      <c r="AB893" s="158" t="n">
        <f aca="false">AB890-AB892</f>
        <v>-32.562883390853</v>
      </c>
      <c r="AC893" s="158" t="n">
        <f aca="false">AC890-AC892</f>
        <v>-26.9092131952802</v>
      </c>
    </row>
    <row r="894" customFormat="false" ht="11.25" hidden="false" customHeight="false" outlineLevel="0" collapsed="false">
      <c r="A894" s="43"/>
      <c r="I894" s="421"/>
    </row>
    <row r="895" customFormat="false" ht="11.25" hidden="false" customHeight="false" outlineLevel="0" collapsed="false">
      <c r="A895" s="43" t="s">
        <v>1016</v>
      </c>
      <c r="B895" s="43" t="s">
        <v>1071</v>
      </c>
      <c r="I895" s="421" t="n">
        <f aca="false">I76</f>
        <v>0</v>
      </c>
      <c r="J895" s="35" t="n">
        <f aca="false">J76</f>
        <v>0</v>
      </c>
      <c r="K895" s="35" t="n">
        <f aca="false">K76</f>
        <v>0</v>
      </c>
      <c r="L895" s="35" t="n">
        <f aca="false">L76</f>
        <v>0</v>
      </c>
      <c r="M895" s="35" t="n">
        <f aca="false">M76</f>
        <v>0</v>
      </c>
      <c r="N895" s="35" t="n">
        <f aca="false">N76</f>
        <v>0</v>
      </c>
      <c r="O895" s="35" t="n">
        <f aca="false">O76</f>
        <v>4.37940610692124</v>
      </c>
      <c r="P895" s="35" t="n">
        <f aca="false">P76</f>
        <v>4.73479130132525</v>
      </c>
      <c r="Q895" s="35" t="n">
        <f aca="false">Q76</f>
        <v>7.10183406065871</v>
      </c>
      <c r="R895" s="35" t="n">
        <f aca="false">R76</f>
        <v>6.06029350365411</v>
      </c>
      <c r="S895" s="35" t="n">
        <f aca="false">S76</f>
        <v>5.13462160166333</v>
      </c>
      <c r="T895" s="35" t="n">
        <f aca="false">T76</f>
        <v>4.31369340045704</v>
      </c>
      <c r="U895" s="35" t="n">
        <f aca="false">U76</f>
        <v>3.61604708594512</v>
      </c>
      <c r="V895" s="35" t="n">
        <f aca="false">V76</f>
        <v>2.96902765639283</v>
      </c>
      <c r="W895" s="35" t="n">
        <f aca="false">W76</f>
        <v>2.43484435655219</v>
      </c>
      <c r="X895" s="35" t="n">
        <f aca="false">X76</f>
        <v>1.9752031273748</v>
      </c>
      <c r="Y895" s="35" t="n">
        <f aca="false">Y76</f>
        <v>1.55663930896327</v>
      </c>
      <c r="Z895" s="35" t="n">
        <f aca="false">Z76</f>
        <v>1.14351365103143</v>
      </c>
      <c r="AA895" s="35" t="n">
        <f aca="false">AA76</f>
        <v>0.874427280159617</v>
      </c>
      <c r="AB895" s="35" t="n">
        <f aca="false">AB76</f>
        <v>0.672671998471635</v>
      </c>
      <c r="AC895" s="35" t="n">
        <f aca="false">AC76</f>
        <v>0.555985560429433</v>
      </c>
    </row>
    <row r="896" customFormat="false" ht="11.25" hidden="false" customHeight="false" outlineLevel="0" collapsed="false">
      <c r="A896" s="67"/>
      <c r="B896" s="43" t="s">
        <v>1072</v>
      </c>
      <c r="I896" s="421" t="n">
        <f aca="false">I80+I77+I78+I79</f>
        <v>0</v>
      </c>
      <c r="J896" s="35" t="n">
        <f aca="false">J80+J77+J78+J79</f>
        <v>0</v>
      </c>
      <c r="K896" s="35" t="n">
        <f aca="false">K80+K77+K78+K79</f>
        <v>0</v>
      </c>
      <c r="L896" s="35" t="n">
        <f aca="false">L80+L77+L78+L79</f>
        <v>0</v>
      </c>
      <c r="M896" s="35" t="n">
        <f aca="false">M80+M77+M78+M79</f>
        <v>0</v>
      </c>
      <c r="N896" s="35" t="n">
        <f aca="false">N80+N77+N78+N79</f>
        <v>0</v>
      </c>
      <c r="O896" s="35" t="n">
        <f aca="false">O80+O77+O78+O79</f>
        <v>0</v>
      </c>
      <c r="P896" s="35" t="n">
        <f aca="false">P80+P77+P78+P79</f>
        <v>0</v>
      </c>
      <c r="Q896" s="35" t="n">
        <f aca="false">Q80+Q77+Q78+Q79</f>
        <v>0</v>
      </c>
      <c r="R896" s="35" t="n">
        <f aca="false">R80+R77+R78+R79</f>
        <v>0</v>
      </c>
      <c r="S896" s="35" t="n">
        <f aca="false">S80+S77+S78+S79</f>
        <v>0</v>
      </c>
      <c r="T896" s="35" t="n">
        <f aca="false">T80+T77+T78+T79</f>
        <v>0</v>
      </c>
      <c r="U896" s="35" t="n">
        <f aca="false">U80+U77+U78+U79</f>
        <v>0</v>
      </c>
      <c r="V896" s="35" t="n">
        <f aca="false">V80+V77+V78+V79</f>
        <v>0</v>
      </c>
      <c r="W896" s="35" t="n">
        <f aca="false">W80+W77+W78+W79</f>
        <v>0</v>
      </c>
      <c r="X896" s="35" t="n">
        <f aca="false">X80+X77+X78+X79</f>
        <v>0</v>
      </c>
      <c r="Y896" s="35" t="n">
        <f aca="false">Y80+Y77+Y78+Y79</f>
        <v>0</v>
      </c>
      <c r="Z896" s="35" t="n">
        <f aca="false">Z80+Z77+Z78+Z79</f>
        <v>0</v>
      </c>
      <c r="AA896" s="35" t="n">
        <f aca="false">AA80+AA77+AA78+AA79</f>
        <v>0</v>
      </c>
      <c r="AB896" s="35" t="n">
        <f aca="false">AB80+AB77+AB78+AB79</f>
        <v>0</v>
      </c>
      <c r="AC896" s="35" t="n">
        <f aca="false">AC80+AC77+AC78+AC79</f>
        <v>0</v>
      </c>
    </row>
    <row r="897" customFormat="false" ht="11.25" hidden="false" customHeight="false" outlineLevel="0" collapsed="false">
      <c r="A897" s="67"/>
      <c r="B897" s="43" t="s">
        <v>1073</v>
      </c>
      <c r="I897" s="421" t="e">
        <f aca="false">I692</f>
        <v>#VALUE!</v>
      </c>
      <c r="J897" s="35" t="e">
        <f aca="false">J692</f>
        <v>#VALUE!</v>
      </c>
      <c r="K897" s="35" t="e">
        <f aca="false">K692</f>
        <v>#VALUE!</v>
      </c>
      <c r="L897" s="35" t="e">
        <f aca="false">L692</f>
        <v>#VALUE!</v>
      </c>
      <c r="M897" s="35" t="e">
        <f aca="false">M692</f>
        <v>#VALUE!</v>
      </c>
      <c r="N897" s="35" t="e">
        <f aca="false">N692</f>
        <v>#VALUE!</v>
      </c>
      <c r="O897" s="35" t="e">
        <f aca="false">O692</f>
        <v>#VALUE!</v>
      </c>
      <c r="P897" s="35" t="e">
        <f aca="false">P692</f>
        <v>#VALUE!</v>
      </c>
      <c r="Q897" s="35" t="e">
        <f aca="false">Q692</f>
        <v>#VALUE!</v>
      </c>
      <c r="R897" s="35" t="e">
        <f aca="false">R692</f>
        <v>#VALUE!</v>
      </c>
      <c r="S897" s="35" t="e">
        <f aca="false">S692</f>
        <v>#VALUE!</v>
      </c>
      <c r="T897" s="35" t="e">
        <f aca="false">T692</f>
        <v>#VALUE!</v>
      </c>
      <c r="U897" s="35" t="e">
        <f aca="false">U692</f>
        <v>#VALUE!</v>
      </c>
      <c r="V897" s="35" t="e">
        <f aca="false">V692</f>
        <v>#VALUE!</v>
      </c>
      <c r="W897" s="35" t="e">
        <f aca="false">W692</f>
        <v>#VALUE!</v>
      </c>
      <c r="X897" s="35" t="e">
        <f aca="false">X692</f>
        <v>#VALUE!</v>
      </c>
      <c r="Y897" s="35" t="e">
        <f aca="false">Y692</f>
        <v>#VALUE!</v>
      </c>
      <c r="Z897" s="35" t="e">
        <f aca="false">Z692</f>
        <v>#VALUE!</v>
      </c>
      <c r="AA897" s="35" t="e">
        <f aca="false">AA692</f>
        <v>#VALUE!</v>
      </c>
      <c r="AB897" s="35" t="e">
        <f aca="false">AB692</f>
        <v>#VALUE!</v>
      </c>
      <c r="AC897" s="35" t="e">
        <f aca="false">AC692</f>
        <v>#VALUE!</v>
      </c>
    </row>
    <row r="898" customFormat="false" ht="11.25" hidden="false" customHeight="false" outlineLevel="0" collapsed="false">
      <c r="A898" s="43" t="s">
        <v>1014</v>
      </c>
      <c r="B898" s="43" t="s">
        <v>1074</v>
      </c>
      <c r="I898" s="421" t="n">
        <f aca="false">I130</f>
        <v>0</v>
      </c>
      <c r="J898" s="35" t="n">
        <f aca="false">J130</f>
        <v>0</v>
      </c>
      <c r="K898" s="35" t="n">
        <f aca="false">K130</f>
        <v>0</v>
      </c>
      <c r="L898" s="35" t="n">
        <f aca="false">L130</f>
        <v>0</v>
      </c>
      <c r="M898" s="35" t="n">
        <f aca="false">M130</f>
        <v>0</v>
      </c>
      <c r="N898" s="35" t="n">
        <f aca="false">N130</f>
        <v>0</v>
      </c>
      <c r="O898" s="35" t="n">
        <f aca="false">O130</f>
        <v>0</v>
      </c>
      <c r="P898" s="35" t="n">
        <f aca="false">P130</f>
        <v>0</v>
      </c>
      <c r="Q898" s="35" t="n">
        <f aca="false">Q130</f>
        <v>0</v>
      </c>
      <c r="R898" s="35" t="n">
        <f aca="false">R130</f>
        <v>0</v>
      </c>
      <c r="S898" s="35" t="n">
        <f aca="false">S130</f>
        <v>0</v>
      </c>
      <c r="T898" s="35" t="n">
        <f aca="false">T130</f>
        <v>0</v>
      </c>
      <c r="U898" s="35" t="n">
        <f aca="false">U130</f>
        <v>0</v>
      </c>
      <c r="V898" s="35" t="n">
        <f aca="false">V130</f>
        <v>0</v>
      </c>
      <c r="W898" s="35" t="n">
        <f aca="false">W130</f>
        <v>0</v>
      </c>
      <c r="X898" s="35" t="n">
        <f aca="false">X130</f>
        <v>0</v>
      </c>
      <c r="Y898" s="35" t="n">
        <f aca="false">Y130</f>
        <v>0</v>
      </c>
      <c r="Z898" s="35" t="n">
        <f aca="false">Z130</f>
        <v>0</v>
      </c>
      <c r="AA898" s="35" t="n">
        <f aca="false">AA130</f>
        <v>0</v>
      </c>
      <c r="AB898" s="35" t="n">
        <f aca="false">AB130</f>
        <v>0</v>
      </c>
      <c r="AC898" s="35" t="n">
        <f aca="false">AC130</f>
        <v>0</v>
      </c>
    </row>
    <row r="899" customFormat="false" ht="11.25" hidden="false" customHeight="false" outlineLevel="0" collapsed="false">
      <c r="A899" s="43"/>
      <c r="B899" s="43" t="s">
        <v>621</v>
      </c>
      <c r="I899" s="421" t="n">
        <f aca="false">I128</f>
        <v>0</v>
      </c>
      <c r="J899" s="35" t="n">
        <f aca="false">J128</f>
        <v>0</v>
      </c>
      <c r="K899" s="35" t="n">
        <f aca="false">K128</f>
        <v>0</v>
      </c>
      <c r="L899" s="35" t="n">
        <f aca="false">L128</f>
        <v>0</v>
      </c>
      <c r="M899" s="35" t="n">
        <f aca="false">M128</f>
        <v>0</v>
      </c>
      <c r="N899" s="35" t="n">
        <f aca="false">N128</f>
        <v>0</v>
      </c>
      <c r="O899" s="35" t="n">
        <f aca="false">O128</f>
        <v>25.811</v>
      </c>
      <c r="P899" s="35" t="n">
        <f aca="false">P128</f>
        <v>5.512</v>
      </c>
      <c r="Q899" s="35" t="n">
        <f aca="false">Q128</f>
        <v>16.2</v>
      </c>
      <c r="R899" s="35" t="n">
        <f aca="false">R128</f>
        <v>0</v>
      </c>
      <c r="S899" s="35" t="n">
        <f aca="false">S128</f>
        <v>0</v>
      </c>
      <c r="T899" s="35" t="n">
        <f aca="false">T128</f>
        <v>0</v>
      </c>
      <c r="U899" s="35" t="n">
        <f aca="false">U128</f>
        <v>0</v>
      </c>
      <c r="V899" s="35" t="n">
        <f aca="false">V128</f>
        <v>0</v>
      </c>
      <c r="W899" s="35" t="n">
        <f aca="false">W128</f>
        <v>0</v>
      </c>
      <c r="X899" s="35" t="n">
        <f aca="false">X128</f>
        <v>0</v>
      </c>
      <c r="Y899" s="35" t="n">
        <f aca="false">Y128</f>
        <v>0</v>
      </c>
      <c r="Z899" s="35" t="n">
        <f aca="false">Z128</f>
        <v>0</v>
      </c>
      <c r="AA899" s="35" t="n">
        <f aca="false">AA128</f>
        <v>0</v>
      </c>
      <c r="AB899" s="35" t="n">
        <f aca="false">AB128</f>
        <v>0</v>
      </c>
      <c r="AC899" s="35" t="n">
        <f aca="false">AC128</f>
        <v>0</v>
      </c>
    </row>
    <row r="900" customFormat="false" ht="12" hidden="false" customHeight="false" outlineLevel="0" collapsed="false">
      <c r="A900" s="307" t="s">
        <v>1075</v>
      </c>
      <c r="H900" s="148" t="n">
        <v>0</v>
      </c>
      <c r="I900" s="427" t="n">
        <f aca="false">I893+I895+I896-I898-I899</f>
        <v>-310.96378931941</v>
      </c>
      <c r="J900" s="388" t="n">
        <f aca="false">J893+J895+J896-J898-J899</f>
        <v>-714.471877563819</v>
      </c>
      <c r="K900" s="388" t="n">
        <f aca="false">K893+K895+K896-K898-K899</f>
        <v>-668.976898151473</v>
      </c>
      <c r="L900" s="388" t="n">
        <f aca="false">L893+L895+L896-L898-L899</f>
        <v>-634.71963435813</v>
      </c>
      <c r="M900" s="388" t="n">
        <f aca="false">M893+M895+M896-M898-M899</f>
        <v>-596.734669650823</v>
      </c>
      <c r="N900" s="388" t="n">
        <f aca="false">N893+N895+N896-N898-N899</f>
        <v>-549.727621684733</v>
      </c>
      <c r="O900" s="388" t="n">
        <f aca="false">O893+O895+O896-O898-O899</f>
        <v>-508.80036668428</v>
      </c>
      <c r="P900" s="388" t="n">
        <f aca="false">P893+P895+P896-P898-P899</f>
        <v>-424.077815519398</v>
      </c>
      <c r="Q900" s="388" t="n">
        <f aca="false">Q893+Q895+Q896-Q898-Q899</f>
        <v>-389.702802585845</v>
      </c>
      <c r="R900" s="388" t="n">
        <f aca="false">R893+R895+R896-R898-R899</f>
        <v>-325.525138736066</v>
      </c>
      <c r="S900" s="388" t="n">
        <f aca="false">S893+S895+S896-S898-S899</f>
        <v>-269.533667736314</v>
      </c>
      <c r="T900" s="388" t="n">
        <f aca="false">T893+T895+T896-T898-T899</f>
        <v>-230.525898559099</v>
      </c>
      <c r="U900" s="388" t="n">
        <f aca="false">U893+U895+U896-U898-U899</f>
        <v>-197.390974962965</v>
      </c>
      <c r="V900" s="388" t="n">
        <f aca="false">V893+V895+V896-V898-V899</f>
        <v>-166.687256185222</v>
      </c>
      <c r="W900" s="388" t="n">
        <f aca="false">W893+W895+W896-W898-W899</f>
        <v>-128.136185650423</v>
      </c>
      <c r="X900" s="388" t="n">
        <f aca="false">X893+X895+X896-X898-X899</f>
        <v>-106.337620543024</v>
      </c>
      <c r="Y900" s="388" t="n">
        <f aca="false">Y893+Y895+Y896-Y898-Y899</f>
        <v>-76.9455522237946</v>
      </c>
      <c r="Z900" s="388" t="n">
        <f aca="false">Z893+Z895+Z896-Z898-Z899</f>
        <v>-54.2013131481525</v>
      </c>
      <c r="AA900" s="388" t="n">
        <f aca="false">AA893+AA895+AA896-AA898-AA899</f>
        <v>-41.4514259944243</v>
      </c>
      <c r="AB900" s="388" t="n">
        <f aca="false">AB893+AB895+AB896-AB898-AB899</f>
        <v>-31.8902113923813</v>
      </c>
      <c r="AC900" s="388" t="n">
        <f aca="false">AC893+AC895+AC896-AC898-AC899</f>
        <v>-26.3532276348508</v>
      </c>
    </row>
    <row r="901" customFormat="false" ht="12" hidden="false" customHeight="false" outlineLevel="0" collapsed="false">
      <c r="A901" s="307"/>
      <c r="H901" s="148"/>
      <c r="I901" s="149"/>
      <c r="J901" s="149"/>
      <c r="K901" s="149"/>
      <c r="L901" s="149"/>
      <c r="M901" s="149"/>
      <c r="N901" s="149"/>
      <c r="O901" s="149"/>
      <c r="P901" s="149"/>
      <c r="Q901" s="149"/>
      <c r="R901" s="149"/>
      <c r="S901" s="149"/>
      <c r="T901" s="149"/>
      <c r="U901" s="149"/>
      <c r="V901" s="149"/>
      <c r="W901" s="149"/>
      <c r="X901" s="149"/>
      <c r="Y901" s="149"/>
      <c r="Z901" s="149"/>
      <c r="AA901" s="149"/>
      <c r="AB901" s="149"/>
      <c r="AC901" s="149"/>
    </row>
    <row r="902" customFormat="false" ht="11.25" hidden="false" customHeight="false" outlineLevel="0" collapsed="false">
      <c r="A902" s="307"/>
      <c r="E902" s="94" t="s">
        <v>1076</v>
      </c>
      <c r="F902" s="94"/>
      <c r="G902" s="94"/>
      <c r="H902" s="94"/>
      <c r="I902" s="149"/>
      <c r="J902" s="149"/>
      <c r="K902" s="149"/>
      <c r="L902" s="149"/>
      <c r="M902" s="149"/>
      <c r="N902" s="149"/>
      <c r="O902" s="149"/>
      <c r="P902" s="149"/>
      <c r="Q902" s="149"/>
      <c r="R902" s="149"/>
      <c r="S902" s="149"/>
      <c r="T902" s="149"/>
      <c r="U902" s="149"/>
      <c r="V902" s="149"/>
      <c r="W902" s="149"/>
      <c r="X902" s="149"/>
      <c r="Y902" s="149"/>
      <c r="Z902" s="149"/>
      <c r="AA902" s="149"/>
      <c r="AB902" s="149"/>
      <c r="AC902" s="149"/>
    </row>
    <row r="903" customFormat="false" ht="11.25" hidden="false" customHeight="false" outlineLevel="0" collapsed="false">
      <c r="A903" s="307"/>
      <c r="E903" s="97" t="s">
        <v>157</v>
      </c>
      <c r="F903" s="97" t="s">
        <v>158</v>
      </c>
      <c r="G903" s="97" t="s">
        <v>159</v>
      </c>
      <c r="H903" s="98" t="s">
        <v>160</v>
      </c>
      <c r="I903" s="149"/>
      <c r="J903" s="149"/>
      <c r="K903" s="149"/>
      <c r="L903" s="149"/>
      <c r="M903" s="149"/>
      <c r="N903" s="149"/>
      <c r="O903" s="149"/>
      <c r="P903" s="149"/>
      <c r="Q903" s="149"/>
      <c r="R903" s="149"/>
      <c r="S903" s="149"/>
      <c r="T903" s="149"/>
      <c r="U903" s="149"/>
      <c r="V903" s="149"/>
      <c r="W903" s="149"/>
      <c r="X903" s="149"/>
      <c r="Y903" s="149"/>
      <c r="Z903" s="149"/>
      <c r="AA903" s="149"/>
      <c r="AB903" s="149"/>
      <c r="AC903" s="149"/>
    </row>
    <row r="904" customFormat="false" ht="11.25" hidden="false" customHeight="false" outlineLevel="0" collapsed="false">
      <c r="A904" s="43" t="s">
        <v>1077</v>
      </c>
      <c r="B904" s="67"/>
      <c r="E904" s="100" t="s">
        <v>162</v>
      </c>
      <c r="F904" s="100"/>
      <c r="G904" s="100"/>
      <c r="H904" s="100"/>
      <c r="I904" s="598" t="n">
        <v>1</v>
      </c>
      <c r="J904" s="598" t="n">
        <v>1</v>
      </c>
      <c r="K904" s="598" t="n">
        <v>1</v>
      </c>
      <c r="L904" s="598" t="n">
        <v>1</v>
      </c>
      <c r="M904" s="598" t="n">
        <v>1</v>
      </c>
      <c r="N904" s="598" t="n">
        <v>1</v>
      </c>
      <c r="O904" s="598" t="n">
        <v>1</v>
      </c>
      <c r="P904" s="598" t="n">
        <v>1</v>
      </c>
      <c r="Q904" s="598" t="n">
        <v>1</v>
      </c>
      <c r="R904" s="598" t="n">
        <v>1</v>
      </c>
      <c r="S904" s="598" t="n">
        <v>1</v>
      </c>
      <c r="T904" s="598" t="n">
        <v>1</v>
      </c>
      <c r="U904" s="598" t="n">
        <v>1</v>
      </c>
      <c r="V904" s="598" t="n">
        <v>1</v>
      </c>
      <c r="W904" s="598" t="n">
        <v>1</v>
      </c>
      <c r="X904" s="598" t="n">
        <v>1</v>
      </c>
      <c r="Y904" s="598" t="n">
        <v>1</v>
      </c>
      <c r="Z904" s="598" t="n">
        <v>1</v>
      </c>
      <c r="AA904" s="598" t="n">
        <v>1</v>
      </c>
      <c r="AB904" s="598" t="n">
        <v>1</v>
      </c>
      <c r="AC904" s="598" t="n">
        <v>1</v>
      </c>
    </row>
    <row r="905" customFormat="false" ht="11.25" hidden="false" customHeight="false" outlineLevel="0" collapsed="false">
      <c r="A905" s="43" t="s">
        <v>1078</v>
      </c>
      <c r="B905" s="67"/>
      <c r="E905" s="100" t="s">
        <v>162</v>
      </c>
      <c r="F905" s="100"/>
      <c r="G905" s="100"/>
      <c r="H905" s="100"/>
      <c r="I905" s="598" t="n">
        <v>1</v>
      </c>
      <c r="J905" s="598" t="n">
        <v>1</v>
      </c>
      <c r="K905" s="598" t="n">
        <v>1</v>
      </c>
      <c r="L905" s="598" t="n">
        <v>1</v>
      </c>
      <c r="M905" s="598" t="n">
        <v>1</v>
      </c>
      <c r="N905" s="598" t="n">
        <v>1</v>
      </c>
      <c r="O905" s="598" t="n">
        <v>1</v>
      </c>
      <c r="P905" s="598" t="n">
        <v>1</v>
      </c>
      <c r="Q905" s="598" t="n">
        <v>1</v>
      </c>
      <c r="R905" s="598" t="n">
        <v>1</v>
      </c>
      <c r="S905" s="598" t="n">
        <v>1</v>
      </c>
      <c r="T905" s="598" t="n">
        <v>1</v>
      </c>
      <c r="U905" s="598" t="n">
        <v>1</v>
      </c>
      <c r="V905" s="598" t="n">
        <v>1</v>
      </c>
      <c r="W905" s="598" t="n">
        <v>1</v>
      </c>
      <c r="X905" s="598" t="n">
        <v>1</v>
      </c>
      <c r="Y905" s="598" t="n">
        <v>1</v>
      </c>
      <c r="Z905" s="598" t="n">
        <v>1</v>
      </c>
      <c r="AA905" s="598" t="n">
        <v>1</v>
      </c>
      <c r="AB905" s="598" t="n">
        <v>1</v>
      </c>
      <c r="AC905" s="598" t="n">
        <v>1</v>
      </c>
    </row>
    <row r="906" customFormat="false" ht="12" hidden="false" customHeight="false" outlineLevel="0" collapsed="false">
      <c r="A906" s="307" t="s">
        <v>1079</v>
      </c>
      <c r="H906" s="148" t="n">
        <v>0</v>
      </c>
      <c r="I906" s="388" t="n">
        <f aca="false">+I900*I904*I905</f>
        <v>-310.96378931941</v>
      </c>
      <c r="J906" s="388" t="n">
        <f aca="false">+J900*J904*J905</f>
        <v>-714.471877563819</v>
      </c>
      <c r="K906" s="388" t="n">
        <f aca="false">+K900*K904*K905</f>
        <v>-668.976898151473</v>
      </c>
      <c r="L906" s="388" t="n">
        <f aca="false">+L900*L904*L905</f>
        <v>-634.71963435813</v>
      </c>
      <c r="M906" s="388" t="n">
        <f aca="false">+M900*M904*M905</f>
        <v>-596.734669650823</v>
      </c>
      <c r="N906" s="388" t="n">
        <f aca="false">+N900*N904*N905</f>
        <v>-549.727621684733</v>
      </c>
      <c r="O906" s="388" t="n">
        <f aca="false">+O900*O904*O905</f>
        <v>-508.80036668428</v>
      </c>
      <c r="P906" s="388" t="n">
        <f aca="false">+P900*P904*P905</f>
        <v>-424.077815519398</v>
      </c>
      <c r="Q906" s="388" t="n">
        <f aca="false">+Q900*Q904*Q905</f>
        <v>-389.702802585845</v>
      </c>
      <c r="R906" s="388" t="n">
        <f aca="false">+R900*R904*R905</f>
        <v>-325.525138736066</v>
      </c>
      <c r="S906" s="388" t="n">
        <f aca="false">+S900*S904*S905</f>
        <v>-269.533667736314</v>
      </c>
      <c r="T906" s="388" t="n">
        <f aca="false">+T900*T904*T905</f>
        <v>-230.525898559099</v>
      </c>
      <c r="U906" s="388" t="n">
        <f aca="false">+U900*U904*U905</f>
        <v>-197.390974962965</v>
      </c>
      <c r="V906" s="388" t="n">
        <f aca="false">+V900*V904*V905</f>
        <v>-166.687256185222</v>
      </c>
      <c r="W906" s="388" t="n">
        <f aca="false">+W900*W904*W905</f>
        <v>-128.136185650423</v>
      </c>
      <c r="X906" s="388" t="n">
        <f aca="false">+X900*X904*X905</f>
        <v>-106.337620543024</v>
      </c>
      <c r="Y906" s="388" t="n">
        <f aca="false">+Y900*Y904*Y905</f>
        <v>-76.9455522237946</v>
      </c>
      <c r="Z906" s="388" t="n">
        <f aca="false">+Z900*Z904*Z905</f>
        <v>-54.2013131481525</v>
      </c>
      <c r="AA906" s="388" t="n">
        <f aca="false">+AA900*AA904*AA905</f>
        <v>-41.4514259944243</v>
      </c>
      <c r="AB906" s="388" t="n">
        <f aca="false">+AB900*AB904*AB905</f>
        <v>-31.8902113923813</v>
      </c>
      <c r="AC906" s="388" t="n">
        <f aca="false">+AC900*AC904*AC905</f>
        <v>-26.3532276348508</v>
      </c>
    </row>
    <row r="907" customFormat="false" ht="12" hidden="false" customHeight="false" outlineLevel="0" collapsed="false">
      <c r="A907" s="307"/>
      <c r="H907" s="148"/>
      <c r="I907" s="149"/>
      <c r="J907" s="149"/>
      <c r="K907" s="149"/>
      <c r="L907" s="149"/>
      <c r="M907" s="149"/>
      <c r="N907" s="149"/>
      <c r="O907" s="149"/>
      <c r="P907" s="149"/>
      <c r="Q907" s="149"/>
      <c r="R907" s="149"/>
      <c r="S907" s="149"/>
      <c r="T907" s="149"/>
      <c r="U907" s="149"/>
      <c r="V907" s="149"/>
      <c r="W907" s="149"/>
      <c r="X907" s="149"/>
      <c r="Y907" s="149"/>
      <c r="Z907" s="149"/>
      <c r="AA907" s="149"/>
      <c r="AB907" s="149"/>
      <c r="AC907" s="149"/>
    </row>
    <row r="908" customFormat="false" ht="11.25" hidden="false" customHeight="false" outlineLevel="0" collapsed="false">
      <c r="A908" s="307"/>
      <c r="H908" s="148"/>
      <c r="I908" s="149"/>
      <c r="J908" s="149"/>
      <c r="K908" s="149"/>
      <c r="L908" s="149"/>
      <c r="M908" s="149"/>
      <c r="N908" s="149"/>
      <c r="O908" s="149"/>
      <c r="P908" s="149"/>
      <c r="Q908" s="149"/>
      <c r="R908" s="149"/>
      <c r="S908" s="149"/>
    </row>
    <row r="909" customFormat="false" ht="12" hidden="false" customHeight="false" outlineLevel="0" collapsed="false">
      <c r="A909" s="43"/>
    </row>
    <row r="910" customFormat="false" ht="12" hidden="false" customHeight="false" outlineLevel="0" collapsed="false">
      <c r="A910" s="43"/>
      <c r="E910" s="599" t="s">
        <v>1080</v>
      </c>
      <c r="G910" s="599" t="s">
        <v>1080</v>
      </c>
      <c r="I910" s="599" t="s">
        <v>1081</v>
      </c>
      <c r="L910" s="554" t="s">
        <v>1082</v>
      </c>
    </row>
    <row r="911" customFormat="false" ht="12" hidden="false" customHeight="false" outlineLevel="0" collapsed="false">
      <c r="A911" s="307" t="s">
        <v>1083</v>
      </c>
      <c r="E911" s="516" t="s">
        <v>1084</v>
      </c>
      <c r="G911" s="516" t="s">
        <v>1085</v>
      </c>
      <c r="I911" s="516" t="s">
        <v>149</v>
      </c>
      <c r="L911" s="43" t="s">
        <v>1086</v>
      </c>
      <c r="Q911" s="35" t="n">
        <v>10</v>
      </c>
    </row>
    <row r="912" customFormat="false" ht="12" hidden="false" customHeight="false" outlineLevel="0" collapsed="false">
      <c r="A912" s="43" t="s">
        <v>1087</v>
      </c>
      <c r="E912" s="158"/>
      <c r="G912" s="158"/>
      <c r="I912" s="158" t="e">
        <f aca="false">S890+S895+S896+S897</f>
        <v>#VALUE!</v>
      </c>
      <c r="L912" s="43" t="s">
        <v>1088</v>
      </c>
      <c r="Q912" s="482" t="n">
        <f aca="false">N389-P390</f>
        <v>0</v>
      </c>
    </row>
    <row r="913" customFormat="false" ht="11.25" hidden="false" customHeight="false" outlineLevel="0" collapsed="false">
      <c r="A913" s="43" t="s">
        <v>1089</v>
      </c>
      <c r="E913" s="35" t="n">
        <f aca="false">$S$893</f>
        <v>-274.668289337977</v>
      </c>
      <c r="G913" s="35" t="n">
        <f aca="false">E913</f>
        <v>-274.668289337977</v>
      </c>
      <c r="L913" s="43" t="s">
        <v>1090</v>
      </c>
      <c r="Q913" s="482" t="n">
        <f aca="false">N411+N412+N415+N416+N418+N424</f>
        <v>0</v>
      </c>
    </row>
    <row r="914" customFormat="false" ht="11.25" hidden="false" customHeight="false" outlineLevel="0" collapsed="false">
      <c r="A914" s="43"/>
      <c r="L914" s="43" t="s">
        <v>1091</v>
      </c>
      <c r="Q914" s="449" t="n">
        <v>0</v>
      </c>
    </row>
    <row r="915" customFormat="false" ht="11.25" hidden="false" customHeight="false" outlineLevel="0" collapsed="false">
      <c r="A915" s="43" t="s">
        <v>1092</v>
      </c>
      <c r="E915" s="370" t="n">
        <f aca="false">R926</f>
        <v>0.127875</v>
      </c>
      <c r="G915" s="370" t="n">
        <f aca="false">E915</f>
        <v>0.127875</v>
      </c>
      <c r="L915" s="43" t="s">
        <v>1093</v>
      </c>
      <c r="Q915" s="496" t="n">
        <v>0.01</v>
      </c>
    </row>
    <row r="916" customFormat="false" ht="11.25" hidden="false" customHeight="false" outlineLevel="0" collapsed="false">
      <c r="A916" s="43" t="s">
        <v>1093</v>
      </c>
      <c r="E916" s="370"/>
      <c r="G916" s="370" t="n">
        <f aca="false">Q915</f>
        <v>0.01</v>
      </c>
      <c r="L916" s="43" t="s">
        <v>1094</v>
      </c>
      <c r="Q916" s="600" t="n">
        <v>6</v>
      </c>
    </row>
    <row r="917" customFormat="false" ht="11.25" hidden="false" customHeight="false" outlineLevel="0" collapsed="false">
      <c r="A917" s="43" t="s">
        <v>1095</v>
      </c>
      <c r="E917" s="370"/>
      <c r="G917" s="370"/>
      <c r="I917" s="601" t="n">
        <f aca="false">Q916</f>
        <v>6</v>
      </c>
    </row>
    <row r="918" customFormat="false" ht="11.25" hidden="false" customHeight="false" outlineLevel="0" collapsed="false">
      <c r="A918" s="43" t="s">
        <v>1096</v>
      </c>
      <c r="E918" s="158" t="n">
        <f aca="false">IF(ISERR(E913/$R$926),0,E913/$R$926)</f>
        <v>-2147.94361163619</v>
      </c>
      <c r="G918" s="158" t="n">
        <f aca="false">IF(ISERR((G913*(1+G916))/($R$926-G916)),0,(G913*(1+G916))/(R926-G916))</f>
        <v>-2353.46742083866</v>
      </c>
      <c r="I918" s="158" t="e">
        <f aca="false">I917*I912</f>
        <v>#VALUE!</v>
      </c>
      <c r="L918" s="307" t="s">
        <v>1097</v>
      </c>
      <c r="Q918" s="171"/>
    </row>
    <row r="919" customFormat="false" ht="11.25" hidden="false" customHeight="false" outlineLevel="0" collapsed="false">
      <c r="A919" s="43"/>
      <c r="L919" s="43" t="s">
        <v>533</v>
      </c>
      <c r="Q919" s="496" t="n">
        <v>0.35</v>
      </c>
    </row>
    <row r="920" customFormat="false" ht="11.25" hidden="false" customHeight="false" outlineLevel="0" collapsed="false">
      <c r="A920" s="307" t="str">
        <f aca="false">"VALUATION as of "&amp;TEXT(H888,"m/d/y")</f>
        <v>VALUATION as of 6/30/y</v>
      </c>
      <c r="L920" s="43" t="s">
        <v>145</v>
      </c>
      <c r="Q920" s="496" t="n">
        <v>1</v>
      </c>
    </row>
    <row r="921" customFormat="false" ht="11.25" hidden="false" customHeight="false" outlineLevel="0" collapsed="false">
      <c r="A921" s="43" t="s">
        <v>1098</v>
      </c>
      <c r="E921" s="35" t="n">
        <f aca="false">XNPV($R$926,$H$906:$S$906,H888:$S$888)</f>
        <v>-3153.74083140764</v>
      </c>
      <c r="G921" s="35" t="n">
        <f aca="false">XNPV($R$926,$H$906:$S$906,$H$888:$S$888)</f>
        <v>-3153.74083140764</v>
      </c>
      <c r="I921" s="35" t="n">
        <f aca="false">XNPV($R$926,$H$906:$S$906,$H$888:$S$888)</f>
        <v>-3153.74083140764</v>
      </c>
      <c r="L921" s="43" t="s">
        <v>1099</v>
      </c>
      <c r="Q921" s="370" t="n">
        <f aca="false">(100*Q920)/(100*Q920+100)</f>
        <v>0.5</v>
      </c>
    </row>
    <row r="922" customFormat="false" ht="11.25" hidden="false" customHeight="false" outlineLevel="0" collapsed="false">
      <c r="A922" s="43" t="s">
        <v>1100</v>
      </c>
      <c r="E922" s="35" t="n">
        <f aca="false">(E918/(1+$R$926)^$Q$911)/(1+$R$926)^IF($C$328=1,0,$C$328)</f>
        <v>-607.131389453977</v>
      </c>
      <c r="G922" s="35" t="n">
        <f aca="false">(G918/(1+$R$926)^$Q$911)/(1+$R$926)^IF($C$328=1,0,$C$328)</f>
        <v>-665.224141596535</v>
      </c>
      <c r="I922" s="35" t="e">
        <f aca="false">(I918/(1+$R$926)^$Q$911)/(1+$R$926)^IF($C$328=1,0,$C$328)</f>
        <v>#VALUE!</v>
      </c>
      <c r="L922" s="43" t="s">
        <v>1101</v>
      </c>
      <c r="Q922" s="370" t="n">
        <f aca="false">O932</f>
        <v>0.155</v>
      </c>
    </row>
    <row r="923" customFormat="false" ht="11.25" hidden="false" customHeight="false" outlineLevel="0" collapsed="false">
      <c r="A923" s="43" t="s">
        <v>1102</v>
      </c>
      <c r="E923" s="35" t="n">
        <f aca="false">Q912</f>
        <v>0</v>
      </c>
      <c r="G923" s="35" t="n">
        <f aca="false">E923</f>
        <v>0</v>
      </c>
      <c r="I923" s="35" t="n">
        <f aca="false">G923</f>
        <v>0</v>
      </c>
      <c r="L923" s="43" t="s">
        <v>1103</v>
      </c>
      <c r="Q923" s="370"/>
      <c r="R923" s="370" t="n">
        <f aca="false">Q922+((1-Q919)*(Q922-Q924)*Q920)</f>
        <v>0.207</v>
      </c>
    </row>
    <row r="924" customFormat="false" ht="11.25" hidden="false" customHeight="false" outlineLevel="0" collapsed="false">
      <c r="A924" s="43" t="s">
        <v>1104</v>
      </c>
      <c r="E924" s="158" t="n">
        <f aca="false">SUM(E921:E923)</f>
        <v>-3760.87222086162</v>
      </c>
      <c r="G924" s="158" t="n">
        <f aca="false">SUM(G921:G923)</f>
        <v>-3818.96497300418</v>
      </c>
      <c r="I924" s="158" t="e">
        <f aca="false">SUM(I921:I923)</f>
        <v>#VALUE!</v>
      </c>
      <c r="L924" s="43" t="s">
        <v>1105</v>
      </c>
      <c r="Q924" s="496" t="n">
        <v>0.075</v>
      </c>
      <c r="R924" s="370"/>
    </row>
    <row r="925" customFormat="false" ht="11.25" hidden="false" customHeight="false" outlineLevel="0" collapsed="false">
      <c r="A925" s="43"/>
      <c r="L925" s="43" t="s">
        <v>1106</v>
      </c>
      <c r="Q925" s="500"/>
      <c r="R925" s="370" t="n">
        <f aca="false">Q924*(1-Q919)</f>
        <v>0.04875</v>
      </c>
    </row>
    <row r="926" customFormat="false" ht="12" hidden="false" customHeight="false" outlineLevel="0" collapsed="false">
      <c r="A926" s="43" t="s">
        <v>1107</v>
      </c>
      <c r="E926" s="35" t="n">
        <f aca="false">Q913</f>
        <v>0</v>
      </c>
      <c r="G926" s="35" t="n">
        <f aca="false">E926</f>
        <v>0</v>
      </c>
      <c r="I926" s="35" t="n">
        <f aca="false">G926</f>
        <v>0</v>
      </c>
      <c r="L926" s="307" t="s">
        <v>1108</v>
      </c>
      <c r="Q926" s="500"/>
      <c r="R926" s="483" t="n">
        <f aca="false">Q921*R925+R923*(1-Q921)</f>
        <v>0.127875</v>
      </c>
    </row>
    <row r="927" customFormat="false" ht="12.75" hidden="false" customHeight="false" outlineLevel="0" collapsed="false">
      <c r="A927" s="43" t="s">
        <v>1109</v>
      </c>
      <c r="E927" s="388" t="n">
        <f aca="false">E924-E926</f>
        <v>-3760.87222086162</v>
      </c>
      <c r="G927" s="388" t="n">
        <f aca="false">G924-G926</f>
        <v>-3818.96497300418</v>
      </c>
      <c r="I927" s="388" t="e">
        <f aca="false">I924-I926</f>
        <v>#VALUE!</v>
      </c>
    </row>
    <row r="928" customFormat="false" ht="12" hidden="false" customHeight="false" outlineLevel="0" collapsed="false">
      <c r="A928" s="43"/>
      <c r="L928" s="307" t="s">
        <v>1110</v>
      </c>
      <c r="R928" s="370"/>
    </row>
    <row r="929" customFormat="false" ht="11.25" hidden="false" customHeight="false" outlineLevel="0" collapsed="false">
      <c r="A929" s="43" t="str">
        <f aca="false">"Number of Shares Outstanding at "&amp;TEXT(H888,"m/d/y")</f>
        <v>Number of Shares Outstanding at 6/30/y</v>
      </c>
      <c r="E929" s="417" t="n">
        <f aca="false">Q914</f>
        <v>0</v>
      </c>
      <c r="G929" s="417" t="n">
        <f aca="false">E929</f>
        <v>0</v>
      </c>
      <c r="I929" s="417" t="n">
        <f aca="false">G929</f>
        <v>0</v>
      </c>
      <c r="L929" s="43" t="s">
        <v>1111</v>
      </c>
      <c r="O929" s="496" t="n">
        <v>0.075</v>
      </c>
      <c r="P929" s="43" t="s">
        <v>1112</v>
      </c>
    </row>
    <row r="930" customFormat="false" ht="11.25" hidden="false" customHeight="false" outlineLevel="0" collapsed="false">
      <c r="A930" s="43"/>
      <c r="L930" s="43" t="s">
        <v>1113</v>
      </c>
      <c r="O930" s="563" t="n">
        <v>2</v>
      </c>
      <c r="P930" s="43" t="s">
        <v>1114</v>
      </c>
    </row>
    <row r="931" customFormat="false" ht="11.25" hidden="false" customHeight="false" outlineLevel="0" collapsed="false">
      <c r="A931" s="43"/>
      <c r="L931" s="43" t="s">
        <v>1115</v>
      </c>
      <c r="O931" s="496" t="n">
        <v>0.04</v>
      </c>
      <c r="P931" s="43"/>
    </row>
    <row r="932" customFormat="false" ht="12" hidden="false" customHeight="false" outlineLevel="0" collapsed="false">
      <c r="A932" s="43" t="s">
        <v>1116</v>
      </c>
      <c r="E932" s="602" t="n">
        <f aca="false">IF(ISERR(E927/E929),0,E927/E929)</f>
        <v>0</v>
      </c>
      <c r="G932" s="602" t="n">
        <f aca="false">IF(ISERR(G927/G929),0,G927/G929)</f>
        <v>0</v>
      </c>
      <c r="I932" s="602" t="n">
        <f aca="false">IF(ISERR(I927/I929),0,I927/I929)</f>
        <v>0</v>
      </c>
      <c r="L932" s="307" t="s">
        <v>1117</v>
      </c>
      <c r="O932" s="483" t="n">
        <f aca="false">O929+(O930*O931)</f>
        <v>0.155</v>
      </c>
    </row>
    <row r="933" customFormat="false" ht="12" hidden="false" customHeight="false" outlineLevel="0" collapsed="false">
      <c r="A933" s="67"/>
      <c r="B933" s="67"/>
      <c r="C933" s="67"/>
      <c r="D933" s="67"/>
      <c r="E933" s="67"/>
      <c r="F933" s="67"/>
      <c r="G933" s="67"/>
      <c r="H933" s="67"/>
      <c r="I933" s="67"/>
      <c r="J933" s="67"/>
      <c r="K933" s="67"/>
      <c r="L933" s="67"/>
      <c r="M933" s="67"/>
      <c r="N933" s="67"/>
      <c r="O933" s="67"/>
      <c r="P933" s="67"/>
      <c r="Q933" s="67"/>
      <c r="R933" s="67"/>
      <c r="S933" s="67"/>
    </row>
    <row r="934" customFormat="false" ht="11.25" hidden="false" customHeight="false" outlineLevel="0" collapsed="false">
      <c r="A934" s="67"/>
      <c r="B934" s="67"/>
      <c r="C934" s="67"/>
      <c r="D934" s="67"/>
      <c r="E934" s="67"/>
      <c r="F934" s="67"/>
      <c r="G934" s="67"/>
      <c r="H934" s="67"/>
      <c r="I934" s="67"/>
      <c r="J934" s="67"/>
      <c r="K934" s="67"/>
      <c r="L934" s="67"/>
      <c r="M934" s="67"/>
      <c r="N934" s="67"/>
      <c r="O934" s="67"/>
      <c r="P934" s="67"/>
      <c r="Q934" s="67"/>
      <c r="R934" s="67"/>
      <c r="S934" s="67"/>
    </row>
    <row r="935" customFormat="false" ht="12" hidden="false" customHeight="false" outlineLevel="0" collapsed="false">
      <c r="A935" s="67"/>
      <c r="B935" s="67"/>
      <c r="C935" s="67"/>
      <c r="D935" s="67"/>
      <c r="E935" s="67"/>
      <c r="F935" s="67"/>
      <c r="G935" s="67"/>
      <c r="H935" s="67"/>
      <c r="I935" s="67"/>
      <c r="J935" s="67"/>
      <c r="K935" s="67"/>
      <c r="L935" s="67"/>
      <c r="M935" s="67"/>
      <c r="N935" s="67"/>
      <c r="O935" s="67"/>
      <c r="P935" s="67"/>
      <c r="Q935" s="67"/>
      <c r="R935" s="67"/>
      <c r="S935" s="67"/>
    </row>
    <row r="936" customFormat="false" ht="12" hidden="false" customHeight="false" outlineLevel="0" collapsed="false">
      <c r="A936" s="603"/>
      <c r="B936" s="603"/>
      <c r="C936" s="603"/>
      <c r="D936" s="603"/>
      <c r="E936" s="603"/>
      <c r="F936" s="603"/>
      <c r="G936" s="603"/>
      <c r="H936" s="603"/>
      <c r="I936" s="603"/>
      <c r="J936" s="603"/>
      <c r="K936" s="603"/>
      <c r="L936" s="603"/>
      <c r="M936" s="603"/>
      <c r="N936" s="603"/>
      <c r="O936" s="603"/>
      <c r="P936" s="603"/>
      <c r="Q936" s="603"/>
      <c r="R936" s="603"/>
      <c r="S936" s="603"/>
      <c r="T936" s="604"/>
      <c r="U936" s="604"/>
      <c r="V936" s="604"/>
      <c r="W936" s="604"/>
      <c r="X936" s="604"/>
      <c r="Y936" s="604"/>
      <c r="Z936" s="604"/>
      <c r="AA936" s="604"/>
      <c r="AB936" s="604"/>
      <c r="AC936" s="604"/>
    </row>
    <row r="937" customFormat="false" ht="11.25" hidden="false" customHeight="false" outlineLevel="0" collapsed="false">
      <c r="A937" s="605" t="s">
        <v>1118</v>
      </c>
      <c r="B937" s="314"/>
      <c r="C937" s="314"/>
      <c r="D937" s="314"/>
      <c r="E937" s="314"/>
      <c r="F937" s="314"/>
      <c r="G937" s="314"/>
      <c r="H937" s="314"/>
      <c r="I937" s="314"/>
      <c r="J937" s="314"/>
      <c r="K937" s="314"/>
      <c r="L937" s="314"/>
      <c r="M937" s="314"/>
      <c r="N937" s="314"/>
      <c r="O937" s="314"/>
      <c r="P937" s="314"/>
      <c r="Q937" s="314"/>
      <c r="R937" s="314"/>
      <c r="S937" s="314"/>
      <c r="T937" s="323"/>
      <c r="U937" s="323"/>
      <c r="V937" s="323"/>
      <c r="W937" s="323"/>
      <c r="X937" s="323"/>
      <c r="Y937" s="323"/>
      <c r="Z937" s="323"/>
      <c r="AA937" s="323"/>
      <c r="AB937" s="323"/>
      <c r="AC937" s="323"/>
    </row>
    <row r="938" customFormat="false" ht="11.25" hidden="false" customHeight="false" outlineLevel="0" collapsed="false">
      <c r="A938" s="314"/>
      <c r="B938" s="314" t="str">
        <f aca="false">EP!B832</f>
        <v>Revenues (excluding deferred PP revenue)</v>
      </c>
      <c r="C938" s="314"/>
      <c r="D938" s="314"/>
      <c r="E938" s="606" t="n">
        <f aca="false">+EP!E832</f>
        <v>0</v>
      </c>
      <c r="F938" s="606" t="n">
        <f aca="false">+EP!F832</f>
        <v>0</v>
      </c>
      <c r="G938" s="606" t="n">
        <f aca="false">+EP!G832</f>
        <v>0</v>
      </c>
      <c r="H938" s="606" t="n">
        <f aca="false">+EP!H832</f>
        <v>0</v>
      </c>
      <c r="I938" s="606" t="n">
        <f aca="false">+EP!I832</f>
        <v>-515.877565773314</v>
      </c>
      <c r="J938" s="606" t="n">
        <f aca="false">+EP!J832</f>
        <v>-1162.54350654663</v>
      </c>
      <c r="K938" s="606" t="n">
        <f aca="false">+EP!K832</f>
        <v>-1085.45950212042</v>
      </c>
      <c r="L938" s="606" t="n">
        <f aca="false">+EP!L832</f>
        <v>-1027.41601890568</v>
      </c>
      <c r="M938" s="606" t="n">
        <f aca="false">+EP!M832</f>
        <v>-963.056539564255</v>
      </c>
      <c r="N938" s="606" t="n">
        <f aca="false">+EP!N832</f>
        <v>-883.410575541736</v>
      </c>
      <c r="O938" s="606" t="n">
        <f aca="false">+EP!O832</f>
        <v>-772.930292818879</v>
      </c>
      <c r="P938" s="606" t="n">
        <f aca="false">+EP!P832</f>
        <v>-663.985585352189</v>
      </c>
      <c r="Q938" s="606" t="n">
        <f aca="false">+EP!Q832</f>
        <v>-575.554802621274</v>
      </c>
      <c r="R938" s="606" t="n">
        <f aca="false">+EP!R832</f>
        <v>-490.942886245924</v>
      </c>
      <c r="S938" s="606" t="n">
        <f aca="false">+EP!S832</f>
        <v>-415.810547775154</v>
      </c>
      <c r="T938" s="606" t="n">
        <f aca="false">+EP!T832</f>
        <v>-349.231262706301</v>
      </c>
      <c r="U938" s="606" t="n">
        <f aca="false">+EP!U832</f>
        <v>-292.675688653077</v>
      </c>
      <c r="V938" s="606" t="n">
        <f aca="false">+EP!V832</f>
        <v>-240.26942708397</v>
      </c>
      <c r="W938" s="606" t="n">
        <f aca="false">+EP!W832</f>
        <v>-197.011743773664</v>
      </c>
      <c r="X938" s="606" t="n">
        <f aca="false">+EP!X832</f>
        <v>-159.804967193502</v>
      </c>
      <c r="Y938" s="606" t="n">
        <f aca="false">+EP!Y832</f>
        <v>-125.942690582738</v>
      </c>
      <c r="Z938" s="606" t="n">
        <f aca="false">+EP!Z832</f>
        <v>-92.5136274585116</v>
      </c>
      <c r="AA938" s="606" t="n">
        <f aca="false">+EP!AA832</f>
        <v>-70.7513987503899</v>
      </c>
      <c r="AB938" s="606" t="n">
        <f aca="false">+EP!AB832</f>
        <v>-54.431797004145</v>
      </c>
      <c r="AC938" s="606" t="n">
        <f aca="false">+EP!AC832</f>
        <v>-44.9810616418182</v>
      </c>
    </row>
    <row r="939" customFormat="false" ht="11.25" hidden="false" customHeight="false" outlineLevel="0" collapsed="false">
      <c r="A939" s="314"/>
      <c r="B939" s="314" t="str">
        <f aca="false">EP!B833</f>
        <v>Cost of Sales</v>
      </c>
      <c r="C939" s="314"/>
      <c r="D939" s="314"/>
      <c r="E939" s="606" t="n">
        <f aca="false">+EP!E833</f>
        <v>0</v>
      </c>
      <c r="F939" s="606" t="n">
        <f aca="false">+EP!F833</f>
        <v>0</v>
      </c>
      <c r="G939" s="606" t="n">
        <f aca="false">+EP!G833</f>
        <v>0</v>
      </c>
      <c r="H939" s="606" t="n">
        <f aca="false">+EP!H833</f>
        <v>0</v>
      </c>
      <c r="I939" s="606" t="n">
        <f aca="false">+EP!I833</f>
        <v>-37.4717360511448</v>
      </c>
      <c r="J939" s="606" t="n">
        <f aca="false">+EP!J833</f>
        <v>-63.3560026022897</v>
      </c>
      <c r="K939" s="606" t="n">
        <f aca="false">+EP!K833</f>
        <v>-56.2642741950787</v>
      </c>
      <c r="L939" s="606" t="n">
        <f aca="false">+EP!L833</f>
        <v>-50.9242737393223</v>
      </c>
      <c r="M939" s="606" t="n">
        <f aca="false">+EP!M833</f>
        <v>-45.0032016399115</v>
      </c>
      <c r="N939" s="606" t="n">
        <f aca="false">+EP!N833</f>
        <v>-37.6757729498397</v>
      </c>
      <c r="O939" s="606" t="n">
        <f aca="false">+EP!O833</f>
        <v>-27.5115869393369</v>
      </c>
      <c r="P939" s="606" t="n">
        <f aca="false">+EP!P833</f>
        <v>-17.4886738524014</v>
      </c>
      <c r="Q939" s="606" t="n">
        <f aca="false">+EP!Q833</f>
        <v>2.88895815884282</v>
      </c>
      <c r="R939" s="606" t="n">
        <f aca="false">+EP!R833</f>
        <v>13.128254465375</v>
      </c>
      <c r="S939" s="606" t="n">
        <f aca="false">+EP!S833</f>
        <v>1.62142960468582</v>
      </c>
      <c r="T939" s="606" t="n">
        <f aca="false">+EP!T833</f>
        <v>7.74672383102027</v>
      </c>
      <c r="U939" s="606" t="n">
        <f aca="false">+EP!U833</f>
        <v>12.949836643917</v>
      </c>
      <c r="V939" s="606" t="n">
        <f aca="false">+EP!V833</f>
        <v>17.7712127082748</v>
      </c>
      <c r="W939" s="606" t="n">
        <f aca="false">+EP!W833</f>
        <v>1.43191957282293</v>
      </c>
      <c r="X939" s="606" t="n">
        <f aca="false">+EP!X833</f>
        <v>4.85494301819779</v>
      </c>
      <c r="Y939" s="606" t="n">
        <f aca="false">+EP!Y833</f>
        <v>-6.72672753361186</v>
      </c>
      <c r="Z939" s="606" t="n">
        <f aca="false">+EP!Z833</f>
        <v>-8.51125372618306</v>
      </c>
      <c r="AA939" s="606" t="n">
        <f aca="false">+EP!AA833</f>
        <v>-6.50912868503587</v>
      </c>
      <c r="AB939" s="606" t="n">
        <f aca="false">+EP!AB833</f>
        <v>-5.00772532438134</v>
      </c>
      <c r="AC939" s="606" t="n">
        <f aca="false">+EP!AC833</f>
        <v>-4.13825767104727</v>
      </c>
    </row>
    <row r="940" customFormat="false" ht="11.25" hidden="false" customHeight="false" outlineLevel="0" collapsed="false">
      <c r="A940" s="314"/>
      <c r="B940" s="314" t="str">
        <f aca="false">EP!B834</f>
        <v>Cash Expenses</v>
      </c>
      <c r="C940" s="314"/>
      <c r="D940" s="314"/>
      <c r="E940" s="606" t="n">
        <f aca="false">+EP!E834</f>
        <v>0</v>
      </c>
      <c r="F940" s="606" t="n">
        <f aca="false">+EP!F834</f>
        <v>0</v>
      </c>
      <c r="G940" s="606" t="n">
        <f aca="false">+EP!G834</f>
        <v>0</v>
      </c>
      <c r="H940" s="606" t="n">
        <f aca="false">+EP!H834</f>
        <v>0</v>
      </c>
      <c r="I940" s="606" t="n">
        <f aca="false">+EP!I834</f>
        <v>0</v>
      </c>
      <c r="J940" s="606" t="n">
        <f aca="false">+EP!J834</f>
        <v>0</v>
      </c>
      <c r="K940" s="606" t="n">
        <f aca="false">+EP!K834</f>
        <v>0</v>
      </c>
      <c r="L940" s="606" t="n">
        <f aca="false">+EP!L834</f>
        <v>0</v>
      </c>
      <c r="M940" s="606" t="n">
        <f aca="false">+EP!M834</f>
        <v>0</v>
      </c>
      <c r="N940" s="606" t="n">
        <f aca="false">+EP!N834</f>
        <v>0</v>
      </c>
      <c r="O940" s="606" t="n">
        <f aca="false">+EP!O834</f>
        <v>0</v>
      </c>
      <c r="P940" s="606" t="n">
        <f aca="false">+EP!P834</f>
        <v>0</v>
      </c>
      <c r="Q940" s="606" t="n">
        <f aca="false">+EP!Q834</f>
        <v>0</v>
      </c>
      <c r="R940" s="606" t="n">
        <f aca="false">+EP!R834</f>
        <v>0</v>
      </c>
      <c r="S940" s="606" t="n">
        <f aca="false">+EP!S834</f>
        <v>0</v>
      </c>
      <c r="T940" s="606" t="n">
        <f aca="false">+EP!T834</f>
        <v>0</v>
      </c>
      <c r="U940" s="606" t="n">
        <f aca="false">+EP!U834</f>
        <v>0</v>
      </c>
      <c r="V940" s="606" t="n">
        <f aca="false">+EP!V834</f>
        <v>0</v>
      </c>
      <c r="W940" s="606" t="n">
        <f aca="false">+EP!W834</f>
        <v>0</v>
      </c>
      <c r="X940" s="606" t="n">
        <f aca="false">+EP!X834</f>
        <v>0</v>
      </c>
      <c r="Y940" s="606" t="n">
        <f aca="false">+EP!Y834</f>
        <v>0</v>
      </c>
      <c r="Z940" s="606" t="n">
        <f aca="false">+EP!Z834</f>
        <v>0</v>
      </c>
      <c r="AA940" s="606" t="n">
        <f aca="false">+EP!AA834</f>
        <v>0</v>
      </c>
      <c r="AB940" s="606" t="n">
        <f aca="false">+EP!AB834</f>
        <v>0</v>
      </c>
      <c r="AC940" s="606" t="n">
        <f aca="false">+EP!AC834</f>
        <v>0</v>
      </c>
    </row>
    <row r="941" customFormat="false" ht="11.25" hidden="false" customHeight="false" outlineLevel="0" collapsed="false">
      <c r="A941" s="607"/>
      <c r="B941" s="319" t="str">
        <f aca="false">EP!B835</f>
        <v>Capital Expenditures - Total</v>
      </c>
      <c r="C941" s="319"/>
      <c r="D941" s="314"/>
      <c r="E941" s="606" t="n">
        <f aca="false">+EP!E835</f>
        <v>0</v>
      </c>
      <c r="F941" s="606" t="n">
        <f aca="false">+EP!F835</f>
        <v>0</v>
      </c>
      <c r="G941" s="606" t="n">
        <f aca="false">+EP!G835</f>
        <v>0</v>
      </c>
      <c r="H941" s="606" t="n">
        <f aca="false">+EP!H835</f>
        <v>0</v>
      </c>
      <c r="I941" s="606" t="n">
        <f aca="false">+EP!I835</f>
        <v>0</v>
      </c>
      <c r="J941" s="606" t="n">
        <f aca="false">+EP!J835</f>
        <v>0</v>
      </c>
      <c r="K941" s="606" t="n">
        <f aca="false">+EP!K835</f>
        <v>0</v>
      </c>
      <c r="L941" s="606" t="n">
        <f aca="false">+EP!L835</f>
        <v>0</v>
      </c>
      <c r="M941" s="606" t="n">
        <f aca="false">+EP!M835</f>
        <v>0</v>
      </c>
      <c r="N941" s="606" t="n">
        <f aca="false">+EP!N835</f>
        <v>0</v>
      </c>
      <c r="O941" s="606" t="n">
        <f aca="false">+EP!O835</f>
        <v>25.811</v>
      </c>
      <c r="P941" s="606" t="n">
        <f aca="false">+EP!P835</f>
        <v>5.512</v>
      </c>
      <c r="Q941" s="606" t="n">
        <f aca="false">+EP!Q835</f>
        <v>16.2</v>
      </c>
      <c r="R941" s="606" t="n">
        <f aca="false">+EP!R835</f>
        <v>0</v>
      </c>
      <c r="S941" s="606" t="n">
        <f aca="false">+EP!S835</f>
        <v>0</v>
      </c>
      <c r="T941" s="606" t="n">
        <f aca="false">+EP!T835</f>
        <v>0</v>
      </c>
      <c r="U941" s="606" t="n">
        <f aca="false">+EP!U835</f>
        <v>0</v>
      </c>
      <c r="V941" s="606" t="n">
        <f aca="false">+EP!V835</f>
        <v>0</v>
      </c>
      <c r="W941" s="606" t="n">
        <f aca="false">+EP!W835</f>
        <v>0</v>
      </c>
      <c r="X941" s="606" t="n">
        <f aca="false">+EP!X835</f>
        <v>0</v>
      </c>
      <c r="Y941" s="606" t="n">
        <f aca="false">+EP!Y835</f>
        <v>0</v>
      </c>
      <c r="Z941" s="606" t="n">
        <f aca="false">+EP!Z835</f>
        <v>0</v>
      </c>
      <c r="AA941" s="606" t="n">
        <f aca="false">+EP!AA835</f>
        <v>0</v>
      </c>
      <c r="AB941" s="606" t="n">
        <f aca="false">+EP!AB835</f>
        <v>0</v>
      </c>
      <c r="AC941" s="606" t="n">
        <f aca="false">+EP!AC835</f>
        <v>0</v>
      </c>
    </row>
    <row r="942" customFormat="false" ht="11.25" hidden="false" customHeight="false" outlineLevel="0" collapsed="false">
      <c r="A942" s="607"/>
      <c r="B942" s="314" t="str">
        <f aca="false">EP!B836</f>
        <v>Capital Expenditures - Financed by Debt</v>
      </c>
      <c r="C942" s="314"/>
      <c r="D942" s="314"/>
      <c r="E942" s="606" t="n">
        <f aca="false">+EP!E836</f>
        <v>0</v>
      </c>
      <c r="F942" s="606" t="n">
        <f aca="false">+EP!F836</f>
        <v>0</v>
      </c>
      <c r="G942" s="606" t="n">
        <f aca="false">+EP!G836</f>
        <v>0</v>
      </c>
      <c r="H942" s="606" t="n">
        <f aca="false">+EP!H836</f>
        <v>0</v>
      </c>
      <c r="I942" s="606" t="n">
        <f aca="false">+EP!I836</f>
        <v>0</v>
      </c>
      <c r="J942" s="606" t="n">
        <f aca="false">+EP!J836</f>
        <v>0</v>
      </c>
      <c r="K942" s="606" t="n">
        <f aca="false">+EP!K836</f>
        <v>0</v>
      </c>
      <c r="L942" s="606" t="n">
        <f aca="false">+EP!L836</f>
        <v>0</v>
      </c>
      <c r="M942" s="606" t="n">
        <f aca="false">+EP!M836</f>
        <v>0</v>
      </c>
      <c r="N942" s="606" t="n">
        <f aca="false">+EP!N836</f>
        <v>0</v>
      </c>
      <c r="O942" s="606" t="n">
        <f aca="false">+EP!O836</f>
        <v>0</v>
      </c>
      <c r="P942" s="606" t="n">
        <f aca="false">+EP!P836</f>
        <v>0</v>
      </c>
      <c r="Q942" s="606" t="n">
        <f aca="false">+EP!Q836</f>
        <v>0</v>
      </c>
      <c r="R942" s="606" t="n">
        <f aca="false">+EP!R836</f>
        <v>0</v>
      </c>
      <c r="S942" s="606" t="n">
        <f aca="false">+EP!S836</f>
        <v>0</v>
      </c>
      <c r="T942" s="606" t="n">
        <f aca="false">+EP!T836</f>
        <v>0</v>
      </c>
      <c r="U942" s="606" t="n">
        <f aca="false">+EP!U836</f>
        <v>0</v>
      </c>
      <c r="V942" s="606" t="n">
        <f aca="false">+EP!V836</f>
        <v>0</v>
      </c>
      <c r="W942" s="606" t="n">
        <f aca="false">+EP!W836</f>
        <v>0</v>
      </c>
      <c r="X942" s="606" t="n">
        <f aca="false">+EP!X836</f>
        <v>0</v>
      </c>
      <c r="Y942" s="606" t="n">
        <f aca="false">+EP!Y836</f>
        <v>0</v>
      </c>
      <c r="Z942" s="606" t="n">
        <f aca="false">+EP!Z836</f>
        <v>0</v>
      </c>
      <c r="AA942" s="606" t="n">
        <f aca="false">+EP!AA836</f>
        <v>0</v>
      </c>
      <c r="AB942" s="606" t="n">
        <f aca="false">+EP!AB836</f>
        <v>0</v>
      </c>
      <c r="AC942" s="606" t="n">
        <f aca="false">+EP!AC836</f>
        <v>0</v>
      </c>
    </row>
    <row r="943" customFormat="false" ht="11.25" hidden="false" customHeight="false" outlineLevel="0" collapsed="false">
      <c r="A943" s="607"/>
      <c r="B943" s="314" t="s">
        <v>348</v>
      </c>
      <c r="C943" s="314"/>
      <c r="D943" s="314"/>
      <c r="E943" s="606" t="n">
        <f aca="false">+EP!E837</f>
        <v>0</v>
      </c>
      <c r="F943" s="606" t="n">
        <f aca="false">+EP!F837</f>
        <v>0</v>
      </c>
      <c r="G943" s="606" t="n">
        <f aca="false">+EP!G837</f>
        <v>0</v>
      </c>
      <c r="H943" s="606" t="n">
        <f aca="false">+EP!H837</f>
        <v>0</v>
      </c>
      <c r="I943" s="606" t="n">
        <f aca="false">+EP!I837</f>
        <v>0</v>
      </c>
      <c r="J943" s="606" t="n">
        <f aca="false">+EP!J837</f>
        <v>0</v>
      </c>
      <c r="K943" s="606" t="n">
        <f aca="false">+EP!K837</f>
        <v>0</v>
      </c>
      <c r="L943" s="606" t="n">
        <f aca="false">+EP!L837</f>
        <v>0</v>
      </c>
      <c r="M943" s="606" t="n">
        <f aca="false">+EP!M837</f>
        <v>0</v>
      </c>
      <c r="N943" s="606" t="n">
        <f aca="false">+EP!N837</f>
        <v>0</v>
      </c>
      <c r="O943" s="606" t="n">
        <f aca="false">+EP!O837</f>
        <v>0</v>
      </c>
      <c r="P943" s="606" t="n">
        <f aca="false">+EP!P837</f>
        <v>0</v>
      </c>
      <c r="Q943" s="606" t="n">
        <f aca="false">+EP!Q837</f>
        <v>0</v>
      </c>
      <c r="R943" s="606" t="n">
        <f aca="false">+EP!R837</f>
        <v>0</v>
      </c>
      <c r="S943" s="606" t="n">
        <f aca="false">+EP!S837</f>
        <v>0</v>
      </c>
      <c r="T943" s="606" t="n">
        <f aca="false">+EP!T837</f>
        <v>0</v>
      </c>
      <c r="U943" s="606" t="n">
        <f aca="false">+EP!U837</f>
        <v>0</v>
      </c>
      <c r="V943" s="606" t="n">
        <f aca="false">+EP!V837</f>
        <v>0</v>
      </c>
      <c r="W943" s="606" t="n">
        <f aca="false">+EP!W837</f>
        <v>0</v>
      </c>
      <c r="X943" s="606" t="n">
        <f aca="false">+EP!X837</f>
        <v>0</v>
      </c>
      <c r="Y943" s="606" t="n">
        <f aca="false">+EP!Y837</f>
        <v>0</v>
      </c>
      <c r="Z943" s="606" t="n">
        <f aca="false">+EP!Z837</f>
        <v>0</v>
      </c>
      <c r="AA943" s="606" t="n">
        <f aca="false">+EP!AA837</f>
        <v>0</v>
      </c>
      <c r="AB943" s="606" t="n">
        <f aca="false">+EP!AB837</f>
        <v>0</v>
      </c>
      <c r="AC943" s="606" t="n">
        <f aca="false">+EP!AC837</f>
        <v>0</v>
      </c>
    </row>
    <row r="944" customFormat="false" ht="11.25" hidden="false" customHeight="false" outlineLevel="0" collapsed="false">
      <c r="A944" s="314"/>
      <c r="B944" s="320" t="str">
        <f aca="false">EP!B838</f>
        <v>Capitalized Costs</v>
      </c>
      <c r="C944" s="320"/>
      <c r="D944" s="314"/>
      <c r="E944" s="606" t="n">
        <f aca="false">+EP!E838</f>
        <v>0</v>
      </c>
      <c r="F944" s="606" t="n">
        <f aca="false">+EP!F838</f>
        <v>0</v>
      </c>
      <c r="G944" s="606" t="n">
        <f aca="false">+EP!G838</f>
        <v>0</v>
      </c>
      <c r="H944" s="606" t="n">
        <f aca="false">+EP!H838</f>
        <v>0</v>
      </c>
      <c r="I944" s="606" t="n">
        <f aca="false">+EP!I838</f>
        <v>0</v>
      </c>
      <c r="J944" s="606" t="n">
        <f aca="false">+EP!J838</f>
        <v>0</v>
      </c>
      <c r="K944" s="606" t="n">
        <f aca="false">+EP!K838</f>
        <v>0</v>
      </c>
      <c r="L944" s="606" t="n">
        <f aca="false">+EP!L838</f>
        <v>0</v>
      </c>
      <c r="M944" s="606" t="n">
        <f aca="false">+EP!M838</f>
        <v>0</v>
      </c>
      <c r="N944" s="606" t="n">
        <f aca="false">+EP!N838</f>
        <v>0</v>
      </c>
      <c r="O944" s="606" t="n">
        <f aca="false">+EP!O838</f>
        <v>0</v>
      </c>
      <c r="P944" s="606" t="n">
        <f aca="false">+EP!P838</f>
        <v>0</v>
      </c>
      <c r="Q944" s="606" t="n">
        <f aca="false">+EP!Q838</f>
        <v>0</v>
      </c>
      <c r="R944" s="606" t="n">
        <f aca="false">+EP!R838</f>
        <v>0</v>
      </c>
      <c r="S944" s="606" t="n">
        <f aca="false">+EP!S838</f>
        <v>0</v>
      </c>
      <c r="T944" s="606" t="n">
        <f aca="false">+EP!T838</f>
        <v>0</v>
      </c>
      <c r="U944" s="606" t="n">
        <f aca="false">+EP!U838</f>
        <v>0</v>
      </c>
      <c r="V944" s="606" t="n">
        <f aca="false">+EP!V838</f>
        <v>0</v>
      </c>
      <c r="W944" s="606" t="n">
        <f aca="false">+EP!W838</f>
        <v>0</v>
      </c>
      <c r="X944" s="606" t="n">
        <f aca="false">+EP!X838</f>
        <v>0</v>
      </c>
      <c r="Y944" s="606" t="n">
        <f aca="false">+EP!Y838</f>
        <v>0</v>
      </c>
      <c r="Z944" s="606" t="n">
        <f aca="false">+EP!Z838</f>
        <v>0</v>
      </c>
      <c r="AA944" s="606" t="n">
        <f aca="false">+EP!AA838</f>
        <v>0</v>
      </c>
      <c r="AB944" s="606" t="n">
        <f aca="false">+EP!AB838</f>
        <v>0</v>
      </c>
      <c r="AC944" s="606" t="n">
        <f aca="false">+EP!AC838</f>
        <v>0</v>
      </c>
    </row>
    <row r="945" customFormat="false" ht="11.25" hidden="false" customHeight="false" outlineLevel="0" collapsed="false">
      <c r="A945" s="314"/>
      <c r="B945" s="314" t="str">
        <f aca="false">EP!B839</f>
        <v>Depreciation Expense - Book</v>
      </c>
      <c r="C945" s="314"/>
      <c r="D945" s="314"/>
      <c r="E945" s="606" t="n">
        <f aca="false">+EP!E839</f>
        <v>0</v>
      </c>
      <c r="F945" s="606" t="n">
        <f aca="false">+EP!F839</f>
        <v>0</v>
      </c>
      <c r="G945" s="606" t="n">
        <f aca="false">+EP!G839</f>
        <v>0</v>
      </c>
      <c r="H945" s="606" t="n">
        <f aca="false">+EP!H839</f>
        <v>0</v>
      </c>
      <c r="I945" s="606" t="n">
        <f aca="false">+EP!I839</f>
        <v>0</v>
      </c>
      <c r="J945" s="606" t="n">
        <f aca="false">+EP!J839</f>
        <v>0</v>
      </c>
      <c r="K945" s="606" t="n">
        <f aca="false">+EP!K839</f>
        <v>0</v>
      </c>
      <c r="L945" s="606" t="n">
        <f aca="false">+EP!L839</f>
        <v>0</v>
      </c>
      <c r="M945" s="606" t="n">
        <f aca="false">+EP!M839</f>
        <v>0</v>
      </c>
      <c r="N945" s="606" t="n">
        <f aca="false">+EP!N839</f>
        <v>0</v>
      </c>
      <c r="O945" s="606" t="n">
        <f aca="false">+EP!O839</f>
        <v>0</v>
      </c>
      <c r="P945" s="606" t="n">
        <f aca="false">+EP!P839</f>
        <v>0</v>
      </c>
      <c r="Q945" s="606" t="n">
        <f aca="false">+EP!Q839</f>
        <v>0</v>
      </c>
      <c r="R945" s="606" t="n">
        <f aca="false">+EP!R839</f>
        <v>0</v>
      </c>
      <c r="S945" s="606" t="n">
        <f aca="false">+EP!S839</f>
        <v>0</v>
      </c>
      <c r="T945" s="606" t="n">
        <f aca="false">+EP!T839</f>
        <v>0</v>
      </c>
      <c r="U945" s="606" t="n">
        <f aca="false">+EP!U839</f>
        <v>0</v>
      </c>
      <c r="V945" s="606" t="n">
        <f aca="false">+EP!V839</f>
        <v>0</v>
      </c>
      <c r="W945" s="606" t="n">
        <f aca="false">+EP!W839</f>
        <v>0</v>
      </c>
      <c r="X945" s="606" t="n">
        <f aca="false">+EP!X839</f>
        <v>0</v>
      </c>
      <c r="Y945" s="606" t="n">
        <f aca="false">+EP!Y839</f>
        <v>0</v>
      </c>
      <c r="Z945" s="606" t="n">
        <f aca="false">+EP!Z839</f>
        <v>0</v>
      </c>
      <c r="AA945" s="606" t="n">
        <f aca="false">+EP!AA839</f>
        <v>0</v>
      </c>
      <c r="AB945" s="606" t="n">
        <f aca="false">+EP!AB839</f>
        <v>0</v>
      </c>
      <c r="AC945" s="606" t="n">
        <f aca="false">+EP!AC839</f>
        <v>0</v>
      </c>
    </row>
    <row r="946" customFormat="false" ht="11.25" hidden="false" customHeight="false" outlineLevel="0" collapsed="false">
      <c r="A946" s="314"/>
      <c r="B946" s="314" t="str">
        <f aca="false">EP!B840</f>
        <v>Depreciation Expense - Tax</v>
      </c>
      <c r="C946" s="314"/>
      <c r="D946" s="314"/>
      <c r="E946" s="606" t="n">
        <f aca="false">+EP!E840</f>
        <v>0</v>
      </c>
      <c r="F946" s="606" t="n">
        <f aca="false">+EP!F840</f>
        <v>0</v>
      </c>
      <c r="G946" s="606" t="n">
        <f aca="false">+EP!G840</f>
        <v>0</v>
      </c>
      <c r="H946" s="606" t="n">
        <f aca="false">+EP!H840</f>
        <v>0</v>
      </c>
      <c r="I946" s="606" t="n">
        <f aca="false">+EP!I840</f>
        <v>0</v>
      </c>
      <c r="J946" s="606" t="n">
        <f aca="false">+EP!J840</f>
        <v>0</v>
      </c>
      <c r="K946" s="606" t="n">
        <f aca="false">+EP!K840</f>
        <v>0</v>
      </c>
      <c r="L946" s="606" t="n">
        <f aca="false">+EP!L840</f>
        <v>0</v>
      </c>
      <c r="M946" s="606" t="n">
        <f aca="false">+EP!M840</f>
        <v>0</v>
      </c>
      <c r="N946" s="606" t="n">
        <f aca="false">+EP!N840</f>
        <v>0</v>
      </c>
      <c r="O946" s="606" t="n">
        <f aca="false">+EP!O840</f>
        <v>0</v>
      </c>
      <c r="P946" s="606" t="n">
        <f aca="false">+EP!P840</f>
        <v>0</v>
      </c>
      <c r="Q946" s="606" t="n">
        <f aca="false">+EP!Q840</f>
        <v>0</v>
      </c>
      <c r="R946" s="606" t="n">
        <f aca="false">+EP!R840</f>
        <v>0</v>
      </c>
      <c r="S946" s="606" t="n">
        <f aca="false">+EP!S840</f>
        <v>0</v>
      </c>
      <c r="T946" s="606" t="n">
        <f aca="false">+EP!T840</f>
        <v>0</v>
      </c>
      <c r="U946" s="606" t="n">
        <f aca="false">+EP!U840</f>
        <v>0</v>
      </c>
      <c r="V946" s="606" t="n">
        <f aca="false">+EP!V840</f>
        <v>0</v>
      </c>
      <c r="W946" s="606" t="n">
        <f aca="false">+EP!W840</f>
        <v>0</v>
      </c>
      <c r="X946" s="606" t="n">
        <f aca="false">+EP!X840</f>
        <v>0</v>
      </c>
      <c r="Y946" s="606" t="n">
        <f aca="false">+EP!Y840</f>
        <v>0</v>
      </c>
      <c r="Z946" s="606" t="n">
        <f aca="false">+EP!Z840</f>
        <v>0</v>
      </c>
      <c r="AA946" s="606" t="n">
        <f aca="false">+EP!AA840</f>
        <v>0</v>
      </c>
      <c r="AB946" s="606" t="n">
        <f aca="false">+EP!AB840</f>
        <v>0</v>
      </c>
      <c r="AC946" s="606" t="n">
        <f aca="false">+EP!AC840</f>
        <v>0</v>
      </c>
    </row>
    <row r="947" customFormat="false" ht="11.25" hidden="false" customHeight="false" outlineLevel="0" collapsed="false">
      <c r="A947" s="314"/>
      <c r="B947" s="314" t="str">
        <f aca="false">EP!B841</f>
        <v>Depreciation Expense - AMT</v>
      </c>
      <c r="C947" s="314"/>
      <c r="D947" s="314"/>
      <c r="E947" s="606" t="n">
        <f aca="false">+EP!E841</f>
        <v>0</v>
      </c>
      <c r="F947" s="606" t="n">
        <f aca="false">+EP!F841</f>
        <v>0</v>
      </c>
      <c r="G947" s="606" t="n">
        <f aca="false">+EP!G841</f>
        <v>0</v>
      </c>
      <c r="H947" s="606" t="n">
        <f aca="false">+EP!H841</f>
        <v>0</v>
      </c>
      <c r="I947" s="606" t="n">
        <f aca="false">+EP!I841</f>
        <v>0</v>
      </c>
      <c r="J947" s="606" t="n">
        <f aca="false">+EP!J841</f>
        <v>0</v>
      </c>
      <c r="K947" s="606" t="n">
        <f aca="false">+EP!K841</f>
        <v>0</v>
      </c>
      <c r="L947" s="606" t="n">
        <f aca="false">+EP!L841</f>
        <v>0</v>
      </c>
      <c r="M947" s="606" t="n">
        <f aca="false">+EP!M841</f>
        <v>0</v>
      </c>
      <c r="N947" s="606" t="n">
        <f aca="false">+EP!N841</f>
        <v>0</v>
      </c>
      <c r="O947" s="606" t="n">
        <f aca="false">+EP!O841</f>
        <v>0</v>
      </c>
      <c r="P947" s="606" t="n">
        <f aca="false">+EP!P841</f>
        <v>0</v>
      </c>
      <c r="Q947" s="606" t="n">
        <f aca="false">+EP!Q841</f>
        <v>0</v>
      </c>
      <c r="R947" s="606" t="n">
        <f aca="false">+EP!R841</f>
        <v>0</v>
      </c>
      <c r="S947" s="606" t="n">
        <f aca="false">+EP!S841</f>
        <v>0</v>
      </c>
      <c r="T947" s="606" t="n">
        <f aca="false">+EP!T841</f>
        <v>0</v>
      </c>
      <c r="U947" s="606" t="n">
        <f aca="false">+EP!U841</f>
        <v>0</v>
      </c>
      <c r="V947" s="606" t="n">
        <f aca="false">+EP!V841</f>
        <v>0</v>
      </c>
      <c r="W947" s="606" t="n">
        <f aca="false">+EP!W841</f>
        <v>0</v>
      </c>
      <c r="X947" s="606" t="n">
        <f aca="false">+EP!X841</f>
        <v>0</v>
      </c>
      <c r="Y947" s="606" t="n">
        <f aca="false">+EP!Y841</f>
        <v>0</v>
      </c>
      <c r="Z947" s="606" t="n">
        <f aca="false">+EP!Z841</f>
        <v>0</v>
      </c>
      <c r="AA947" s="606" t="n">
        <f aca="false">+EP!AA841</f>
        <v>0</v>
      </c>
      <c r="AB947" s="606" t="n">
        <f aca="false">+EP!AB841</f>
        <v>0</v>
      </c>
      <c r="AC947" s="606" t="n">
        <f aca="false">+EP!AC841</f>
        <v>0</v>
      </c>
    </row>
    <row r="948" customFormat="false" ht="11.25" hidden="false" customHeight="false" outlineLevel="0" collapsed="false">
      <c r="A948" s="314"/>
      <c r="B948" s="314" t="str">
        <f aca="false">EP!B842</f>
        <v>Amortization of Intangibles - Book</v>
      </c>
      <c r="C948" s="314"/>
      <c r="D948" s="314"/>
      <c r="E948" s="606" t="n">
        <f aca="false">+EP!E842</f>
        <v>0</v>
      </c>
      <c r="F948" s="606" t="n">
        <f aca="false">+EP!F842</f>
        <v>0</v>
      </c>
      <c r="G948" s="606" t="n">
        <f aca="false">+EP!G842</f>
        <v>0</v>
      </c>
      <c r="H948" s="606" t="n">
        <f aca="false">+EP!H842</f>
        <v>0</v>
      </c>
      <c r="I948" s="606" t="n">
        <f aca="false">+EP!I842</f>
        <v>0</v>
      </c>
      <c r="J948" s="606" t="n">
        <f aca="false">+EP!J842</f>
        <v>0</v>
      </c>
      <c r="K948" s="606" t="n">
        <f aca="false">+EP!K842</f>
        <v>0</v>
      </c>
      <c r="L948" s="606" t="n">
        <f aca="false">+EP!L842</f>
        <v>0</v>
      </c>
      <c r="M948" s="606" t="n">
        <f aca="false">+EP!M842</f>
        <v>0</v>
      </c>
      <c r="N948" s="606" t="n">
        <f aca="false">+EP!N842</f>
        <v>0</v>
      </c>
      <c r="O948" s="606" t="n">
        <f aca="false">+EP!O842</f>
        <v>0</v>
      </c>
      <c r="P948" s="606" t="n">
        <f aca="false">+EP!P842</f>
        <v>0</v>
      </c>
      <c r="Q948" s="606" t="n">
        <f aca="false">+EP!Q842</f>
        <v>0</v>
      </c>
      <c r="R948" s="606" t="n">
        <f aca="false">+EP!R842</f>
        <v>0</v>
      </c>
      <c r="S948" s="606" t="n">
        <f aca="false">+EP!S842</f>
        <v>0</v>
      </c>
      <c r="T948" s="606" t="n">
        <f aca="false">+EP!T842</f>
        <v>0</v>
      </c>
      <c r="U948" s="606" t="n">
        <f aca="false">+EP!U842</f>
        <v>0</v>
      </c>
      <c r="V948" s="606" t="n">
        <f aca="false">+EP!V842</f>
        <v>0</v>
      </c>
      <c r="W948" s="606" t="n">
        <f aca="false">+EP!W842</f>
        <v>0</v>
      </c>
      <c r="X948" s="606" t="n">
        <f aca="false">+EP!X842</f>
        <v>0</v>
      </c>
      <c r="Y948" s="606" t="n">
        <f aca="false">+EP!Y842</f>
        <v>0</v>
      </c>
      <c r="Z948" s="606" t="n">
        <f aca="false">+EP!Z842</f>
        <v>0</v>
      </c>
      <c r="AA948" s="606" t="n">
        <f aca="false">+EP!AA842</f>
        <v>0</v>
      </c>
      <c r="AB948" s="606" t="n">
        <f aca="false">+EP!AB842</f>
        <v>0</v>
      </c>
      <c r="AC948" s="606" t="n">
        <f aca="false">+EP!AC842</f>
        <v>0</v>
      </c>
    </row>
    <row r="949" customFormat="false" ht="11.25" hidden="false" customHeight="false" outlineLevel="0" collapsed="false">
      <c r="A949" s="314"/>
      <c r="B949" s="314" t="str">
        <f aca="false">EP!B843</f>
        <v>Amortization of Intangibles - Tax</v>
      </c>
      <c r="C949" s="314"/>
      <c r="D949" s="314"/>
      <c r="E949" s="606" t="n">
        <f aca="false">+EP!E843</f>
        <v>0</v>
      </c>
      <c r="F949" s="606" t="n">
        <f aca="false">+EP!F843</f>
        <v>0</v>
      </c>
      <c r="G949" s="606" t="n">
        <f aca="false">+EP!G843</f>
        <v>0</v>
      </c>
      <c r="H949" s="606" t="n">
        <f aca="false">+EP!H843</f>
        <v>0</v>
      </c>
      <c r="I949" s="606" t="n">
        <f aca="false">+EP!I843</f>
        <v>0</v>
      </c>
      <c r="J949" s="606" t="n">
        <f aca="false">+EP!J843</f>
        <v>0</v>
      </c>
      <c r="K949" s="606" t="n">
        <f aca="false">+EP!K843</f>
        <v>0</v>
      </c>
      <c r="L949" s="606" t="n">
        <f aca="false">+EP!L843</f>
        <v>0</v>
      </c>
      <c r="M949" s="606" t="n">
        <f aca="false">+EP!M843</f>
        <v>0</v>
      </c>
      <c r="N949" s="606" t="n">
        <f aca="false">+EP!N843</f>
        <v>0</v>
      </c>
      <c r="O949" s="606" t="n">
        <f aca="false">+EP!O843</f>
        <v>0</v>
      </c>
      <c r="P949" s="606" t="n">
        <f aca="false">+EP!P843</f>
        <v>0</v>
      </c>
      <c r="Q949" s="606" t="n">
        <f aca="false">+EP!Q843</f>
        <v>0</v>
      </c>
      <c r="R949" s="606" t="n">
        <f aca="false">+EP!R843</f>
        <v>0</v>
      </c>
      <c r="S949" s="606" t="n">
        <f aca="false">+EP!S843</f>
        <v>0</v>
      </c>
      <c r="T949" s="606" t="n">
        <f aca="false">+EP!T843</f>
        <v>0</v>
      </c>
      <c r="U949" s="606" t="n">
        <f aca="false">+EP!U843</f>
        <v>0</v>
      </c>
      <c r="V949" s="606" t="n">
        <f aca="false">+EP!V843</f>
        <v>0</v>
      </c>
      <c r="W949" s="606" t="n">
        <f aca="false">+EP!W843</f>
        <v>0</v>
      </c>
      <c r="X949" s="606" t="n">
        <f aca="false">+EP!X843</f>
        <v>0</v>
      </c>
      <c r="Y949" s="606" t="n">
        <f aca="false">+EP!Y843</f>
        <v>0</v>
      </c>
      <c r="Z949" s="606" t="n">
        <f aca="false">+EP!Z843</f>
        <v>0</v>
      </c>
      <c r="AA949" s="606" t="n">
        <f aca="false">+EP!AA843</f>
        <v>0</v>
      </c>
      <c r="AB949" s="606" t="n">
        <f aca="false">+EP!AB843</f>
        <v>0</v>
      </c>
      <c r="AC949" s="606" t="n">
        <f aca="false">+EP!AC843</f>
        <v>0</v>
      </c>
    </row>
    <row r="950" customFormat="false" ht="11.25" hidden="false" customHeight="false" outlineLevel="0" collapsed="false">
      <c r="A950" s="314"/>
      <c r="B950" s="314"/>
      <c r="C950" s="314"/>
      <c r="D950" s="314"/>
      <c r="E950" s="606"/>
      <c r="F950" s="606"/>
      <c r="G950" s="606"/>
      <c r="H950" s="606"/>
      <c r="I950" s="606"/>
      <c r="J950" s="606"/>
      <c r="K950" s="606"/>
      <c r="L950" s="606"/>
      <c r="M950" s="606"/>
      <c r="N950" s="606"/>
      <c r="O950" s="606"/>
      <c r="P950" s="606"/>
      <c r="Q950" s="606"/>
      <c r="R950" s="606"/>
      <c r="S950" s="606"/>
      <c r="T950" s="606"/>
      <c r="U950" s="606"/>
      <c r="V950" s="606"/>
      <c r="W950" s="606"/>
      <c r="X950" s="606"/>
      <c r="Y950" s="606"/>
      <c r="Z950" s="606"/>
      <c r="AA950" s="606"/>
      <c r="AB950" s="606"/>
      <c r="AC950" s="606"/>
    </row>
    <row r="951" customFormat="false" ht="11.25" hidden="false" customHeight="false" outlineLevel="0" collapsed="false">
      <c r="A951" s="314"/>
      <c r="B951" s="608" t="s">
        <v>1119</v>
      </c>
      <c r="C951" s="314"/>
      <c r="D951" s="314"/>
      <c r="E951" s="606"/>
      <c r="F951" s="606"/>
      <c r="G951" s="606"/>
      <c r="H951" s="606"/>
      <c r="I951" s="606"/>
      <c r="J951" s="606"/>
      <c r="K951" s="606"/>
      <c r="L951" s="606"/>
      <c r="M951" s="606"/>
      <c r="N951" s="606"/>
      <c r="O951" s="606"/>
      <c r="P951" s="606"/>
      <c r="Q951" s="606"/>
      <c r="R951" s="606"/>
      <c r="S951" s="606"/>
      <c r="T951" s="606"/>
      <c r="U951" s="606"/>
      <c r="V951" s="606"/>
      <c r="W951" s="606"/>
      <c r="X951" s="606"/>
      <c r="Y951" s="606"/>
      <c r="Z951" s="606"/>
      <c r="AA951" s="606"/>
      <c r="AB951" s="606"/>
      <c r="AC951" s="606"/>
    </row>
    <row r="952" customFormat="false" ht="11.25" hidden="false" customHeight="false" outlineLevel="0" collapsed="false">
      <c r="A952" s="314"/>
      <c r="B952" s="314" t="str">
        <f aca="false">EP!B846</f>
        <v>Cap. Exp. for Oil &amp; Gas Reserves</v>
      </c>
      <c r="C952" s="314"/>
      <c r="D952" s="314"/>
      <c r="E952" s="606" t="n">
        <f aca="false">+EP!E846</f>
        <v>0</v>
      </c>
      <c r="F952" s="606" t="n">
        <f aca="false">+EP!F846</f>
        <v>0</v>
      </c>
      <c r="G952" s="606" t="n">
        <f aca="false">+EP!G846</f>
        <v>0</v>
      </c>
      <c r="H952" s="606" t="n">
        <f aca="false">+EP!H846</f>
        <v>0</v>
      </c>
      <c r="I952" s="606" t="n">
        <f aca="false">+EP!I846</f>
        <v>0</v>
      </c>
      <c r="J952" s="606" t="n">
        <f aca="false">+EP!J846</f>
        <v>0</v>
      </c>
      <c r="K952" s="606" t="n">
        <f aca="false">+EP!K846</f>
        <v>0</v>
      </c>
      <c r="L952" s="606" t="n">
        <f aca="false">+EP!L846</f>
        <v>0</v>
      </c>
      <c r="M952" s="606" t="n">
        <f aca="false">+EP!M846</f>
        <v>0</v>
      </c>
      <c r="N952" s="606" t="n">
        <f aca="false">+EP!N846</f>
        <v>0</v>
      </c>
      <c r="O952" s="606" t="n">
        <f aca="false">+EP!O846</f>
        <v>25.811</v>
      </c>
      <c r="P952" s="606" t="n">
        <f aca="false">+EP!P846</f>
        <v>5.512</v>
      </c>
      <c r="Q952" s="606" t="n">
        <f aca="false">+EP!Q846</f>
        <v>16.2</v>
      </c>
      <c r="R952" s="606" t="n">
        <f aca="false">+EP!R846</f>
        <v>0</v>
      </c>
      <c r="S952" s="606" t="n">
        <f aca="false">+EP!S846</f>
        <v>0</v>
      </c>
      <c r="T952" s="606" t="n">
        <f aca="false">+EP!T846</f>
        <v>0</v>
      </c>
      <c r="U952" s="606" t="n">
        <f aca="false">+EP!U846</f>
        <v>0</v>
      </c>
      <c r="V952" s="606" t="n">
        <f aca="false">+EP!V846</f>
        <v>0</v>
      </c>
      <c r="W952" s="606" t="n">
        <f aca="false">+EP!W846</f>
        <v>0</v>
      </c>
      <c r="X952" s="606" t="n">
        <f aca="false">+EP!X846</f>
        <v>0</v>
      </c>
      <c r="Y952" s="606" t="n">
        <f aca="false">+EP!Y846</f>
        <v>0</v>
      </c>
      <c r="Z952" s="606" t="n">
        <f aca="false">+EP!Z846</f>
        <v>0</v>
      </c>
      <c r="AA952" s="606" t="n">
        <f aca="false">+EP!AA846</f>
        <v>0</v>
      </c>
      <c r="AB952" s="606" t="n">
        <f aca="false">+EP!AB846</f>
        <v>0</v>
      </c>
      <c r="AC952" s="606" t="n">
        <f aca="false">+EP!AC846</f>
        <v>0</v>
      </c>
    </row>
    <row r="953" customFormat="false" ht="11.25" hidden="false" customHeight="false" outlineLevel="0" collapsed="false">
      <c r="A953" s="314"/>
      <c r="B953" s="314" t="str">
        <f aca="false">EP!B847</f>
        <v>Cap. Exp. for Oil &amp; Gas Reserves - Class B only</v>
      </c>
      <c r="C953" s="314"/>
      <c r="D953" s="314"/>
      <c r="E953" s="606" t="n">
        <f aca="false">+EP!E847</f>
        <v>0</v>
      </c>
      <c r="F953" s="606" t="n">
        <f aca="false">+EP!F847</f>
        <v>0</v>
      </c>
      <c r="G953" s="606" t="n">
        <f aca="false">+EP!G847</f>
        <v>0</v>
      </c>
      <c r="H953" s="606" t="n">
        <f aca="false">+EP!H847</f>
        <v>0</v>
      </c>
      <c r="I953" s="606" t="n">
        <f aca="false">+EP!I847</f>
        <v>0</v>
      </c>
      <c r="J953" s="606" t="n">
        <f aca="false">+EP!J847</f>
        <v>0</v>
      </c>
      <c r="K953" s="606" t="n">
        <f aca="false">+EP!K847</f>
        <v>0</v>
      </c>
      <c r="L953" s="606" t="n">
        <f aca="false">+EP!L847</f>
        <v>0</v>
      </c>
      <c r="M953" s="606" t="n">
        <f aca="false">+EP!M847</f>
        <v>0</v>
      </c>
      <c r="N953" s="606" t="n">
        <f aca="false">+EP!N847</f>
        <v>0</v>
      </c>
      <c r="O953" s="606" t="n">
        <f aca="false">+EP!O847</f>
        <v>0</v>
      </c>
      <c r="P953" s="606" t="n">
        <f aca="false">+EP!P847</f>
        <v>0</v>
      </c>
      <c r="Q953" s="606" t="n">
        <f aca="false">+EP!Q847</f>
        <v>0</v>
      </c>
      <c r="R953" s="606" t="n">
        <f aca="false">+EP!R847</f>
        <v>0</v>
      </c>
      <c r="S953" s="606" t="n">
        <f aca="false">+EP!S847</f>
        <v>0</v>
      </c>
      <c r="T953" s="606" t="n">
        <f aca="false">+EP!T847</f>
        <v>0</v>
      </c>
      <c r="U953" s="606" t="n">
        <f aca="false">+EP!U847</f>
        <v>0</v>
      </c>
      <c r="V953" s="606" t="n">
        <f aca="false">+EP!V847</f>
        <v>0</v>
      </c>
      <c r="W953" s="606" t="n">
        <f aca="false">+EP!W847</f>
        <v>0</v>
      </c>
      <c r="X953" s="606" t="n">
        <f aca="false">+EP!X847</f>
        <v>0</v>
      </c>
      <c r="Y953" s="606" t="n">
        <f aca="false">+EP!Y847</f>
        <v>0</v>
      </c>
      <c r="Z953" s="606" t="n">
        <f aca="false">+EP!Z847</f>
        <v>0</v>
      </c>
      <c r="AA953" s="606" t="n">
        <f aca="false">+EP!AA847</f>
        <v>0</v>
      </c>
      <c r="AB953" s="606" t="n">
        <f aca="false">+EP!AB847</f>
        <v>0</v>
      </c>
      <c r="AC953" s="606" t="n">
        <f aca="false">+EP!AC847</f>
        <v>0</v>
      </c>
    </row>
    <row r="954" customFormat="false" ht="11.25" hidden="false" customHeight="false" outlineLevel="0" collapsed="false">
      <c r="A954" s="314"/>
      <c r="B954" s="314" t="str">
        <f aca="false">EP!B848</f>
        <v>Depletion - Book</v>
      </c>
      <c r="C954" s="314"/>
      <c r="D954" s="314"/>
      <c r="E954" s="606" t="n">
        <f aca="false">+EP!E848</f>
        <v>0</v>
      </c>
      <c r="F954" s="606" t="n">
        <f aca="false">+EP!F848</f>
        <v>0</v>
      </c>
      <c r="G954" s="606" t="n">
        <f aca="false">+EP!G848</f>
        <v>0</v>
      </c>
      <c r="H954" s="606" t="n">
        <f aca="false">+EP!H848</f>
        <v>0</v>
      </c>
      <c r="I954" s="606" t="n">
        <f aca="false">+EP!I848</f>
        <v>0</v>
      </c>
      <c r="J954" s="606" t="n">
        <f aca="false">+EP!J848</f>
        <v>0</v>
      </c>
      <c r="K954" s="606" t="n">
        <f aca="false">+EP!K848</f>
        <v>0</v>
      </c>
      <c r="L954" s="606" t="n">
        <f aca="false">+EP!L848</f>
        <v>0</v>
      </c>
      <c r="M954" s="606" t="n">
        <f aca="false">+EP!M848</f>
        <v>0</v>
      </c>
      <c r="N954" s="606" t="n">
        <f aca="false">+EP!N848</f>
        <v>0</v>
      </c>
      <c r="O954" s="606" t="n">
        <f aca="false">+EP!O848</f>
        <v>4.37940610692124</v>
      </c>
      <c r="P954" s="606" t="n">
        <f aca="false">+EP!P848</f>
        <v>4.73479130132525</v>
      </c>
      <c r="Q954" s="606" t="n">
        <f aca="false">+EP!Q848</f>
        <v>7.10183406065871</v>
      </c>
      <c r="R954" s="606" t="n">
        <f aca="false">+EP!R848</f>
        <v>6.06029350365411</v>
      </c>
      <c r="S954" s="606" t="n">
        <f aca="false">+EP!S848</f>
        <v>5.13462160166333</v>
      </c>
      <c r="T954" s="606" t="n">
        <f aca="false">+EP!T848</f>
        <v>4.31369340045704</v>
      </c>
      <c r="U954" s="606" t="n">
        <f aca="false">+EP!U848</f>
        <v>3.61604708594512</v>
      </c>
      <c r="V954" s="606" t="n">
        <f aca="false">+EP!V848</f>
        <v>2.96902765639283</v>
      </c>
      <c r="W954" s="606" t="n">
        <f aca="false">+EP!W848</f>
        <v>2.43484435655219</v>
      </c>
      <c r="X954" s="606" t="n">
        <f aca="false">+EP!X848</f>
        <v>1.9752031273748</v>
      </c>
      <c r="Y954" s="606" t="n">
        <f aca="false">+EP!Y848</f>
        <v>1.55663930896327</v>
      </c>
      <c r="Z954" s="606" t="n">
        <f aca="false">+EP!Z848</f>
        <v>1.14351365103143</v>
      </c>
      <c r="AA954" s="606" t="n">
        <f aca="false">+EP!AA848</f>
        <v>0.874427280159617</v>
      </c>
      <c r="AB954" s="606" t="n">
        <f aca="false">+EP!AB848</f>
        <v>0.672671998471635</v>
      </c>
      <c r="AC954" s="606" t="n">
        <f aca="false">+EP!AC848</f>
        <v>0.555985560429433</v>
      </c>
    </row>
    <row r="955" customFormat="false" ht="11.25" hidden="false" customHeight="false" outlineLevel="0" collapsed="false">
      <c r="A955" s="314"/>
      <c r="B955" s="314" t="str">
        <f aca="false">EP!B849</f>
        <v>Depletion - Tax</v>
      </c>
      <c r="C955" s="314"/>
      <c r="D955" s="314"/>
      <c r="E955" s="606" t="n">
        <f aca="false">+EP!E849</f>
        <v>0</v>
      </c>
      <c r="F955" s="606" t="n">
        <f aca="false">+EP!F849</f>
        <v>0</v>
      </c>
      <c r="G955" s="606" t="n">
        <f aca="false">+EP!G849</f>
        <v>0</v>
      </c>
      <c r="H955" s="606" t="n">
        <f aca="false">+EP!H849</f>
        <v>0</v>
      </c>
      <c r="I955" s="606" t="n">
        <f aca="false">+EP!I849</f>
        <v>0</v>
      </c>
      <c r="J955" s="606" t="n">
        <f aca="false">+EP!J849</f>
        <v>0</v>
      </c>
      <c r="K955" s="606" t="n">
        <f aca="false">+EP!K849</f>
        <v>0</v>
      </c>
      <c r="L955" s="606" t="n">
        <f aca="false">+EP!L849</f>
        <v>0</v>
      </c>
      <c r="M955" s="606" t="n">
        <f aca="false">+EP!M849</f>
        <v>0</v>
      </c>
      <c r="N955" s="606" t="n">
        <f aca="false">+EP!N849</f>
        <v>0</v>
      </c>
      <c r="O955" s="606" t="n">
        <f aca="false">+EP!O849</f>
        <v>4.37940610692124</v>
      </c>
      <c r="P955" s="606" t="n">
        <f aca="false">+EP!P849</f>
        <v>4.73479130132525</v>
      </c>
      <c r="Q955" s="606" t="n">
        <f aca="false">+EP!Q849</f>
        <v>7.10183406065871</v>
      </c>
      <c r="R955" s="606" t="n">
        <f aca="false">+EP!R849</f>
        <v>6.06029350365411</v>
      </c>
      <c r="S955" s="606" t="n">
        <f aca="false">+EP!S849</f>
        <v>5.13462160166333</v>
      </c>
      <c r="T955" s="606" t="n">
        <f aca="false">+EP!T849</f>
        <v>4.31369340045704</v>
      </c>
      <c r="U955" s="606" t="n">
        <f aca="false">+EP!U849</f>
        <v>3.61604708594512</v>
      </c>
      <c r="V955" s="606" t="n">
        <f aca="false">+EP!V849</f>
        <v>2.96902765639283</v>
      </c>
      <c r="W955" s="606" t="n">
        <f aca="false">+EP!W849</f>
        <v>2.43484435655219</v>
      </c>
      <c r="X955" s="606" t="n">
        <f aca="false">+EP!X849</f>
        <v>1.9752031273748</v>
      </c>
      <c r="Y955" s="606" t="n">
        <f aca="false">+EP!Y849</f>
        <v>1.55663930896327</v>
      </c>
      <c r="Z955" s="606" t="n">
        <f aca="false">+EP!Z849</f>
        <v>1.14351365103143</v>
      </c>
      <c r="AA955" s="606" t="n">
        <f aca="false">+EP!AA849</f>
        <v>0.874427280159617</v>
      </c>
      <c r="AB955" s="606" t="n">
        <f aca="false">+EP!AB849</f>
        <v>0.672671998471635</v>
      </c>
      <c r="AC955" s="606" t="n">
        <f aca="false">+EP!AC849</f>
        <v>0.555985560429433</v>
      </c>
    </row>
    <row r="956" customFormat="false" ht="11.25" hidden="false" customHeight="false" outlineLevel="0" collapsed="false">
      <c r="A956" s="314"/>
      <c r="B956" s="314" t="str">
        <f aca="false">EP!B850</f>
        <v>Class B Oil &amp; Gas Income Before NPI</v>
      </c>
      <c r="C956" s="314"/>
      <c r="D956" s="314"/>
      <c r="E956" s="606" t="n">
        <f aca="false">+EP!E850</f>
        <v>0</v>
      </c>
      <c r="F956" s="606" t="n">
        <f aca="false">+EP!F850</f>
        <v>0</v>
      </c>
      <c r="G956" s="606" t="n">
        <f aca="false">+EP!G850</f>
        <v>0</v>
      </c>
      <c r="H956" s="606" t="n">
        <f aca="false">+EP!H850</f>
        <v>0</v>
      </c>
      <c r="I956" s="606" t="n">
        <f aca="false">+EP!I850</f>
        <v>-15.5721785</v>
      </c>
      <c r="J956" s="606" t="n">
        <f aca="false">+EP!J850</f>
        <v>-61.1626925</v>
      </c>
      <c r="K956" s="606" t="n">
        <f aca="false">+EP!K850</f>
        <v>-54.3481525</v>
      </c>
      <c r="L956" s="606" t="n">
        <f aca="false">+EP!L850</f>
        <v>-59.534535</v>
      </c>
      <c r="M956" s="606" t="n">
        <f aca="false">+EP!M850</f>
        <v>-74.487706</v>
      </c>
      <c r="N956" s="606" t="n">
        <f aca="false">+EP!N850</f>
        <v>-60.177172</v>
      </c>
      <c r="O956" s="606" t="n">
        <f aca="false">+EP!O850</f>
        <v>-53.957826</v>
      </c>
      <c r="P956" s="606" t="n">
        <f aca="false">+EP!P850</f>
        <v>-46.3863545</v>
      </c>
      <c r="Q956" s="606" t="n">
        <f aca="false">+EP!Q850</f>
        <v>-58.2099935</v>
      </c>
      <c r="R956" s="606" t="n">
        <f aca="false">+EP!R850</f>
        <v>-60.309171</v>
      </c>
      <c r="S956" s="606" t="n">
        <f aca="false">+EP!S850</f>
        <v>-41.588261</v>
      </c>
      <c r="T956" s="606" t="n">
        <f aca="false">+EP!T850</f>
        <v>-41.3316375</v>
      </c>
      <c r="U956" s="606" t="n">
        <f aca="false">+EP!U850</f>
        <v>-41.113831</v>
      </c>
      <c r="V956" s="606" t="n">
        <f aca="false">+EP!V850</f>
        <v>-40.928372</v>
      </c>
      <c r="W956" s="606" t="n">
        <f aca="false">+EP!W850</f>
        <v>-20.449791</v>
      </c>
      <c r="X956" s="606" t="n">
        <f aca="false">+EP!X850</f>
        <v>-20.316088</v>
      </c>
      <c r="Y956" s="606" t="n">
        <f aca="false">+EP!Y850</f>
        <v>-5.5047935</v>
      </c>
      <c r="Z956" s="606" t="n">
        <f aca="false">+EP!Z850</f>
        <v>0</v>
      </c>
      <c r="AA956" s="606" t="n">
        <f aca="false">+EP!AA850</f>
        <v>0</v>
      </c>
      <c r="AB956" s="606" t="n">
        <f aca="false">+EP!AB850</f>
        <v>0</v>
      </c>
      <c r="AC956" s="606" t="n">
        <f aca="false">+EP!AC850</f>
        <v>0</v>
      </c>
    </row>
    <row r="957" customFormat="false" ht="11.25" hidden="false" customHeight="false" outlineLevel="0" collapsed="false">
      <c r="A957" s="314"/>
      <c r="B957" s="314" t="str">
        <f aca="false">EP!B851</f>
        <v>Production Payment Volumes - Gas</v>
      </c>
      <c r="C957" s="314"/>
      <c r="D957" s="314"/>
      <c r="E957" s="606" t="n">
        <f aca="false">+EP!E851</f>
        <v>0</v>
      </c>
      <c r="F957" s="606" t="n">
        <f aca="false">+EP!F851</f>
        <v>0</v>
      </c>
      <c r="G957" s="606" t="n">
        <f aca="false">+EP!G851</f>
        <v>0</v>
      </c>
      <c r="H957" s="606" t="n">
        <f aca="false">+EP!H851</f>
        <v>0</v>
      </c>
      <c r="I957" s="606" t="n">
        <f aca="false">+EP!I851</f>
        <v>0</v>
      </c>
      <c r="J957" s="606" t="n">
        <f aca="false">+EP!J851</f>
        <v>0</v>
      </c>
      <c r="K957" s="606" t="n">
        <f aca="false">+EP!K851</f>
        <v>0</v>
      </c>
      <c r="L957" s="606" t="n">
        <f aca="false">+EP!L851</f>
        <v>0</v>
      </c>
      <c r="M957" s="606" t="n">
        <f aca="false">+EP!M851</f>
        <v>0</v>
      </c>
      <c r="N957" s="606" t="n">
        <f aca="false">+EP!N851</f>
        <v>0</v>
      </c>
      <c r="O957" s="606" t="n">
        <f aca="false">+EP!O851</f>
        <v>0</v>
      </c>
      <c r="P957" s="606" t="n">
        <f aca="false">+EP!P851</f>
        <v>0</v>
      </c>
      <c r="Q957" s="606" t="n">
        <f aca="false">+EP!Q851</f>
        <v>0</v>
      </c>
      <c r="R957" s="606" t="n">
        <f aca="false">+EP!R851</f>
        <v>0</v>
      </c>
      <c r="S957" s="606" t="n">
        <f aca="false">+EP!S851</f>
        <v>0</v>
      </c>
      <c r="T957" s="606" t="n">
        <f aca="false">+EP!T851</f>
        <v>0</v>
      </c>
      <c r="U957" s="606" t="n">
        <f aca="false">+EP!U851</f>
        <v>0</v>
      </c>
      <c r="V957" s="606" t="n">
        <f aca="false">+EP!V851</f>
        <v>0</v>
      </c>
      <c r="W957" s="606" t="n">
        <f aca="false">+EP!W851</f>
        <v>0</v>
      </c>
      <c r="X957" s="606" t="n">
        <f aca="false">+EP!X851</f>
        <v>0</v>
      </c>
      <c r="Y957" s="606" t="n">
        <f aca="false">+EP!Y851</f>
        <v>0</v>
      </c>
      <c r="Z957" s="606" t="n">
        <f aca="false">+EP!Z851</f>
        <v>0</v>
      </c>
      <c r="AA957" s="606" t="n">
        <f aca="false">+EP!AA851</f>
        <v>0</v>
      </c>
      <c r="AB957" s="606" t="n">
        <f aca="false">+EP!AB851</f>
        <v>0</v>
      </c>
      <c r="AC957" s="606" t="n">
        <f aca="false">+EP!AC851</f>
        <v>0</v>
      </c>
    </row>
    <row r="958" customFormat="false" ht="11.25" hidden="false" customHeight="false" outlineLevel="0" collapsed="false">
      <c r="A958" s="314"/>
      <c r="B958" s="314" t="str">
        <f aca="false">EP!B852</f>
        <v>Production Payment Volumes - Oil</v>
      </c>
      <c r="C958" s="314"/>
      <c r="D958" s="314"/>
      <c r="E958" s="606" t="n">
        <f aca="false">+EP!E852</f>
        <v>0</v>
      </c>
      <c r="F958" s="606" t="n">
        <f aca="false">+EP!F852</f>
        <v>0</v>
      </c>
      <c r="G958" s="606" t="n">
        <f aca="false">+EP!G852</f>
        <v>0</v>
      </c>
      <c r="H958" s="606" t="n">
        <f aca="false">+EP!H852</f>
        <v>0</v>
      </c>
      <c r="I958" s="606" t="n">
        <f aca="false">+EP!I852</f>
        <v>0</v>
      </c>
      <c r="J958" s="606" t="n">
        <f aca="false">+EP!J852</f>
        <v>0</v>
      </c>
      <c r="K958" s="606" t="n">
        <f aca="false">+EP!K852</f>
        <v>0</v>
      </c>
      <c r="L958" s="606" t="n">
        <f aca="false">+EP!L852</f>
        <v>0</v>
      </c>
      <c r="M958" s="606" t="n">
        <f aca="false">+EP!M852</f>
        <v>0</v>
      </c>
      <c r="N958" s="606" t="n">
        <f aca="false">+EP!N852</f>
        <v>0</v>
      </c>
      <c r="O958" s="606" t="n">
        <f aca="false">+EP!O852</f>
        <v>0</v>
      </c>
      <c r="P958" s="606" t="n">
        <f aca="false">+EP!P852</f>
        <v>0</v>
      </c>
      <c r="Q958" s="606" t="n">
        <f aca="false">+EP!Q852</f>
        <v>0</v>
      </c>
      <c r="R958" s="606" t="n">
        <f aca="false">+EP!R852</f>
        <v>0</v>
      </c>
      <c r="S958" s="606" t="n">
        <f aca="false">+EP!S852</f>
        <v>0</v>
      </c>
      <c r="T958" s="606" t="n">
        <f aca="false">+EP!T852</f>
        <v>0</v>
      </c>
      <c r="U958" s="606" t="n">
        <f aca="false">+EP!U852</f>
        <v>0</v>
      </c>
      <c r="V958" s="606" t="n">
        <f aca="false">+EP!V852</f>
        <v>0</v>
      </c>
      <c r="W958" s="606" t="n">
        <f aca="false">+EP!W852</f>
        <v>0</v>
      </c>
      <c r="X958" s="606" t="n">
        <f aca="false">+EP!X852</f>
        <v>0</v>
      </c>
      <c r="Y958" s="606" t="n">
        <f aca="false">+EP!Y852</f>
        <v>0</v>
      </c>
      <c r="Z958" s="606" t="n">
        <f aca="false">+EP!Z852</f>
        <v>0</v>
      </c>
      <c r="AA958" s="606" t="n">
        <f aca="false">+EP!AA852</f>
        <v>0</v>
      </c>
      <c r="AB958" s="606" t="n">
        <f aca="false">+EP!AB852</f>
        <v>0</v>
      </c>
      <c r="AC958" s="606" t="n">
        <f aca="false">+EP!AC852</f>
        <v>0</v>
      </c>
    </row>
    <row r="959" customFormat="false" ht="11.25" hidden="false" customHeight="false" outlineLevel="0" collapsed="false">
      <c r="A959" s="314"/>
      <c r="B959" s="323" t="s">
        <v>986</v>
      </c>
      <c r="C959" s="314"/>
      <c r="D959" s="314"/>
      <c r="E959" s="606" t="n">
        <f aca="false">+EP!E853</f>
        <v>0</v>
      </c>
      <c r="F959" s="606" t="n">
        <f aca="false">+EP!F853</f>
        <v>0</v>
      </c>
      <c r="G959" s="606" t="n">
        <f aca="false">+EP!G853</f>
        <v>0</v>
      </c>
      <c r="H959" s="606" t="n">
        <f aca="false">+EP!H853</f>
        <v>0</v>
      </c>
      <c r="I959" s="606" t="n">
        <f aca="false">+EP!I853</f>
        <v>-0.375</v>
      </c>
      <c r="J959" s="606" t="n">
        <f aca="false">+EP!J853</f>
        <v>-0.375</v>
      </c>
      <c r="K959" s="606" t="n">
        <f aca="false">+EP!K853</f>
        <v>-0.375</v>
      </c>
      <c r="L959" s="606" t="n">
        <f aca="false">+EP!L853</f>
        <v>-0.375</v>
      </c>
      <c r="M959" s="606" t="n">
        <f aca="false">+EP!M853</f>
        <v>-0.375</v>
      </c>
      <c r="N959" s="606" t="n">
        <f aca="false">+EP!N853</f>
        <v>-0.375</v>
      </c>
      <c r="O959" s="606" t="n">
        <f aca="false">+EP!O853</f>
        <v>-0.375</v>
      </c>
      <c r="P959" s="606" t="n">
        <f aca="false">+EP!P853</f>
        <v>-0.375</v>
      </c>
      <c r="Q959" s="606" t="n">
        <f aca="false">+EP!Q853</f>
        <v>-0.375</v>
      </c>
      <c r="R959" s="606" t="n">
        <f aca="false">+EP!R853</f>
        <v>-0.375</v>
      </c>
      <c r="S959" s="606" t="n">
        <f aca="false">+EP!S853</f>
        <v>-0.375</v>
      </c>
      <c r="T959" s="606" t="n">
        <f aca="false">+EP!T853</f>
        <v>-0.375</v>
      </c>
      <c r="U959" s="606" t="n">
        <f aca="false">+EP!U853</f>
        <v>-0.375</v>
      </c>
      <c r="V959" s="606" t="n">
        <f aca="false">+EP!V853</f>
        <v>-0.375</v>
      </c>
      <c r="W959" s="606" t="n">
        <f aca="false">+EP!W853</f>
        <v>-0.375</v>
      </c>
      <c r="X959" s="606" t="n">
        <f aca="false">+EP!X853</f>
        <v>-0.375</v>
      </c>
      <c r="Y959" s="606" t="n">
        <f aca="false">+EP!Y853</f>
        <v>-0.375</v>
      </c>
      <c r="Z959" s="606" t="n">
        <f aca="false">+EP!Z853</f>
        <v>-0.375</v>
      </c>
      <c r="AA959" s="606" t="n">
        <f aca="false">+EP!AA853</f>
        <v>-0.375</v>
      </c>
      <c r="AB959" s="606" t="n">
        <f aca="false">+EP!AB853</f>
        <v>-0.375</v>
      </c>
      <c r="AC959" s="606" t="n">
        <f aca="false">+EP!AC853</f>
        <v>-0.375</v>
      </c>
    </row>
    <row r="960" customFormat="false" ht="11.25" hidden="false" customHeight="false" outlineLevel="0" collapsed="false">
      <c r="A960" s="314"/>
      <c r="B960" s="323" t="s">
        <v>987</v>
      </c>
      <c r="C960" s="314"/>
      <c r="D960" s="314"/>
      <c r="E960" s="606" t="n">
        <f aca="false">+EP!E854</f>
        <v>0</v>
      </c>
      <c r="F960" s="606" t="n">
        <f aca="false">+EP!F854</f>
        <v>0</v>
      </c>
      <c r="G960" s="606" t="n">
        <f aca="false">+EP!G854</f>
        <v>0</v>
      </c>
      <c r="H960" s="606" t="n">
        <f aca="false">+EP!H854</f>
        <v>0</v>
      </c>
      <c r="I960" s="606" t="n">
        <f aca="false">+EP!I854</f>
        <v>-2.375</v>
      </c>
      <c r="J960" s="606" t="n">
        <f aca="false">+EP!J854</f>
        <v>-2.375</v>
      </c>
      <c r="K960" s="606" t="n">
        <f aca="false">+EP!K854</f>
        <v>-2.375</v>
      </c>
      <c r="L960" s="606" t="n">
        <f aca="false">+EP!L854</f>
        <v>-2.375</v>
      </c>
      <c r="M960" s="606" t="n">
        <f aca="false">+EP!M854</f>
        <v>-2.375</v>
      </c>
      <c r="N960" s="606" t="n">
        <f aca="false">+EP!N854</f>
        <v>-2.375</v>
      </c>
      <c r="O960" s="606" t="n">
        <f aca="false">+EP!O854</f>
        <v>-2.375</v>
      </c>
      <c r="P960" s="606" t="n">
        <f aca="false">+EP!P854</f>
        <v>-2.375</v>
      </c>
      <c r="Q960" s="606" t="n">
        <f aca="false">+EP!Q854</f>
        <v>-2.375</v>
      </c>
      <c r="R960" s="606" t="n">
        <f aca="false">+EP!R854</f>
        <v>-2.375</v>
      </c>
      <c r="S960" s="606" t="n">
        <f aca="false">+EP!S854</f>
        <v>-2.375</v>
      </c>
      <c r="T960" s="606" t="n">
        <f aca="false">+EP!T854</f>
        <v>-2.375</v>
      </c>
      <c r="U960" s="606" t="n">
        <f aca="false">+EP!U854</f>
        <v>-2.375</v>
      </c>
      <c r="V960" s="606" t="n">
        <f aca="false">+EP!V854</f>
        <v>-2.375</v>
      </c>
      <c r="W960" s="606" t="n">
        <f aca="false">+EP!W854</f>
        <v>-2.375</v>
      </c>
      <c r="X960" s="606" t="n">
        <f aca="false">+EP!X854</f>
        <v>-2.375</v>
      </c>
      <c r="Y960" s="606" t="n">
        <f aca="false">+EP!Y854</f>
        <v>-2.375</v>
      </c>
      <c r="Z960" s="606" t="n">
        <f aca="false">+EP!Z854</f>
        <v>-2.375</v>
      </c>
      <c r="AA960" s="606" t="n">
        <f aca="false">+EP!AA854</f>
        <v>-2.375</v>
      </c>
      <c r="AB960" s="606" t="n">
        <f aca="false">+EP!AB854</f>
        <v>-2.375</v>
      </c>
      <c r="AC960" s="606" t="n">
        <f aca="false">+EP!AC854</f>
        <v>-2.375</v>
      </c>
    </row>
    <row r="961" customFormat="false" ht="11.25" hidden="false" customHeight="false" outlineLevel="0" collapsed="false">
      <c r="A961" s="314"/>
      <c r="B961" s="314" t="str">
        <f aca="false">EP!B855</f>
        <v>Multiple</v>
      </c>
      <c r="C961" s="314"/>
      <c r="D961" s="314"/>
      <c r="E961" s="606" t="n">
        <f aca="false">+EP!E855</f>
        <v>0</v>
      </c>
      <c r="F961" s="606" t="n">
        <f aca="false">+EP!F855</f>
        <v>0</v>
      </c>
      <c r="G961" s="606" t="n">
        <f aca="false">+EP!G855</f>
        <v>0</v>
      </c>
      <c r="H961" s="606" t="n">
        <f aca="false">+EP!H855</f>
        <v>0</v>
      </c>
      <c r="I961" s="606" t="n">
        <f aca="false">+EP!I855</f>
        <v>0</v>
      </c>
      <c r="J961" s="606" t="n">
        <f aca="false">+EP!J855</f>
        <v>0</v>
      </c>
      <c r="K961" s="606" t="n">
        <f aca="false">+EP!K855</f>
        <v>0</v>
      </c>
      <c r="L961" s="606" t="n">
        <f aca="false">+EP!L855</f>
        <v>0</v>
      </c>
      <c r="M961" s="606" t="n">
        <f aca="false">+EP!M855</f>
        <v>0</v>
      </c>
      <c r="N961" s="606" t="n">
        <f aca="false">+EP!N855</f>
        <v>0</v>
      </c>
      <c r="O961" s="606" t="n">
        <f aca="false">+EP!O855</f>
        <v>0</v>
      </c>
      <c r="P961" s="606" t="n">
        <f aca="false">+EP!P855</f>
        <v>0</v>
      </c>
      <c r="Q961" s="606" t="n">
        <f aca="false">+EP!Q855</f>
        <v>0</v>
      </c>
      <c r="R961" s="606" t="n">
        <f aca="false">+EP!R855</f>
        <v>0</v>
      </c>
      <c r="S961" s="606" t="n">
        <f aca="false">+EP!S855</f>
        <v>0</v>
      </c>
      <c r="T961" s="606" t="n">
        <f aca="false">+EP!T855</f>
        <v>0</v>
      </c>
      <c r="U961" s="606" t="n">
        <f aca="false">+EP!U855</f>
        <v>0</v>
      </c>
      <c r="V961" s="606" t="n">
        <f aca="false">+EP!V855</f>
        <v>0</v>
      </c>
      <c r="W961" s="606" t="n">
        <f aca="false">+EP!W855</f>
        <v>0</v>
      </c>
      <c r="X961" s="606" t="n">
        <f aca="false">+EP!X855</f>
        <v>0</v>
      </c>
      <c r="Y961" s="606" t="n">
        <f aca="false">+EP!Y855</f>
        <v>0</v>
      </c>
      <c r="Z961" s="606" t="n">
        <f aca="false">+EP!Z855</f>
        <v>0</v>
      </c>
      <c r="AA961" s="606" t="n">
        <f aca="false">+EP!AA855</f>
        <v>0</v>
      </c>
      <c r="AB961" s="606" t="n">
        <f aca="false">+EP!AB855</f>
        <v>0</v>
      </c>
      <c r="AC961" s="606" t="n">
        <f aca="false">+EP!AC855</f>
        <v>0</v>
      </c>
    </row>
    <row r="962" customFormat="false" ht="11.25" hidden="false" customHeight="false" outlineLevel="0" collapsed="false">
      <c r="A962" s="314"/>
      <c r="B962" s="314" t="str">
        <f aca="false">EP!B856</f>
        <v>SEC10 Value</v>
      </c>
      <c r="C962" s="314"/>
      <c r="D962" s="314"/>
      <c r="E962" s="606" t="n">
        <f aca="false">+EP!E856</f>
        <v>0</v>
      </c>
      <c r="F962" s="606" t="n">
        <f aca="false">+EP!F856</f>
        <v>0</v>
      </c>
      <c r="G962" s="606" t="n">
        <f aca="false">+EP!G856</f>
        <v>0</v>
      </c>
      <c r="H962" s="606" t="n">
        <f aca="false">+EP!H856</f>
        <v>0</v>
      </c>
      <c r="I962" s="606" t="e">
        <f aca="false">+EP!I856</f>
        <v>#N/A</v>
      </c>
      <c r="J962" s="606" t="e">
        <f aca="false">+EP!J856</f>
        <v>#N/A</v>
      </c>
      <c r="K962" s="606" t="e">
        <f aca="false">+EP!K856</f>
        <v>#N/A</v>
      </c>
      <c r="L962" s="606" t="e">
        <f aca="false">+EP!L856</f>
        <v>#N/A</v>
      </c>
      <c r="M962" s="606" t="e">
        <f aca="false">+EP!M856</f>
        <v>#N/A</v>
      </c>
      <c r="N962" s="606" t="e">
        <f aca="false">+EP!N856</f>
        <v>#N/A</v>
      </c>
      <c r="O962" s="606" t="e">
        <f aca="false">+EP!O856</f>
        <v>#N/A</v>
      </c>
      <c r="P962" s="606" t="e">
        <f aca="false">+EP!P856</f>
        <v>#N/A</v>
      </c>
      <c r="Q962" s="606" t="e">
        <f aca="false">+EP!Q856</f>
        <v>#N/A</v>
      </c>
      <c r="R962" s="606" t="e">
        <f aca="false">+EP!R856</f>
        <v>#N/A</v>
      </c>
      <c r="S962" s="606" t="e">
        <f aca="false">+EP!S856</f>
        <v>#N/A</v>
      </c>
      <c r="T962" s="606" t="e">
        <f aca="false">+EP!T856</f>
        <v>#N/A</v>
      </c>
      <c r="U962" s="606" t="e">
        <f aca="false">+EP!U856</f>
        <v>#N/A</v>
      </c>
      <c r="V962" s="606" t="e">
        <f aca="false">+EP!V856</f>
        <v>#N/A</v>
      </c>
      <c r="W962" s="606" t="e">
        <f aca="false">+EP!W856</f>
        <v>#N/A</v>
      </c>
      <c r="X962" s="606" t="e">
        <f aca="false">+EP!X856</f>
        <v>#N/A</v>
      </c>
      <c r="Y962" s="606" t="e">
        <f aca="false">+EP!Y856</f>
        <v>#N/A</v>
      </c>
      <c r="Z962" s="606" t="e">
        <f aca="false">+EP!Z856</f>
        <v>#N/A</v>
      </c>
      <c r="AA962" s="606" t="e">
        <f aca="false">+EP!AA856</f>
        <v>#N/A</v>
      </c>
      <c r="AB962" s="606" t="e">
        <f aca="false">+EP!AB856</f>
        <v>#N/A</v>
      </c>
      <c r="AC962" s="606" t="e">
        <f aca="false">+EP!AC856</f>
        <v>#N/A</v>
      </c>
    </row>
    <row r="963" customFormat="false" ht="12" hidden="false" customHeight="false" outlineLevel="0" collapsed="false">
      <c r="A963" s="609"/>
      <c r="B963" s="329"/>
      <c r="C963" s="329"/>
      <c r="D963" s="329"/>
      <c r="E963" s="329"/>
      <c r="F963" s="329"/>
      <c r="G963" s="329"/>
      <c r="H963" s="329"/>
      <c r="I963" s="329"/>
      <c r="J963" s="329"/>
      <c r="K963" s="329"/>
      <c r="L963" s="329"/>
      <c r="M963" s="329"/>
      <c r="N963" s="329"/>
      <c r="O963" s="329"/>
      <c r="P963" s="329"/>
      <c r="Q963" s="329"/>
      <c r="R963" s="329"/>
      <c r="S963" s="329"/>
      <c r="T963" s="329"/>
      <c r="U963" s="329"/>
      <c r="V963" s="329"/>
      <c r="W963" s="329"/>
      <c r="X963" s="329"/>
      <c r="Y963" s="329"/>
      <c r="Z963" s="329"/>
      <c r="AA963" s="329"/>
      <c r="AB963" s="329"/>
      <c r="AC963" s="329"/>
    </row>
    <row r="964" customFormat="false" ht="12" hidden="false" customHeight="false" outlineLevel="0" collapsed="false">
      <c r="A964" s="323"/>
      <c r="B964" s="314"/>
      <c r="C964" s="314"/>
      <c r="D964" s="314"/>
      <c r="E964" s="314"/>
      <c r="F964" s="314"/>
      <c r="G964" s="314"/>
      <c r="H964" s="314"/>
      <c r="I964" s="314"/>
      <c r="J964" s="314"/>
      <c r="K964" s="314"/>
      <c r="L964" s="314"/>
      <c r="M964" s="314"/>
      <c r="N964" s="314"/>
      <c r="O964" s="314"/>
      <c r="P964" s="314"/>
      <c r="Q964" s="314"/>
      <c r="R964" s="314"/>
      <c r="S964" s="314"/>
      <c r="T964" s="314"/>
      <c r="U964" s="314"/>
      <c r="V964" s="314"/>
      <c r="W964" s="314"/>
      <c r="X964" s="314"/>
      <c r="Y964" s="314"/>
      <c r="Z964" s="314"/>
      <c r="AA964" s="314"/>
      <c r="AB964" s="314"/>
      <c r="AC964" s="314"/>
    </row>
    <row r="965" customFormat="false" ht="11.25" hidden="false" customHeight="false" outlineLevel="0" collapsed="false">
      <c r="A965" s="317" t="s">
        <v>1120</v>
      </c>
      <c r="B965" s="314"/>
      <c r="C965" s="314"/>
      <c r="D965" s="314"/>
      <c r="E965" s="314"/>
      <c r="F965" s="314"/>
      <c r="G965" s="314"/>
      <c r="H965" s="314"/>
      <c r="I965" s="314"/>
      <c r="J965" s="314"/>
      <c r="K965" s="314"/>
      <c r="L965" s="314"/>
      <c r="M965" s="314"/>
      <c r="N965" s="314"/>
      <c r="O965" s="314"/>
      <c r="P965" s="314"/>
      <c r="Q965" s="314"/>
      <c r="R965" s="314"/>
      <c r="S965" s="314"/>
      <c r="T965" s="314"/>
      <c r="U965" s="314"/>
      <c r="V965" s="314"/>
      <c r="W965" s="314"/>
      <c r="X965" s="314"/>
      <c r="Y965" s="314"/>
      <c r="Z965" s="314"/>
      <c r="AA965" s="314"/>
      <c r="AB965" s="314"/>
      <c r="AC965" s="314"/>
    </row>
    <row r="966" customFormat="false" ht="11.25" hidden="false" customHeight="false" outlineLevel="0" collapsed="false">
      <c r="A966" s="314"/>
      <c r="B966" s="314"/>
      <c r="C966" s="314"/>
      <c r="D966" s="314"/>
      <c r="E966" s="314" t="s">
        <v>1121</v>
      </c>
      <c r="F966" s="314"/>
      <c r="G966" s="314"/>
      <c r="H966" s="330" t="n">
        <f aca="false">+C328</f>
        <v>0.5</v>
      </c>
      <c r="I966" s="314"/>
      <c r="J966" s="314"/>
      <c r="K966" s="314"/>
      <c r="L966" s="314"/>
      <c r="M966" s="314"/>
      <c r="N966" s="314"/>
      <c r="O966" s="314"/>
      <c r="P966" s="314"/>
      <c r="Q966" s="314"/>
      <c r="R966" s="314"/>
      <c r="S966" s="314"/>
      <c r="T966" s="314"/>
      <c r="U966" s="314"/>
      <c r="V966" s="314"/>
      <c r="W966" s="314"/>
      <c r="X966" s="314"/>
      <c r="Y966" s="314"/>
      <c r="Z966" s="314"/>
      <c r="AA966" s="314"/>
      <c r="AB966" s="314"/>
      <c r="AC966" s="314"/>
    </row>
    <row r="967" customFormat="false" ht="11.25" hidden="false" customHeight="false" outlineLevel="0" collapsed="false">
      <c r="A967" s="314"/>
      <c r="B967" s="314"/>
      <c r="C967" s="314"/>
      <c r="D967" s="314"/>
      <c r="E967" s="316" t="s">
        <v>368</v>
      </c>
      <c r="F967" s="314"/>
      <c r="G967" s="331"/>
      <c r="H967" s="610" t="n">
        <f aca="false">IF(F5="Millions",1000000,IF(F5="Thousands",1000,1))</f>
        <v>1000</v>
      </c>
      <c r="I967" s="314"/>
      <c r="J967" s="611"/>
      <c r="K967" s="611"/>
      <c r="L967" s="611"/>
      <c r="M967" s="611"/>
      <c r="N967" s="611"/>
      <c r="O967" s="611"/>
      <c r="P967" s="611"/>
      <c r="Q967" s="611"/>
      <c r="R967" s="611"/>
      <c r="S967" s="611"/>
      <c r="T967" s="611"/>
      <c r="U967" s="611"/>
      <c r="V967" s="611"/>
      <c r="W967" s="611"/>
      <c r="X967" s="611"/>
      <c r="Y967" s="611"/>
      <c r="Z967" s="611"/>
      <c r="AA967" s="611"/>
      <c r="AB967" s="611"/>
      <c r="AC967" s="611"/>
    </row>
    <row r="968" customFormat="false" ht="11.25" hidden="false" customHeight="false" outlineLevel="0" collapsed="false">
      <c r="A968" s="314"/>
      <c r="B968" s="314"/>
      <c r="C968" s="314"/>
      <c r="D968" s="314"/>
      <c r="E968" s="316" t="s">
        <v>467</v>
      </c>
      <c r="F968" s="314"/>
      <c r="G968" s="331"/>
      <c r="H968" s="610"/>
      <c r="I968" s="314" t="n">
        <f aca="false">H185</f>
        <v>0</v>
      </c>
      <c r="J968" s="314" t="n">
        <f aca="false">I185</f>
        <v>0</v>
      </c>
      <c r="K968" s="314" t="n">
        <f aca="false">J185</f>
        <v>0</v>
      </c>
      <c r="L968" s="314" t="n">
        <f aca="false">K185</f>
        <v>0</v>
      </c>
      <c r="M968" s="314" t="n">
        <f aca="false">L185</f>
        <v>0</v>
      </c>
      <c r="N968" s="314" t="n">
        <f aca="false">M185</f>
        <v>0</v>
      </c>
      <c r="O968" s="314" t="n">
        <f aca="false">N185</f>
        <v>0</v>
      </c>
      <c r="P968" s="314" t="n">
        <f aca="false">O185</f>
        <v>21.4315938930788</v>
      </c>
      <c r="Q968" s="314" t="n">
        <f aca="false">P185</f>
        <v>22.2088025917535</v>
      </c>
      <c r="R968" s="314" t="n">
        <f aca="false">Q185</f>
        <v>31.3069685310948</v>
      </c>
      <c r="S968" s="314" t="n">
        <f aca="false">R185</f>
        <v>25.2466750274407</v>
      </c>
      <c r="T968" s="314" t="n">
        <f aca="false">S185</f>
        <v>20.1120534257774</v>
      </c>
      <c r="U968" s="314" t="n">
        <f aca="false">T185</f>
        <v>15.7983600253203</v>
      </c>
      <c r="V968" s="314" t="n">
        <f aca="false">U185</f>
        <v>12.1823129393752</v>
      </c>
      <c r="W968" s="314" t="n">
        <f aca="false">V185</f>
        <v>9.21328528298236</v>
      </c>
      <c r="X968" s="314" t="n">
        <f aca="false">W185</f>
        <v>6.77844092643017</v>
      </c>
      <c r="Y968" s="314" t="n">
        <f aca="false">X185</f>
        <v>4.80323779905537</v>
      </c>
      <c r="Z968" s="314" t="n">
        <f aca="false">Y185</f>
        <v>3.2465984900921</v>
      </c>
      <c r="AA968" s="314" t="n">
        <f aca="false">Z185</f>
        <v>2.10308483906068</v>
      </c>
      <c r="AB968" s="314" t="n">
        <f aca="false">AA185</f>
        <v>1.22865755890106</v>
      </c>
      <c r="AC968" s="314" t="n">
        <f aca="false">AB185</f>
        <v>0.555985560429427</v>
      </c>
    </row>
    <row r="969" customFormat="false" ht="11.25" hidden="false" customHeight="false" outlineLevel="0" collapsed="false">
      <c r="A969" s="314"/>
      <c r="B969" s="314"/>
      <c r="C969" s="314"/>
      <c r="D969" s="314"/>
      <c r="E969" s="316" t="s">
        <v>143</v>
      </c>
      <c r="F969" s="314"/>
      <c r="G969" s="331"/>
      <c r="H969" s="610"/>
      <c r="I969" s="612" t="e">
        <f aca="false">+I59</f>
        <v>#N/A</v>
      </c>
      <c r="J969" s="612" t="str">
        <f aca="false">+J59</f>
        <v>NA</v>
      </c>
      <c r="K969" s="612" t="str">
        <f aca="false">+K59</f>
        <v>NA</v>
      </c>
      <c r="L969" s="612" t="str">
        <f aca="false">+L59</f>
        <v>NA</v>
      </c>
      <c r="M969" s="612" t="str">
        <f aca="false">+M59</f>
        <v>NA</v>
      </c>
      <c r="N969" s="612" t="str">
        <f aca="false">+N59</f>
        <v>NA</v>
      </c>
      <c r="O969" s="612" t="str">
        <f aca="false">+O59</f>
        <v>NA</v>
      </c>
      <c r="P969" s="612" t="str">
        <f aca="false">+P59</f>
        <v>NA</v>
      </c>
      <c r="Q969" s="612" t="str">
        <f aca="false">+Q59</f>
        <v>NA</v>
      </c>
      <c r="R969" s="612" t="str">
        <f aca="false">+R59</f>
        <v>NA</v>
      </c>
      <c r="S969" s="612" t="str">
        <f aca="false">+S59</f>
        <v>NA</v>
      </c>
      <c r="T969" s="612" t="str">
        <f aca="false">+T59</f>
        <v>NA</v>
      </c>
      <c r="U969" s="612" t="str">
        <f aca="false">+U59</f>
        <v>NA</v>
      </c>
      <c r="V969" s="612" t="str">
        <f aca="false">+V59</f>
        <v>NA</v>
      </c>
      <c r="W969" s="612" t="str">
        <f aca="false">+W59</f>
        <v>NA</v>
      </c>
      <c r="X969" s="612" t="str">
        <f aca="false">+X59</f>
        <v>NA</v>
      </c>
      <c r="Y969" s="612" t="str">
        <f aca="false">+Y59</f>
        <v>NA</v>
      </c>
      <c r="Z969" s="612" t="str">
        <f aca="false">+Z59</f>
        <v>NA</v>
      </c>
      <c r="AA969" s="612" t="str">
        <f aca="false">+AA59</f>
        <v>NA</v>
      </c>
      <c r="AB969" s="612" t="str">
        <f aca="false">+AB59</f>
        <v>NA</v>
      </c>
      <c r="AC969" s="612" t="str">
        <f aca="false">+AC59</f>
        <v>NA</v>
      </c>
    </row>
    <row r="970" customFormat="false" ht="11.25" hidden="false" customHeight="false" outlineLevel="0" collapsed="false">
      <c r="A970" s="314"/>
      <c r="B970" s="314"/>
      <c r="C970" s="314"/>
      <c r="D970" s="314"/>
      <c r="E970" s="316" t="s">
        <v>369</v>
      </c>
      <c r="F970" s="314"/>
      <c r="G970" s="331"/>
      <c r="H970" s="610"/>
      <c r="I970" s="606" t="e">
        <f aca="false">SUM(I47:I48)</f>
        <v>#N/A</v>
      </c>
      <c r="J970" s="606" t="e">
        <f aca="false">SUM(J47:J48)</f>
        <v>#N/A</v>
      </c>
      <c r="K970" s="606" t="e">
        <f aca="false">SUM(K47:K48)</f>
        <v>#N/A</v>
      </c>
      <c r="L970" s="606" t="e">
        <f aca="false">SUM(L47:L48)</f>
        <v>#N/A</v>
      </c>
      <c r="M970" s="606" t="e">
        <f aca="false">SUM(M47:M48)</f>
        <v>#N/A</v>
      </c>
      <c r="N970" s="606" t="e">
        <f aca="false">SUM(N47:N48)</f>
        <v>#N/A</v>
      </c>
      <c r="O970" s="606" t="e">
        <f aca="false">SUM(O47:O48)</f>
        <v>#N/A</v>
      </c>
      <c r="P970" s="606" t="e">
        <f aca="false">SUM(P47:P48)</f>
        <v>#N/A</v>
      </c>
      <c r="Q970" s="606" t="e">
        <f aca="false">SUM(Q47:Q48)</f>
        <v>#N/A</v>
      </c>
      <c r="R970" s="606" t="e">
        <f aca="false">SUM(R47:R48)</f>
        <v>#N/A</v>
      </c>
      <c r="S970" s="606" t="e">
        <f aca="false">SUM(S47:S48)</f>
        <v>#N/A</v>
      </c>
      <c r="T970" s="606" t="e">
        <f aca="false">SUM(T47:T48)</f>
        <v>#N/A</v>
      </c>
      <c r="U970" s="606" t="e">
        <f aca="false">SUM(U47:U48)</f>
        <v>#N/A</v>
      </c>
      <c r="V970" s="606" t="e">
        <f aca="false">SUM(V47:V48)</f>
        <v>#N/A</v>
      </c>
      <c r="W970" s="606" t="e">
        <f aca="false">SUM(W47:W48)</f>
        <v>#N/A</v>
      </c>
      <c r="X970" s="606" t="e">
        <f aca="false">SUM(X47:X48)</f>
        <v>#N/A</v>
      </c>
      <c r="Y970" s="606" t="e">
        <f aca="false">SUM(Y47:Y48)</f>
        <v>#N/A</v>
      </c>
      <c r="Z970" s="606" t="e">
        <f aca="false">SUM(Z47:Z48)</f>
        <v>#N/A</v>
      </c>
      <c r="AA970" s="606" t="e">
        <f aca="false">SUM(AA47:AA48)</f>
        <v>#N/A</v>
      </c>
      <c r="AB970" s="606" t="e">
        <f aca="false">SUM(AB47:AB48)</f>
        <v>#N/A</v>
      </c>
      <c r="AC970" s="606" t="e">
        <f aca="false">SUM(AC47:AC48)</f>
        <v>#N/A</v>
      </c>
    </row>
    <row r="971" customFormat="false" ht="11.25" hidden="false" customHeight="false" outlineLevel="0" collapsed="false">
      <c r="A971" s="314"/>
      <c r="B971" s="314"/>
      <c r="C971" s="314"/>
      <c r="D971" s="314"/>
      <c r="E971" s="316" t="s">
        <v>370</v>
      </c>
      <c r="F971" s="314"/>
      <c r="G971" s="331"/>
      <c r="H971" s="610"/>
      <c r="I971" s="606" t="e">
        <f aca="false">+I216</f>
        <v>#VALUE!</v>
      </c>
      <c r="J971" s="606" t="e">
        <f aca="false">+J216</f>
        <v>#VALUE!</v>
      </c>
      <c r="K971" s="606" t="e">
        <f aca="false">+K216</f>
        <v>#VALUE!</v>
      </c>
      <c r="L971" s="606" t="e">
        <f aca="false">+L216</f>
        <v>#VALUE!</v>
      </c>
      <c r="M971" s="606" t="e">
        <f aca="false">+M216</f>
        <v>#VALUE!</v>
      </c>
      <c r="N971" s="606" t="e">
        <f aca="false">+N216</f>
        <v>#VALUE!</v>
      </c>
      <c r="O971" s="606" t="e">
        <f aca="false">+O216</f>
        <v>#VALUE!</v>
      </c>
      <c r="P971" s="606" t="e">
        <f aca="false">+P216</f>
        <v>#VALUE!</v>
      </c>
      <c r="Q971" s="606" t="e">
        <f aca="false">+Q216</f>
        <v>#VALUE!</v>
      </c>
      <c r="R971" s="606" t="e">
        <f aca="false">+R216</f>
        <v>#VALUE!</v>
      </c>
      <c r="S971" s="606" t="e">
        <f aca="false">+S216</f>
        <v>#VALUE!</v>
      </c>
      <c r="T971" s="606" t="e">
        <f aca="false">+T216</f>
        <v>#VALUE!</v>
      </c>
      <c r="U971" s="606" t="e">
        <f aca="false">+U216</f>
        <v>#VALUE!</v>
      </c>
      <c r="V971" s="606" t="e">
        <f aca="false">+V216</f>
        <v>#VALUE!</v>
      </c>
      <c r="W971" s="606" t="e">
        <f aca="false">+W216</f>
        <v>#VALUE!</v>
      </c>
      <c r="X971" s="606" t="e">
        <f aca="false">+X216</f>
        <v>#VALUE!</v>
      </c>
      <c r="Y971" s="606" t="e">
        <f aca="false">+Y216</f>
        <v>#VALUE!</v>
      </c>
      <c r="Z971" s="606" t="e">
        <f aca="false">+Z216</f>
        <v>#VALUE!</v>
      </c>
      <c r="AA971" s="606" t="e">
        <f aca="false">+AA216</f>
        <v>#VALUE!</v>
      </c>
      <c r="AB971" s="606" t="e">
        <f aca="false">+AB216</f>
        <v>#VALUE!</v>
      </c>
      <c r="AC971" s="606" t="e">
        <f aca="false">+AC216</f>
        <v>#VALUE!</v>
      </c>
    </row>
    <row r="972" customFormat="false" ht="11.25" hidden="false" customHeight="false" outlineLevel="0" collapsed="false">
      <c r="A972" s="314"/>
      <c r="B972" s="314"/>
      <c r="C972" s="314"/>
      <c r="D972" s="314"/>
      <c r="E972" s="316" t="s">
        <v>1122</v>
      </c>
      <c r="F972" s="314"/>
      <c r="G972" s="331"/>
      <c r="H972" s="610"/>
      <c r="I972" s="606" t="e">
        <f aca="false">IF(+I142+I154+I156&gt;0,I142+I154+I156,0)</f>
        <v>#N/A</v>
      </c>
      <c r="J972" s="606" t="e">
        <f aca="false">IF(+J142+J154+J156&gt;0,J142+J154+J156,0)</f>
        <v>#N/A</v>
      </c>
      <c r="K972" s="606" t="e">
        <f aca="false">IF(+K142+K154+K156&gt;0,K142+K154+K156,0)</f>
        <v>#N/A</v>
      </c>
      <c r="L972" s="606" t="e">
        <f aca="false">IF(+L142+L154+L156&gt;0,L142+L154+L156,0)</f>
        <v>#N/A</v>
      </c>
      <c r="M972" s="606" t="e">
        <f aca="false">IF(+M142+M154+M156&gt;0,M142+M154+M156,0)</f>
        <v>#N/A</v>
      </c>
      <c r="N972" s="606" t="e">
        <f aca="false">IF(+N142+N154+N156&gt;0,N142+N154+N156,0)</f>
        <v>#N/A</v>
      </c>
      <c r="O972" s="606" t="e">
        <f aca="false">IF(+O142+O154+O156&gt;0,O142+O154+O156,0)</f>
        <v>#N/A</v>
      </c>
      <c r="P972" s="606" t="e">
        <f aca="false">IF(+P142+P154+P156&gt;0,P142+P154+P156,0)</f>
        <v>#N/A</v>
      </c>
      <c r="Q972" s="606" t="e">
        <f aca="false">IF(+Q142+Q154+Q156&gt;0,Q142+Q154+Q156,0)</f>
        <v>#N/A</v>
      </c>
      <c r="R972" s="606" t="e">
        <f aca="false">IF(+R142+R154+R156&gt;0,R142+R154+R156,0)</f>
        <v>#N/A</v>
      </c>
      <c r="S972" s="606" t="e">
        <f aca="false">IF(+S142+S154+S156&gt;0,S142+S154+S156,0)</f>
        <v>#N/A</v>
      </c>
      <c r="T972" s="606" t="e">
        <f aca="false">IF(+T142+T154+T156&gt;0,T142+T154+T156,0)</f>
        <v>#N/A</v>
      </c>
      <c r="U972" s="606" t="e">
        <f aca="false">IF(+U142+U154+U156&gt;0,U142+U154+U156,0)</f>
        <v>#N/A</v>
      </c>
      <c r="V972" s="606" t="e">
        <f aca="false">IF(+V142+V154+V156&gt;0,V142+V154+V156,0)</f>
        <v>#N/A</v>
      </c>
      <c r="W972" s="606" t="e">
        <f aca="false">IF(+W142+W154+W156&gt;0,W142+W154+W156,0)</f>
        <v>#N/A</v>
      </c>
      <c r="X972" s="606" t="e">
        <f aca="false">IF(+X142+X154+X156&gt;0,X142+X154+X156,0)</f>
        <v>#N/A</v>
      </c>
      <c r="Y972" s="606" t="e">
        <f aca="false">IF(+Y142+Y154+Y156&gt;0,Y142+Y154+Y156,0)</f>
        <v>#N/A</v>
      </c>
      <c r="Z972" s="606" t="e">
        <f aca="false">IF(+Z142+Z154+Z156&gt;0,Z142+Z154+Z156,0)</f>
        <v>#N/A</v>
      </c>
      <c r="AA972" s="606" t="e">
        <f aca="false">IF(+AA142+AA154+AA156&gt;0,AA142+AA154+AA156,0)</f>
        <v>#N/A</v>
      </c>
      <c r="AB972" s="606" t="e">
        <f aca="false">IF(+AB142+AB154+AB156&gt;0,AB142+AB154+AB156,0)</f>
        <v>#N/A</v>
      </c>
      <c r="AC972" s="606" t="e">
        <f aca="false">IF(+AC142+AC154+AC156&gt;0,AC142+AC154+AC156,0)</f>
        <v>#N/A</v>
      </c>
    </row>
    <row r="973" customFormat="false" ht="12" hidden="false" customHeight="false" outlineLevel="0" collapsed="false">
      <c r="A973" s="609"/>
      <c r="B973" s="609"/>
      <c r="C973" s="609"/>
      <c r="D973" s="609"/>
      <c r="E973" s="609"/>
      <c r="F973" s="609"/>
      <c r="G973" s="609"/>
      <c r="H973" s="609"/>
      <c r="I973" s="609"/>
      <c r="J973" s="609"/>
      <c r="K973" s="609"/>
      <c r="L973" s="609"/>
      <c r="M973" s="609"/>
      <c r="N973" s="609"/>
      <c r="O973" s="609"/>
      <c r="P973" s="609"/>
      <c r="Q973" s="609"/>
      <c r="R973" s="609"/>
      <c r="S973" s="609"/>
      <c r="T973" s="609"/>
      <c r="U973" s="609"/>
      <c r="V973" s="609"/>
      <c r="W973" s="609"/>
      <c r="X973" s="609"/>
      <c r="Y973" s="609"/>
      <c r="Z973" s="609"/>
      <c r="AA973" s="609"/>
      <c r="AB973" s="609"/>
      <c r="AC973" s="609"/>
    </row>
    <row r="974" customFormat="false" ht="12.75" hidden="false" customHeight="false" outlineLevel="0" collapsed="false">
      <c r="A974" s="613"/>
      <c r="B974" s="613"/>
      <c r="C974" s="613"/>
      <c r="D974" s="613"/>
      <c r="E974" s="613"/>
      <c r="F974" s="613"/>
      <c r="G974" s="613"/>
      <c r="H974" s="613"/>
      <c r="I974" s="613"/>
      <c r="J974" s="613"/>
      <c r="K974" s="613"/>
      <c r="L974" s="613"/>
      <c r="M974" s="613"/>
      <c r="N974" s="613"/>
      <c r="O974" s="613"/>
      <c r="P974" s="613"/>
      <c r="Q974" s="613"/>
      <c r="R974" s="613"/>
      <c r="S974" s="613"/>
      <c r="T974" s="613"/>
      <c r="U974" s="613"/>
      <c r="V974" s="613"/>
      <c r="W974" s="613"/>
      <c r="X974" s="613"/>
      <c r="Y974" s="613"/>
      <c r="Z974" s="613"/>
      <c r="AA974" s="613"/>
      <c r="AB974" s="613"/>
      <c r="AC974" s="613"/>
    </row>
    <row r="975" customFormat="false" ht="12.75" hidden="false" customHeight="false" outlineLevel="0" collapsed="false">
      <c r="E975" s="434" t="n">
        <f aca="false">E580</f>
        <v>1996</v>
      </c>
      <c r="F975" s="434" t="n">
        <f aca="false">F580</f>
        <v>1997</v>
      </c>
      <c r="G975" s="434" t="n">
        <f aca="false">G580</f>
        <v>1998</v>
      </c>
      <c r="H975" s="81" t="str">
        <f aca="false">$H$579&amp;"/"&amp;TEXT($H$580,"0")</f>
        <v>6 M/1999</v>
      </c>
      <c r="I975" s="81" t="str">
        <f aca="false">$I$579&amp;"/"&amp;TEXT($I$580,"0")</f>
        <v>6 M/1999</v>
      </c>
      <c r="J975" s="434" t="n">
        <f aca="false">J580</f>
        <v>2000</v>
      </c>
      <c r="K975" s="434" t="n">
        <f aca="false">K580</f>
        <v>2001</v>
      </c>
      <c r="L975" s="434" t="n">
        <f aca="false">L580</f>
        <v>2002</v>
      </c>
      <c r="M975" s="434" t="n">
        <f aca="false">M580</f>
        <v>2003</v>
      </c>
      <c r="N975" s="434" t="n">
        <f aca="false">N580</f>
        <v>2004</v>
      </c>
      <c r="O975" s="434" t="n">
        <f aca="false">O580</f>
        <v>2005</v>
      </c>
      <c r="P975" s="434" t="n">
        <f aca="false">P580</f>
        <v>2006</v>
      </c>
      <c r="Q975" s="434" t="n">
        <f aca="false">Q580</f>
        <v>2007</v>
      </c>
      <c r="R975" s="434" t="n">
        <f aca="false">R580</f>
        <v>2008</v>
      </c>
      <c r="S975" s="434" t="n">
        <f aca="false">S580</f>
        <v>2009</v>
      </c>
      <c r="T975" s="434" t="n">
        <f aca="false">T580</f>
        <v>2010</v>
      </c>
      <c r="U975" s="434" t="n">
        <f aca="false">U580</f>
        <v>2011</v>
      </c>
      <c r="V975" s="434" t="n">
        <f aca="false">V580</f>
        <v>2012</v>
      </c>
      <c r="W975" s="434" t="n">
        <f aca="false">W580</f>
        <v>2013</v>
      </c>
      <c r="X975" s="434" t="n">
        <f aca="false">X580</f>
        <v>2014</v>
      </c>
      <c r="Y975" s="434" t="n">
        <f aca="false">Y580</f>
        <v>2015</v>
      </c>
      <c r="Z975" s="434" t="n">
        <f aca="false">Z580</f>
        <v>2016</v>
      </c>
      <c r="AA975" s="434" t="n">
        <f aca="false">AA580</f>
        <v>2017</v>
      </c>
      <c r="AB975" s="434" t="n">
        <f aca="false">AB580</f>
        <v>2018</v>
      </c>
      <c r="AC975" s="434" t="n">
        <f aca="false">AC580</f>
        <v>2019</v>
      </c>
    </row>
    <row r="976" customFormat="false" ht="12" hidden="false" customHeight="false" outlineLevel="0" collapsed="false">
      <c r="A976" s="153" t="s">
        <v>1123</v>
      </c>
      <c r="D976" s="260"/>
      <c r="E976" s="67"/>
      <c r="F976" s="67"/>
      <c r="G976" s="67"/>
      <c r="H976" s="206"/>
      <c r="I976" s="67"/>
      <c r="J976" s="67"/>
      <c r="K976" s="67"/>
      <c r="L976" s="67"/>
      <c r="M976" s="67"/>
      <c r="N976" s="67"/>
      <c r="O976" s="67"/>
      <c r="P976" s="67"/>
      <c r="Q976" s="67"/>
      <c r="R976" s="67"/>
      <c r="S976" s="67"/>
      <c r="T976" s="67"/>
      <c r="U976" s="67"/>
      <c r="V976" s="67"/>
      <c r="W976" s="67"/>
      <c r="X976" s="67"/>
      <c r="Y976" s="67"/>
      <c r="Z976" s="67"/>
      <c r="AA976" s="67"/>
      <c r="AB976" s="67"/>
      <c r="AC976" s="67"/>
    </row>
    <row r="977" customFormat="false" ht="11.25" hidden="false" customHeight="false" outlineLevel="0" collapsed="false">
      <c r="A977" s="35" t="str">
        <f aca="false">A69</f>
        <v>Revenues</v>
      </c>
      <c r="D977" s="370"/>
      <c r="E977" s="409" t="str">
        <f aca="false">IF(ISERR(+E69/E$69),"NA",E69/E$69)</f>
        <v>NA</v>
      </c>
      <c r="F977" s="409" t="str">
        <f aca="false">IF(ISERR(+F69/F$69),"NA",F69/F$69)</f>
        <v>NA</v>
      </c>
      <c r="G977" s="409" t="str">
        <f aca="false">IF(ISERR(+G69/G$69),"NA",G69/G$69)</f>
        <v>NA</v>
      </c>
      <c r="H977" s="614" t="str">
        <f aca="false">IF(ISERR(+H69/H$69),"NA",H69/H$69)</f>
        <v>NA</v>
      </c>
      <c r="I977" s="409" t="n">
        <f aca="false">IF(ISERR(+I69/I$69),"NA",I69/I$69)</f>
        <v>1</v>
      </c>
      <c r="J977" s="409" t="n">
        <f aca="false">IF(ISERR(+J69/J$69),"NA",J69/J$69)</f>
        <v>1</v>
      </c>
      <c r="K977" s="409" t="n">
        <f aca="false">IF(ISERR(+K69/K$69),"NA",K69/K$69)</f>
        <v>1</v>
      </c>
      <c r="L977" s="409" t="n">
        <f aca="false">IF(ISERR(+L69/L$69),"NA",L69/L$69)</f>
        <v>1</v>
      </c>
      <c r="M977" s="409" t="n">
        <f aca="false">IF(ISERR(+M69/M$69),"NA",M69/M$69)</f>
        <v>1</v>
      </c>
      <c r="N977" s="409" t="n">
        <f aca="false">IF(ISERR(+N69/N$69),"NA",N69/N$69)</f>
        <v>1</v>
      </c>
      <c r="O977" s="409" t="n">
        <f aca="false">IF(ISERR(+O69/O$69),"NA",O69/O$69)</f>
        <v>1</v>
      </c>
      <c r="P977" s="409" t="n">
        <f aca="false">IF(ISERR(+P69/P$69),"NA",P69/P$69)</f>
        <v>1</v>
      </c>
      <c r="Q977" s="409" t="n">
        <f aca="false">IF(ISERR(+Q69/Q$69),"NA",Q69/Q$69)</f>
        <v>1</v>
      </c>
      <c r="R977" s="409" t="n">
        <f aca="false">IF(ISERR(+R69/R$69),"NA",R69/R$69)</f>
        <v>1</v>
      </c>
      <c r="S977" s="409" t="n">
        <f aca="false">IF(ISERR(+S69/S$69),"NA",S69/S$69)</f>
        <v>1</v>
      </c>
      <c r="T977" s="409" t="n">
        <f aca="false">IF(ISERR(+T69/T$69),"NA",T69/T$69)</f>
        <v>1</v>
      </c>
      <c r="U977" s="409" t="n">
        <f aca="false">IF(ISERR(+U69/U$69),"NA",U69/U$69)</f>
        <v>1</v>
      </c>
      <c r="V977" s="409" t="n">
        <f aca="false">IF(ISERR(+V69/V$69),"NA",V69/V$69)</f>
        <v>1</v>
      </c>
      <c r="W977" s="409" t="n">
        <f aca="false">IF(ISERR(+W69/W$69),"NA",W69/W$69)</f>
        <v>1</v>
      </c>
      <c r="X977" s="409" t="n">
        <f aca="false">IF(ISERR(+X69/X$69),"NA",X69/X$69)</f>
        <v>1</v>
      </c>
      <c r="Y977" s="409" t="n">
        <f aca="false">IF(ISERR(+Y69/Y$69),"NA",Y69/Y$69)</f>
        <v>1</v>
      </c>
      <c r="Z977" s="409" t="n">
        <f aca="false">IF(ISERR(+Z69/Z$69),"NA",Z69/Z$69)</f>
        <v>1</v>
      </c>
      <c r="AA977" s="409" t="n">
        <f aca="false">IF(ISERR(+AA69/AA$69),"NA",AA69/AA$69)</f>
        <v>1</v>
      </c>
      <c r="AB977" s="409" t="n">
        <f aca="false">IF(ISERR(+AB69/AB$69),"NA",AB69/AB$69)</f>
        <v>1</v>
      </c>
      <c r="AC977" s="409" t="n">
        <f aca="false">IF(ISERR(+AC69/AC$69),"NA",AC69/AC$69)</f>
        <v>1</v>
      </c>
    </row>
    <row r="978" customFormat="false" ht="11.25" hidden="false" customHeight="false" outlineLevel="0" collapsed="false">
      <c r="A978" s="35" t="str">
        <f aca="false">A70</f>
        <v>Cost of Revenues</v>
      </c>
      <c r="D978" s="370"/>
      <c r="E978" s="409" t="str">
        <f aca="false">IF(ISERR(+E70/E$69),"NA",E70/E$69)</f>
        <v>NA</v>
      </c>
      <c r="F978" s="409" t="str">
        <f aca="false">IF(ISERR(+F70/F$69),"NA",F70/F$69)</f>
        <v>NA</v>
      </c>
      <c r="G978" s="409" t="str">
        <f aca="false">IF(ISERR(+G70/G$69),"NA",G70/G$69)</f>
        <v>NA</v>
      </c>
      <c r="H978" s="614" t="str">
        <f aca="false">IF(ISERR(+H70/H$69),"NA",H70/H$69)</f>
        <v>NA</v>
      </c>
      <c r="I978" s="409" t="n">
        <f aca="false">IF(ISERR(+I70/I$69),"NA",I70/I$69)</f>
        <v>0.0726368784712973</v>
      </c>
      <c r="J978" s="409" t="n">
        <f aca="false">IF(ISERR(+J70/J$69),"NA",J70/J$69)</f>
        <v>0.0544977476073052</v>
      </c>
      <c r="K978" s="409" t="n">
        <f aca="false">IF(ISERR(+K70/K$69),"NA",K70/K$69)</f>
        <v>0.0518345217718097</v>
      </c>
      <c r="L978" s="409" t="n">
        <f aca="false">IF(ISERR(+L70/L$69),"NA",L70/L$69)</f>
        <v>0.0495653881215156</v>
      </c>
      <c r="M978" s="409" t="n">
        <f aca="false">IF(ISERR(+M70/M$69),"NA",M70/M$69)</f>
        <v>0.0467295530335879</v>
      </c>
      <c r="N978" s="409" t="n">
        <f aca="false">IF(ISERR(+N70/N$69),"NA",N70/N$69)</f>
        <v>0.0426480891138706</v>
      </c>
      <c r="O978" s="409" t="n">
        <f aca="false">IF(ISERR(+O70/O$69),"NA",O70/O$69)</f>
        <v>0.0355938785100556</v>
      </c>
      <c r="P978" s="409" t="n">
        <f aca="false">IF(ISERR(+P70/P$69),"NA",P70/P$69)</f>
        <v>0.0263389360224215</v>
      </c>
      <c r="Q978" s="409" t="n">
        <f aca="false">IF(ISERR(+Q70/Q$69),"NA",Q70/Q$69)</f>
        <v>-0.00501943193886232</v>
      </c>
      <c r="R978" s="409" t="n">
        <f aca="false">IF(ISERR(+R70/R$69),"NA",R70/R$69)</f>
        <v>-0.0267408996711661</v>
      </c>
      <c r="S978" s="409" t="n">
        <f aca="false">IF(ISERR(+S70/S$69),"NA",S70/S$69)</f>
        <v>-0.00389944317998058</v>
      </c>
      <c r="T978" s="409" t="n">
        <f aca="false">IF(ISERR(+T70/T$69),"NA",T70/T$69)</f>
        <v>-0.0221822175110799</v>
      </c>
      <c r="U978" s="409" t="n">
        <f aca="false">IF(ISERR(+U70/U$69),"NA",U70/U$69)</f>
        <v>-0.0442463694320271</v>
      </c>
      <c r="V978" s="409" t="n">
        <f aca="false">IF(ISERR(+V70/V$69),"NA",V70/V$69)</f>
        <v>-0.0739636870323249</v>
      </c>
      <c r="W978" s="409" t="n">
        <f aca="false">IF(ISERR(+W70/W$69),"NA",W70/W$69)</f>
        <v>-0.00726819399389706</v>
      </c>
      <c r="X978" s="409" t="n">
        <f aca="false">IF(ISERR(+X70/X$69),"NA",X70/X$69)</f>
        <v>-0.0303804262374343</v>
      </c>
      <c r="Y978" s="409" t="n">
        <f aca="false">IF(ISERR(+Y70/Y$69),"NA",Y70/Y$69)</f>
        <v>0.0534110197462612</v>
      </c>
      <c r="Z978" s="409" t="n">
        <f aca="false">IF(ISERR(+Z70/Z$69),"NA",Z70/Z$69)</f>
        <v>0.092</v>
      </c>
      <c r="AA978" s="409" t="n">
        <f aca="false">IF(ISERR(+AA70/AA$69),"NA",AA70/AA$69)</f>
        <v>0.092</v>
      </c>
      <c r="AB978" s="409" t="n">
        <f aca="false">IF(ISERR(+AB70/AB$69),"NA",AB70/AB$69)</f>
        <v>0.092</v>
      </c>
      <c r="AC978" s="409" t="n">
        <f aca="false">IF(ISERR(+AC70/AC$69),"NA",AC70/AC$69)</f>
        <v>0.092</v>
      </c>
    </row>
    <row r="979" customFormat="false" ht="11.25" hidden="false" customHeight="false" outlineLevel="0" collapsed="false">
      <c r="A979" s="168" t="str">
        <f aca="false">A71</f>
        <v>Gross Profits</v>
      </c>
      <c r="D979" s="370"/>
      <c r="E979" s="615" t="str">
        <f aca="false">IF(ISERR(+E71/E$69),"NA",E71/E$69)</f>
        <v>NA</v>
      </c>
      <c r="F979" s="615" t="str">
        <f aca="false">IF(ISERR(+F71/F$69),"NA",F71/F$69)</f>
        <v>NA</v>
      </c>
      <c r="G979" s="615" t="str">
        <f aca="false">IF(ISERR(+G71/G$69),"NA",G71/G$69)</f>
        <v>NA</v>
      </c>
      <c r="H979" s="616" t="str">
        <f aca="false">IF(ISERR(+H71/H$69),"NA",H71/H$69)</f>
        <v>NA</v>
      </c>
      <c r="I979" s="615" t="n">
        <f aca="false">IF(ISERR(+I71/I$69),"NA",I71/I$69)</f>
        <v>0.927363121528703</v>
      </c>
      <c r="J979" s="615" t="n">
        <f aca="false">IF(ISERR(+J71/J$69),"NA",J71/J$69)</f>
        <v>0.945502252392695</v>
      </c>
      <c r="K979" s="615" t="n">
        <f aca="false">IF(ISERR(+K71/K$69),"NA",K71/K$69)</f>
        <v>0.94816547822819</v>
      </c>
      <c r="L979" s="615" t="n">
        <f aca="false">IF(ISERR(+L71/L$69),"NA",L71/L$69)</f>
        <v>0.950434611878484</v>
      </c>
      <c r="M979" s="615" t="n">
        <f aca="false">IF(ISERR(+M71/M$69),"NA",M71/M$69)</f>
        <v>0.953270446966412</v>
      </c>
      <c r="N979" s="615" t="n">
        <f aca="false">IF(ISERR(+N71/N$69),"NA",N71/N$69)</f>
        <v>0.957351910886129</v>
      </c>
      <c r="O979" s="615" t="n">
        <f aca="false">IF(ISERR(+O71/O$69),"NA",O71/O$69)</f>
        <v>0.964406121489944</v>
      </c>
      <c r="P979" s="615" t="n">
        <f aca="false">IF(ISERR(+P71/P$69),"NA",P71/P$69)</f>
        <v>0.973661063977579</v>
      </c>
      <c r="Q979" s="615" t="n">
        <f aca="false">IF(ISERR(+Q71/Q$69),"NA",Q71/Q$69)</f>
        <v>1.00501943193886</v>
      </c>
      <c r="R979" s="615" t="n">
        <f aca="false">IF(ISERR(+R71/R$69),"NA",R71/R$69)</f>
        <v>1.02674089967117</v>
      </c>
      <c r="S979" s="615" t="n">
        <f aca="false">IF(ISERR(+S71/S$69),"NA",S71/S$69)</f>
        <v>1.00389944317998</v>
      </c>
      <c r="T979" s="615" t="n">
        <f aca="false">IF(ISERR(+T71/T$69),"NA",T71/T$69)</f>
        <v>1.02218221751108</v>
      </c>
      <c r="U979" s="615" t="n">
        <f aca="false">IF(ISERR(+U71/U$69),"NA",U71/U$69)</f>
        <v>1.04424636943203</v>
      </c>
      <c r="V979" s="615" t="n">
        <f aca="false">IF(ISERR(+V71/V$69),"NA",V71/V$69)</f>
        <v>1.07396368703233</v>
      </c>
      <c r="W979" s="615" t="n">
        <f aca="false">IF(ISERR(+W71/W$69),"NA",W71/W$69)</f>
        <v>1.0072681939939</v>
      </c>
      <c r="X979" s="615" t="n">
        <f aca="false">IF(ISERR(+X71/X$69),"NA",X71/X$69)</f>
        <v>1.03038042623743</v>
      </c>
      <c r="Y979" s="615" t="n">
        <f aca="false">IF(ISERR(+Y71/Y$69),"NA",Y71/Y$69)</f>
        <v>0.946588980253739</v>
      </c>
      <c r="Z979" s="615" t="n">
        <f aca="false">IF(ISERR(+Z71/Z$69),"NA",Z71/Z$69)</f>
        <v>0.908</v>
      </c>
      <c r="AA979" s="615" t="n">
        <f aca="false">IF(ISERR(+AA71/AA$69),"NA",AA71/AA$69)</f>
        <v>0.908</v>
      </c>
      <c r="AB979" s="615" t="n">
        <f aca="false">IF(ISERR(+AB71/AB$69),"NA",AB71/AB$69)</f>
        <v>0.908</v>
      </c>
      <c r="AC979" s="615" t="n">
        <f aca="false">IF(ISERR(+AC71/AC$69),"NA",AC71/AC$69)</f>
        <v>0.908</v>
      </c>
    </row>
    <row r="980" customFormat="false" ht="11.25" hidden="false" customHeight="false" outlineLevel="0" collapsed="false">
      <c r="D980" s="370"/>
      <c r="E980" s="409"/>
      <c r="F980" s="409"/>
      <c r="G980" s="409"/>
      <c r="H980" s="614"/>
      <c r="I980" s="409"/>
      <c r="J980" s="409"/>
      <c r="K980" s="409"/>
      <c r="L980" s="409"/>
      <c r="M980" s="409"/>
      <c r="N980" s="409"/>
      <c r="O980" s="409"/>
      <c r="P980" s="409"/>
      <c r="Q980" s="409"/>
      <c r="R980" s="409"/>
      <c r="S980" s="409"/>
      <c r="T980" s="409"/>
      <c r="U980" s="409"/>
      <c r="V980" s="409"/>
      <c r="W980" s="409"/>
      <c r="X980" s="409"/>
      <c r="Y980" s="409"/>
      <c r="Z980" s="409"/>
      <c r="AA980" s="409"/>
      <c r="AB980" s="409"/>
      <c r="AC980" s="409"/>
    </row>
    <row r="981" customFormat="false" ht="11.25" hidden="false" customHeight="false" outlineLevel="0" collapsed="false">
      <c r="A981" s="35" t="str">
        <f aca="false">A73</f>
        <v>Operating Expenses</v>
      </c>
      <c r="D981" s="370"/>
      <c r="E981" s="409" t="str">
        <f aca="false">IF(ISERR(+E73/E$69),"NA",E73/E$69)</f>
        <v>NA</v>
      </c>
      <c r="F981" s="409" t="str">
        <f aca="false">IF(ISERR(+F73/F$69),"NA",F73/F$69)</f>
        <v>NA</v>
      </c>
      <c r="G981" s="409" t="str">
        <f aca="false">IF(ISERR(+G73/G$69),"NA",G73/G$69)</f>
        <v>NA</v>
      </c>
      <c r="H981" s="614" t="str">
        <f aca="false">IF(ISERR(+H73/H$69),"NA",H73/H$69)</f>
        <v>NA</v>
      </c>
      <c r="I981" s="409" t="n">
        <f aca="false">IF(ISERR(+I73/I$69),"NA",I73/I$69)</f>
        <v>-0</v>
      </c>
      <c r="J981" s="409" t="n">
        <f aca="false">IF(ISERR(+J73/J$69),"NA",J73/J$69)</f>
        <v>-0</v>
      </c>
      <c r="K981" s="409" t="n">
        <f aca="false">IF(ISERR(+K73/K$69),"NA",K73/K$69)</f>
        <v>-0</v>
      </c>
      <c r="L981" s="409" t="n">
        <f aca="false">IF(ISERR(+L73/L$69),"NA",L73/L$69)</f>
        <v>-0</v>
      </c>
      <c r="M981" s="409" t="n">
        <f aca="false">IF(ISERR(+M73/M$69),"NA",M73/M$69)</f>
        <v>-0</v>
      </c>
      <c r="N981" s="409" t="n">
        <f aca="false">IF(ISERR(+N73/N$69),"NA",N73/N$69)</f>
        <v>-0</v>
      </c>
      <c r="O981" s="409" t="n">
        <f aca="false">IF(ISERR(+O73/O$69),"NA",O73/O$69)</f>
        <v>-0</v>
      </c>
      <c r="P981" s="409" t="n">
        <f aca="false">IF(ISERR(+P73/P$69),"NA",P73/P$69)</f>
        <v>-0</v>
      </c>
      <c r="Q981" s="409" t="n">
        <f aca="false">IF(ISERR(+Q73/Q$69),"NA",Q73/Q$69)</f>
        <v>-0</v>
      </c>
      <c r="R981" s="409" t="n">
        <f aca="false">IF(ISERR(+R73/R$69),"NA",R73/R$69)</f>
        <v>-0</v>
      </c>
      <c r="S981" s="409" t="n">
        <f aca="false">IF(ISERR(+S73/S$69),"NA",S73/S$69)</f>
        <v>-0</v>
      </c>
      <c r="T981" s="409" t="n">
        <f aca="false">IF(ISERR(+T73/T$69),"NA",T73/T$69)</f>
        <v>-0</v>
      </c>
      <c r="U981" s="409" t="n">
        <f aca="false">IF(ISERR(+U73/U$69),"NA",U73/U$69)</f>
        <v>-0</v>
      </c>
      <c r="V981" s="409" t="n">
        <f aca="false">IF(ISERR(+V73/V$69),"NA",V73/V$69)</f>
        <v>-0</v>
      </c>
      <c r="W981" s="409" t="n">
        <f aca="false">IF(ISERR(+W73/W$69),"NA",W73/W$69)</f>
        <v>-0</v>
      </c>
      <c r="X981" s="409" t="n">
        <f aca="false">IF(ISERR(+X73/X$69),"NA",X73/X$69)</f>
        <v>-0</v>
      </c>
      <c r="Y981" s="409" t="n">
        <f aca="false">IF(ISERR(+Y73/Y$69),"NA",Y73/Y$69)</f>
        <v>-0</v>
      </c>
      <c r="Z981" s="409" t="n">
        <f aca="false">IF(ISERR(+Z73/Z$69),"NA",Z73/Z$69)</f>
        <v>-0</v>
      </c>
      <c r="AA981" s="409" t="n">
        <f aca="false">IF(ISERR(+AA73/AA$69),"NA",AA73/AA$69)</f>
        <v>-0</v>
      </c>
      <c r="AB981" s="409" t="n">
        <f aca="false">IF(ISERR(+AB73/AB$69),"NA",AB73/AB$69)</f>
        <v>-0</v>
      </c>
      <c r="AC981" s="409" t="n">
        <f aca="false">IF(ISERR(+AC73/AC$69),"NA",AC73/AC$69)</f>
        <v>-0</v>
      </c>
    </row>
    <row r="982" customFormat="false" ht="11.25" hidden="false" customHeight="false" outlineLevel="0" collapsed="false">
      <c r="A982" s="168" t="str">
        <f aca="false">A74</f>
        <v>EBDIT</v>
      </c>
      <c r="D982" s="370"/>
      <c r="E982" s="615" t="str">
        <f aca="false">IF(ISERR(+E74/E$69),"NA",E74/E$69)</f>
        <v>NA</v>
      </c>
      <c r="F982" s="615" t="str">
        <f aca="false">IF(ISERR(+F74/F$69),"NA",F74/F$69)</f>
        <v>NA</v>
      </c>
      <c r="G982" s="615" t="str">
        <f aca="false">IF(ISERR(+G74/G$69),"NA",G74/G$69)</f>
        <v>NA</v>
      </c>
      <c r="H982" s="616" t="str">
        <f aca="false">IF(ISERR(+H74/H$69),"NA",H74/H$69)</f>
        <v>NA</v>
      </c>
      <c r="I982" s="615" t="n">
        <f aca="false">IF(ISERR(+I74/I$69),"NA",I74/I$69)</f>
        <v>0.927363121528703</v>
      </c>
      <c r="J982" s="615" t="n">
        <f aca="false">IF(ISERR(+J74/J$69),"NA",J74/J$69)</f>
        <v>0.945502252392695</v>
      </c>
      <c r="K982" s="615" t="n">
        <f aca="false">IF(ISERR(+K74/K$69),"NA",K74/K$69)</f>
        <v>0.94816547822819</v>
      </c>
      <c r="L982" s="615" t="n">
        <f aca="false">IF(ISERR(+L74/L$69),"NA",L74/L$69)</f>
        <v>0.950434611878484</v>
      </c>
      <c r="M982" s="615" t="n">
        <f aca="false">IF(ISERR(+M74/M$69),"NA",M74/M$69)</f>
        <v>0.953270446966412</v>
      </c>
      <c r="N982" s="615" t="n">
        <f aca="false">IF(ISERR(+N74/N$69),"NA",N74/N$69)</f>
        <v>0.957351910886129</v>
      </c>
      <c r="O982" s="615" t="n">
        <f aca="false">IF(ISERR(+O74/O$69),"NA",O74/O$69)</f>
        <v>0.964406121489944</v>
      </c>
      <c r="P982" s="615" t="n">
        <f aca="false">IF(ISERR(+P74/P$69),"NA",P74/P$69)</f>
        <v>0.973661063977579</v>
      </c>
      <c r="Q982" s="615" t="n">
        <f aca="false">IF(ISERR(+Q74/Q$69),"NA",Q74/Q$69)</f>
        <v>1.00501943193886</v>
      </c>
      <c r="R982" s="615" t="n">
        <f aca="false">IF(ISERR(+R74/R$69),"NA",R74/R$69)</f>
        <v>1.02674089967117</v>
      </c>
      <c r="S982" s="615" t="n">
        <f aca="false">IF(ISERR(+S74/S$69),"NA",S74/S$69)</f>
        <v>1.00389944317998</v>
      </c>
      <c r="T982" s="615" t="n">
        <f aca="false">IF(ISERR(+T74/T$69),"NA",T74/T$69)</f>
        <v>1.02218221751108</v>
      </c>
      <c r="U982" s="615" t="n">
        <f aca="false">IF(ISERR(+U74/U$69),"NA",U74/U$69)</f>
        <v>1.04424636943203</v>
      </c>
      <c r="V982" s="615" t="n">
        <f aca="false">IF(ISERR(+V74/V$69),"NA",V74/V$69)</f>
        <v>1.07396368703233</v>
      </c>
      <c r="W982" s="615" t="n">
        <f aca="false">IF(ISERR(+W74/W$69),"NA",W74/W$69)</f>
        <v>1.0072681939939</v>
      </c>
      <c r="X982" s="615" t="n">
        <f aca="false">IF(ISERR(+X74/X$69),"NA",X74/X$69)</f>
        <v>1.03038042623743</v>
      </c>
      <c r="Y982" s="615" t="n">
        <f aca="false">IF(ISERR(+Y74/Y$69),"NA",Y74/Y$69)</f>
        <v>0.946588980253739</v>
      </c>
      <c r="Z982" s="615" t="n">
        <f aca="false">IF(ISERR(+Z74/Z$69),"NA",Z74/Z$69)</f>
        <v>0.908</v>
      </c>
      <c r="AA982" s="615" t="n">
        <f aca="false">IF(ISERR(+AA74/AA$69),"NA",AA74/AA$69)</f>
        <v>0.908</v>
      </c>
      <c r="AB982" s="615" t="n">
        <f aca="false">IF(ISERR(+AB74/AB$69),"NA",AB74/AB$69)</f>
        <v>0.908</v>
      </c>
      <c r="AC982" s="615" t="n">
        <f aca="false">IF(ISERR(+AC74/AC$69),"NA",AC74/AC$69)</f>
        <v>0.908</v>
      </c>
    </row>
    <row r="983" customFormat="false" ht="11.25" hidden="false" customHeight="false" outlineLevel="0" collapsed="false">
      <c r="E983" s="409"/>
      <c r="F983" s="409"/>
      <c r="G983" s="409"/>
      <c r="H983" s="614"/>
      <c r="I983" s="409"/>
      <c r="J983" s="409"/>
      <c r="K983" s="409"/>
      <c r="L983" s="409"/>
      <c r="M983" s="409"/>
      <c r="N983" s="409"/>
      <c r="O983" s="409"/>
      <c r="P983" s="409"/>
      <c r="Q983" s="409"/>
      <c r="R983" s="409"/>
      <c r="S983" s="409"/>
      <c r="T983" s="409"/>
      <c r="U983" s="409"/>
      <c r="V983" s="409"/>
      <c r="W983" s="409"/>
      <c r="X983" s="409"/>
      <c r="Y983" s="409"/>
      <c r="Z983" s="409"/>
      <c r="AA983" s="409"/>
      <c r="AB983" s="409"/>
      <c r="AC983" s="409"/>
    </row>
    <row r="984" customFormat="false" ht="11.25" hidden="false" customHeight="false" outlineLevel="0" collapsed="false">
      <c r="A984" s="35" t="str">
        <f aca="false">A76</f>
        <v>Depreciation and Depletion</v>
      </c>
      <c r="D984" s="370"/>
      <c r="E984" s="409" t="str">
        <f aca="false">IF(ISERR(+E76/E$69),"NA",E76/E$69)</f>
        <v>NA</v>
      </c>
      <c r="F984" s="409" t="str">
        <f aca="false">IF(ISERR(+F76/F$69),"NA",F76/F$69)</f>
        <v>NA</v>
      </c>
      <c r="G984" s="409" t="str">
        <f aca="false">IF(ISERR(+G76/G$69),"NA",G76/G$69)</f>
        <v>NA</v>
      </c>
      <c r="H984" s="614" t="str">
        <f aca="false">IF(ISERR(+H76/H$69),"NA",H76/H$69)</f>
        <v>NA</v>
      </c>
      <c r="I984" s="409" t="n">
        <f aca="false">IF(ISERR(+I76/I$69),"NA",I76/I$69)</f>
        <v>-0</v>
      </c>
      <c r="J984" s="409" t="n">
        <f aca="false">IF(ISERR(+J76/J$69),"NA",J76/J$69)</f>
        <v>-0</v>
      </c>
      <c r="K984" s="409" t="n">
        <f aca="false">IF(ISERR(+K76/K$69),"NA",K76/K$69)</f>
        <v>-0</v>
      </c>
      <c r="L984" s="409" t="n">
        <f aca="false">IF(ISERR(+L76/L$69),"NA",L76/L$69)</f>
        <v>-0</v>
      </c>
      <c r="M984" s="409" t="n">
        <f aca="false">IF(ISERR(+M76/M$69),"NA",M76/M$69)</f>
        <v>-0</v>
      </c>
      <c r="N984" s="409" t="n">
        <f aca="false">IF(ISERR(+N76/N$69),"NA",N76/N$69)</f>
        <v>-0</v>
      </c>
      <c r="O984" s="409" t="n">
        <f aca="false">IF(ISERR(+O76/O$69),"NA",O76/O$69)</f>
        <v>-0.00566597809350897</v>
      </c>
      <c r="P984" s="409" t="n">
        <f aca="false">IF(ISERR(+P76/P$69),"NA",P76/P$69)</f>
        <v>-0.00713086459371529</v>
      </c>
      <c r="Q984" s="409" t="n">
        <f aca="false">IF(ISERR(+Q76/Q$69),"NA",Q76/Q$69)</f>
        <v>-0.0123391100696485</v>
      </c>
      <c r="R984" s="409" t="n">
        <f aca="false">IF(ISERR(+R76/R$69),"NA",R76/R$69)</f>
        <v>-0.0123441925190018</v>
      </c>
      <c r="S984" s="409" t="n">
        <f aca="false">IF(ISERR(+S76/S$69),"NA",S76/S$69)</f>
        <v>-0.0123484640520467</v>
      </c>
      <c r="T984" s="409" t="n">
        <f aca="false">IF(ISERR(+T76/T$69),"NA",T76/T$69)</f>
        <v>-0.0123519680541452</v>
      </c>
      <c r="U984" s="409" t="n">
        <f aca="false">IF(ISERR(+U76/U$69),"NA",U76/U$69)</f>
        <v>-0.0123551330914656</v>
      </c>
      <c r="V984" s="409" t="n">
        <f aca="false">IF(ISERR(+V76/V$69),"NA",V76/V$69)</f>
        <v>-0.0123570763555998</v>
      </c>
      <c r="W984" s="409" t="n">
        <f aca="false">IF(ISERR(+W76/W$69),"NA",W76/W$69)</f>
        <v>-0.012358879272443</v>
      </c>
      <c r="X984" s="409" t="n">
        <f aca="false">IF(ISERR(+X76/X$69),"NA",X76/X$69)</f>
        <v>-0.0123600859351455</v>
      </c>
      <c r="Y984" s="409" t="n">
        <f aca="false">IF(ISERR(+Y76/Y$69),"NA",Y76/Y$69)</f>
        <v>-0.0123599019662093</v>
      </c>
      <c r="Z984" s="409" t="n">
        <f aca="false">IF(ISERR(+Z76/Z$69),"NA",Z76/Z$69)</f>
        <v>-0.0123604887457715</v>
      </c>
      <c r="AA984" s="409" t="n">
        <f aca="false">IF(ISERR(+AA76/AA$69),"NA",AA76/AA$69)</f>
        <v>-0.0123591518415712</v>
      </c>
      <c r="AB984" s="409" t="n">
        <f aca="false">IF(ISERR(+AB76/AB$69),"NA",AB76/AB$69)</f>
        <v>-0.0123580707508225</v>
      </c>
      <c r="AC984" s="409" t="n">
        <f aca="false">IF(ISERR(+AC76/AC$69),"NA",AC76/AC$69)</f>
        <v>-0.0123604365956659</v>
      </c>
    </row>
    <row r="985" customFormat="false" ht="11.25" hidden="false" customHeight="false" outlineLevel="0" collapsed="false">
      <c r="A985" s="35" t="str">
        <f aca="false">A77</f>
        <v>Amortization   -  Transaction Fees</v>
      </c>
      <c r="D985" s="370"/>
      <c r="E985" s="409" t="str">
        <f aca="false">IF(ISERR(+E77/E$69),"NA",E77/E$69)</f>
        <v>NA</v>
      </c>
      <c r="F985" s="409" t="str">
        <f aca="false">IF(ISERR(+F77/F$69),"NA",F77/F$69)</f>
        <v>NA</v>
      </c>
      <c r="G985" s="409" t="str">
        <f aca="false">IF(ISERR(+G77/G$69),"NA",G77/G$69)</f>
        <v>NA</v>
      </c>
      <c r="H985" s="614" t="str">
        <f aca="false">IF(ISERR(+H77/H$69),"NA",H77/H$69)</f>
        <v>NA</v>
      </c>
      <c r="I985" s="409" t="n">
        <f aca="false">IF(ISERR(+I77/I$69),"NA",I77/I$69)</f>
        <v>-0</v>
      </c>
      <c r="J985" s="409" t="n">
        <f aca="false">IF(ISERR(+J77/J$69),"NA",J77/J$69)</f>
        <v>-0</v>
      </c>
      <c r="K985" s="409" t="n">
        <f aca="false">IF(ISERR(+K77/K$69),"NA",K77/K$69)</f>
        <v>-0</v>
      </c>
      <c r="L985" s="409" t="n">
        <f aca="false">IF(ISERR(+L77/L$69),"NA",L77/L$69)</f>
        <v>-0</v>
      </c>
      <c r="M985" s="409" t="n">
        <f aca="false">IF(ISERR(+M77/M$69),"NA",M77/M$69)</f>
        <v>-0</v>
      </c>
      <c r="N985" s="409" t="n">
        <f aca="false">IF(ISERR(+N77/N$69),"NA",N77/N$69)</f>
        <v>-0</v>
      </c>
      <c r="O985" s="409" t="n">
        <f aca="false">IF(ISERR(+O77/O$69),"NA",O77/O$69)</f>
        <v>-0</v>
      </c>
      <c r="P985" s="409" t="n">
        <f aca="false">IF(ISERR(+P77/P$69),"NA",P77/P$69)</f>
        <v>-0</v>
      </c>
      <c r="Q985" s="409" t="n">
        <f aca="false">IF(ISERR(+Q77/Q$69),"NA",Q77/Q$69)</f>
        <v>-0</v>
      </c>
      <c r="R985" s="409" t="n">
        <f aca="false">IF(ISERR(+R77/R$69),"NA",R77/R$69)</f>
        <v>-0</v>
      </c>
      <c r="S985" s="409" t="n">
        <f aca="false">IF(ISERR(+S77/S$69),"NA",S77/S$69)</f>
        <v>-0</v>
      </c>
      <c r="T985" s="409" t="n">
        <f aca="false">IF(ISERR(+T77/T$69),"NA",T77/T$69)</f>
        <v>-0</v>
      </c>
      <c r="U985" s="409" t="n">
        <f aca="false">IF(ISERR(+U77/U$69),"NA",U77/U$69)</f>
        <v>-0</v>
      </c>
      <c r="V985" s="409" t="n">
        <f aca="false">IF(ISERR(+V77/V$69),"NA",V77/V$69)</f>
        <v>-0</v>
      </c>
      <c r="W985" s="409" t="n">
        <f aca="false">IF(ISERR(+W77/W$69),"NA",W77/W$69)</f>
        <v>-0</v>
      </c>
      <c r="X985" s="409" t="n">
        <f aca="false">IF(ISERR(+X77/X$69),"NA",X77/X$69)</f>
        <v>-0</v>
      </c>
      <c r="Y985" s="409" t="n">
        <f aca="false">IF(ISERR(+Y77/Y$69),"NA",Y77/Y$69)</f>
        <v>-0</v>
      </c>
      <c r="Z985" s="409" t="n">
        <f aca="false">IF(ISERR(+Z77/Z$69),"NA",Z77/Z$69)</f>
        <v>-0</v>
      </c>
      <c r="AA985" s="409" t="n">
        <f aca="false">IF(ISERR(+AA77/AA$69),"NA",AA77/AA$69)</f>
        <v>-0</v>
      </c>
      <c r="AB985" s="409" t="n">
        <f aca="false">IF(ISERR(+AB77/AB$69),"NA",AB77/AB$69)</f>
        <v>-0</v>
      </c>
      <c r="AC985" s="409" t="n">
        <f aca="false">IF(ISERR(+AC77/AC$69),"NA",AC77/AC$69)</f>
        <v>-0</v>
      </c>
    </row>
    <row r="986" customFormat="false" ht="11.25" hidden="false" customHeight="false" outlineLevel="0" collapsed="false">
      <c r="A986" s="35" t="str">
        <f aca="false">A78</f>
        <v>Amortization - Goodwill</v>
      </c>
      <c r="D986" s="370"/>
      <c r="E986" s="409" t="str">
        <f aca="false">IF(ISERR(+E78/E$69),"NA",E78/E$69)</f>
        <v>NA</v>
      </c>
      <c r="F986" s="409" t="str">
        <f aca="false">IF(ISERR(+F78/F$69),"NA",F78/F$69)</f>
        <v>NA</v>
      </c>
      <c r="G986" s="409" t="str">
        <f aca="false">IF(ISERR(+G78/G$69),"NA",G78/G$69)</f>
        <v>NA</v>
      </c>
      <c r="H986" s="614" t="str">
        <f aca="false">IF(ISERR(+H78/H$69),"NA",H78/H$69)</f>
        <v>NA</v>
      </c>
      <c r="I986" s="409" t="n">
        <f aca="false">IF(ISERR(+I78/I$69),"NA",I78/I$69)</f>
        <v>-0</v>
      </c>
      <c r="J986" s="409" t="n">
        <f aca="false">IF(ISERR(+J78/J$69),"NA",J78/J$69)</f>
        <v>-0</v>
      </c>
      <c r="K986" s="409" t="n">
        <f aca="false">IF(ISERR(+K78/K$69),"NA",K78/K$69)</f>
        <v>-0</v>
      </c>
      <c r="L986" s="409" t="n">
        <f aca="false">IF(ISERR(+L78/L$69),"NA",L78/L$69)</f>
        <v>-0</v>
      </c>
      <c r="M986" s="409" t="n">
        <f aca="false">IF(ISERR(+M78/M$69),"NA",M78/M$69)</f>
        <v>-0</v>
      </c>
      <c r="N986" s="409" t="n">
        <f aca="false">IF(ISERR(+N78/N$69),"NA",N78/N$69)</f>
        <v>-0</v>
      </c>
      <c r="O986" s="409" t="n">
        <f aca="false">IF(ISERR(+O78/O$69),"NA",O78/O$69)</f>
        <v>-0</v>
      </c>
      <c r="P986" s="409" t="n">
        <f aca="false">IF(ISERR(+P78/P$69),"NA",P78/P$69)</f>
        <v>-0</v>
      </c>
      <c r="Q986" s="409" t="n">
        <f aca="false">IF(ISERR(+Q78/Q$69),"NA",Q78/Q$69)</f>
        <v>-0</v>
      </c>
      <c r="R986" s="409" t="n">
        <f aca="false">IF(ISERR(+R78/R$69),"NA",R78/R$69)</f>
        <v>-0</v>
      </c>
      <c r="S986" s="409" t="n">
        <f aca="false">IF(ISERR(+S78/S$69),"NA",S78/S$69)</f>
        <v>-0</v>
      </c>
      <c r="T986" s="409" t="n">
        <f aca="false">IF(ISERR(+T78/T$69),"NA",T78/T$69)</f>
        <v>-0</v>
      </c>
      <c r="U986" s="409" t="n">
        <f aca="false">IF(ISERR(+U78/U$69),"NA",U78/U$69)</f>
        <v>-0</v>
      </c>
      <c r="V986" s="409" t="n">
        <f aca="false">IF(ISERR(+V78/V$69),"NA",V78/V$69)</f>
        <v>-0</v>
      </c>
      <c r="W986" s="409" t="n">
        <f aca="false">IF(ISERR(+W78/W$69),"NA",W78/W$69)</f>
        <v>-0</v>
      </c>
      <c r="X986" s="409" t="n">
        <f aca="false">IF(ISERR(+X78/X$69),"NA",X78/X$69)</f>
        <v>-0</v>
      </c>
      <c r="Y986" s="409" t="n">
        <f aca="false">IF(ISERR(+Y78/Y$69),"NA",Y78/Y$69)</f>
        <v>-0</v>
      </c>
      <c r="Z986" s="409" t="n">
        <f aca="false">IF(ISERR(+Z78/Z$69),"NA",Z78/Z$69)</f>
        <v>-0</v>
      </c>
      <c r="AA986" s="409" t="n">
        <f aca="false">IF(ISERR(+AA78/AA$69),"NA",AA78/AA$69)</f>
        <v>-0</v>
      </c>
      <c r="AB986" s="409" t="n">
        <f aca="false">IF(ISERR(+AB78/AB$69),"NA",AB78/AB$69)</f>
        <v>-0</v>
      </c>
      <c r="AC986" s="409" t="n">
        <f aca="false">IF(ISERR(+AC78/AC$69),"NA",AC78/AC$69)</f>
        <v>-0</v>
      </c>
    </row>
    <row r="987" customFormat="false" ht="11.25" hidden="false" customHeight="false" outlineLevel="0" collapsed="false">
      <c r="A987" s="35" t="str">
        <f aca="false">A79</f>
        <v>Amortization   -  Intangibles (from operating sheet)</v>
      </c>
      <c r="D987" s="370"/>
      <c r="E987" s="409" t="str">
        <f aca="false">IF(ISERR(+E79/E$69),"NA",E79/E$69)</f>
        <v>NA</v>
      </c>
      <c r="F987" s="409" t="str">
        <f aca="false">IF(ISERR(+F79/F$69),"NA",F79/F$69)</f>
        <v>NA</v>
      </c>
      <c r="G987" s="409" t="str">
        <f aca="false">IF(ISERR(+G79/G$69),"NA",G79/G$69)</f>
        <v>NA</v>
      </c>
      <c r="H987" s="614" t="str">
        <f aca="false">IF(ISERR(+H79/H$69),"NA",H79/H$69)</f>
        <v>NA</v>
      </c>
      <c r="I987" s="409" t="n">
        <f aca="false">IF(ISERR(+I79/I$69),"NA",I79/I$69)</f>
        <v>-0</v>
      </c>
      <c r="J987" s="409" t="n">
        <f aca="false">IF(ISERR(+J79/J$69),"NA",J79/J$69)</f>
        <v>-0</v>
      </c>
      <c r="K987" s="409" t="n">
        <f aca="false">IF(ISERR(+K79/K$69),"NA",K79/K$69)</f>
        <v>-0</v>
      </c>
      <c r="L987" s="409" t="n">
        <f aca="false">IF(ISERR(+L79/L$69),"NA",L79/L$69)</f>
        <v>-0</v>
      </c>
      <c r="M987" s="409" t="n">
        <f aca="false">IF(ISERR(+M79/M$69),"NA",M79/M$69)</f>
        <v>-0</v>
      </c>
      <c r="N987" s="409" t="n">
        <f aca="false">IF(ISERR(+N79/N$69),"NA",N79/N$69)</f>
        <v>-0</v>
      </c>
      <c r="O987" s="409" t="n">
        <f aca="false">IF(ISERR(+O79/O$69),"NA",O79/O$69)</f>
        <v>-0</v>
      </c>
      <c r="P987" s="409" t="n">
        <f aca="false">IF(ISERR(+P79/P$69),"NA",P79/P$69)</f>
        <v>-0</v>
      </c>
      <c r="Q987" s="409" t="n">
        <f aca="false">IF(ISERR(+Q79/Q$69),"NA",Q79/Q$69)</f>
        <v>-0</v>
      </c>
      <c r="R987" s="409" t="n">
        <f aca="false">IF(ISERR(+R79/R$69),"NA",R79/R$69)</f>
        <v>-0</v>
      </c>
      <c r="S987" s="409" t="n">
        <f aca="false">IF(ISERR(+S79/S$69),"NA",S79/S$69)</f>
        <v>-0</v>
      </c>
      <c r="T987" s="409" t="n">
        <f aca="false">IF(ISERR(+T79/T$69),"NA",T79/T$69)</f>
        <v>-0</v>
      </c>
      <c r="U987" s="409" t="n">
        <f aca="false">IF(ISERR(+U79/U$69),"NA",U79/U$69)</f>
        <v>-0</v>
      </c>
      <c r="V987" s="409" t="n">
        <f aca="false">IF(ISERR(+V79/V$69),"NA",V79/V$69)</f>
        <v>-0</v>
      </c>
      <c r="W987" s="409" t="n">
        <f aca="false">IF(ISERR(+W79/W$69),"NA",W79/W$69)</f>
        <v>-0</v>
      </c>
      <c r="X987" s="409" t="n">
        <f aca="false">IF(ISERR(+X79/X$69),"NA",X79/X$69)</f>
        <v>-0</v>
      </c>
      <c r="Y987" s="409" t="n">
        <f aca="false">IF(ISERR(+Y79/Y$69),"NA",Y79/Y$69)</f>
        <v>-0</v>
      </c>
      <c r="Z987" s="409" t="n">
        <f aca="false">IF(ISERR(+Z79/Z$69),"NA",Z79/Z$69)</f>
        <v>-0</v>
      </c>
      <c r="AA987" s="409" t="n">
        <f aca="false">IF(ISERR(+AA79/AA$69),"NA",AA79/AA$69)</f>
        <v>-0</v>
      </c>
      <c r="AB987" s="409" t="n">
        <f aca="false">IF(ISERR(+AB79/AB$69),"NA",AB79/AB$69)</f>
        <v>-0</v>
      </c>
      <c r="AC987" s="409" t="n">
        <f aca="false">IF(ISERR(+AC79/AC$69),"NA",AC79/AC$69)</f>
        <v>-0</v>
      </c>
    </row>
    <row r="988" customFormat="false" ht="11.25" hidden="false" customHeight="false" outlineLevel="0" collapsed="false">
      <c r="A988" s="35" t="str">
        <f aca="false">A80</f>
        <v>Amortization   -  ESOP Contributions/Dividends</v>
      </c>
      <c r="E988" s="409"/>
      <c r="F988" s="409"/>
      <c r="G988" s="409"/>
      <c r="H988" s="614"/>
      <c r="I988" s="409" t="n">
        <f aca="false">IF(ISERR(+I80/I$69),"NA",I80/I$69)</f>
        <v>-0</v>
      </c>
      <c r="J988" s="409" t="n">
        <f aca="false">IF(ISERR(+J80/J$69),"NA",J80/J$69)</f>
        <v>-0</v>
      </c>
      <c r="K988" s="409" t="n">
        <f aca="false">IF(ISERR(+K80/K$69),"NA",K80/K$69)</f>
        <v>-0</v>
      </c>
      <c r="L988" s="409" t="n">
        <f aca="false">IF(ISERR(+L80/L$69),"NA",L80/L$69)</f>
        <v>-0</v>
      </c>
      <c r="M988" s="409" t="n">
        <f aca="false">IF(ISERR(+M80/M$69),"NA",M80/M$69)</f>
        <v>-0</v>
      </c>
      <c r="N988" s="409" t="n">
        <f aca="false">IF(ISERR(+N80/N$69),"NA",N80/N$69)</f>
        <v>-0</v>
      </c>
      <c r="O988" s="409" t="n">
        <f aca="false">IF(ISERR(+O80/O$69),"NA",O80/O$69)</f>
        <v>-0</v>
      </c>
      <c r="P988" s="409" t="n">
        <f aca="false">IF(ISERR(+P80/P$69),"NA",P80/P$69)</f>
        <v>-0</v>
      </c>
      <c r="Q988" s="409" t="n">
        <f aca="false">IF(ISERR(+Q80/Q$69),"NA",Q80/Q$69)</f>
        <v>-0</v>
      </c>
      <c r="R988" s="409" t="n">
        <f aca="false">IF(ISERR(+R80/R$69),"NA",R80/R$69)</f>
        <v>-0</v>
      </c>
      <c r="S988" s="409" t="n">
        <f aca="false">IF(ISERR(+S80/S$69),"NA",S80/S$69)</f>
        <v>-0</v>
      </c>
      <c r="T988" s="409" t="n">
        <f aca="false">IF(ISERR(+T80/T$69),"NA",T80/T$69)</f>
        <v>-0</v>
      </c>
      <c r="U988" s="409" t="n">
        <f aca="false">IF(ISERR(+U80/U$69),"NA",U80/U$69)</f>
        <v>-0</v>
      </c>
      <c r="V988" s="409" t="n">
        <f aca="false">IF(ISERR(+V80/V$69),"NA",V80/V$69)</f>
        <v>-0</v>
      </c>
      <c r="W988" s="409" t="n">
        <f aca="false">IF(ISERR(+W80/W$69),"NA",W80/W$69)</f>
        <v>-0</v>
      </c>
      <c r="X988" s="409" t="n">
        <f aca="false">IF(ISERR(+X80/X$69),"NA",X80/X$69)</f>
        <v>-0</v>
      </c>
      <c r="Y988" s="409" t="n">
        <f aca="false">IF(ISERR(+Y80/Y$69),"NA",Y80/Y$69)</f>
        <v>-0</v>
      </c>
      <c r="Z988" s="409" t="n">
        <f aca="false">IF(ISERR(+Z80/Z$69),"NA",Z80/Z$69)</f>
        <v>-0</v>
      </c>
      <c r="AA988" s="409" t="n">
        <f aca="false">IF(ISERR(+AA80/AA$69),"NA",AA80/AA$69)</f>
        <v>-0</v>
      </c>
      <c r="AB988" s="409" t="n">
        <f aca="false">IF(ISERR(+AB80/AB$69),"NA",AB80/AB$69)</f>
        <v>-0</v>
      </c>
      <c r="AC988" s="409" t="n">
        <f aca="false">IF(ISERR(+AC80/AC$69),"NA",AC80/AC$69)</f>
        <v>-0</v>
      </c>
    </row>
    <row r="989" customFormat="false" ht="11.25" hidden="false" customHeight="false" outlineLevel="0" collapsed="false">
      <c r="A989" s="43" t="s">
        <v>659</v>
      </c>
      <c r="E989" s="615" t="str">
        <f aca="false">IF(ISERR(+E81/E$69),"NA",E81/E$69)</f>
        <v>NA</v>
      </c>
      <c r="F989" s="615" t="str">
        <f aca="false">IF(ISERR(+F81/F$69),"NA",F81/F$69)</f>
        <v>NA</v>
      </c>
      <c r="G989" s="615" t="str">
        <f aca="false">IF(ISERR(+G81/G$69),"NA",G81/G$69)</f>
        <v>NA</v>
      </c>
      <c r="H989" s="616" t="str">
        <f aca="false">IF(ISERR(+H81/H$69),"NA",H81/H$69)</f>
        <v>NA</v>
      </c>
      <c r="I989" s="615" t="n">
        <f aca="false">IF(ISERR(+I81/I$69),"NA",I81/I$69)</f>
        <v>-0</v>
      </c>
      <c r="J989" s="615" t="n">
        <f aca="false">IF(ISERR(+J81/J$69),"NA",J81/J$69)</f>
        <v>-0</v>
      </c>
      <c r="K989" s="615" t="n">
        <f aca="false">IF(ISERR(+K81/K$69),"NA",K81/K$69)</f>
        <v>-0</v>
      </c>
      <c r="L989" s="615" t="n">
        <f aca="false">IF(ISERR(+L81/L$69),"NA",L81/L$69)</f>
        <v>-0</v>
      </c>
      <c r="M989" s="615" t="n">
        <f aca="false">IF(ISERR(+M81/M$69),"NA",M81/M$69)</f>
        <v>-0</v>
      </c>
      <c r="N989" s="615" t="n">
        <f aca="false">IF(ISERR(+N81/N$69),"NA",N81/N$69)</f>
        <v>-0</v>
      </c>
      <c r="O989" s="615" t="n">
        <f aca="false">IF(ISERR(+O81/O$69),"NA",O81/O$69)</f>
        <v>-0.00566597809350897</v>
      </c>
      <c r="P989" s="615" t="n">
        <f aca="false">IF(ISERR(+P81/P$69),"NA",P81/P$69)</f>
        <v>-0.00713086459371529</v>
      </c>
      <c r="Q989" s="615" t="n">
        <f aca="false">IF(ISERR(+Q81/Q$69),"NA",Q81/Q$69)</f>
        <v>-0.0123391100696485</v>
      </c>
      <c r="R989" s="615" t="n">
        <f aca="false">IF(ISERR(+R81/R$69),"NA",R81/R$69)</f>
        <v>-0.0123441925190018</v>
      </c>
      <c r="S989" s="615" t="n">
        <f aca="false">IF(ISERR(+S81/S$69),"NA",S81/S$69)</f>
        <v>-0.0123484640520467</v>
      </c>
      <c r="T989" s="615" t="n">
        <f aca="false">IF(ISERR(+T81/T$69),"NA",T81/T$69)</f>
        <v>-0.0123519680541452</v>
      </c>
      <c r="U989" s="615" t="n">
        <f aca="false">IF(ISERR(+U81/U$69),"NA",U81/U$69)</f>
        <v>-0.0123551330914656</v>
      </c>
      <c r="V989" s="615" t="n">
        <f aca="false">IF(ISERR(+V81/V$69),"NA",V81/V$69)</f>
        <v>-0.0123570763555998</v>
      </c>
      <c r="W989" s="615" t="n">
        <f aca="false">IF(ISERR(+W81/W$69),"NA",W81/W$69)</f>
        <v>-0.012358879272443</v>
      </c>
      <c r="X989" s="615" t="n">
        <f aca="false">IF(ISERR(+X81/X$69),"NA",X81/X$69)</f>
        <v>-0.0123600859351455</v>
      </c>
      <c r="Y989" s="615" t="n">
        <f aca="false">IF(ISERR(+Y81/Y$69),"NA",Y81/Y$69)</f>
        <v>-0.0123599019662093</v>
      </c>
      <c r="Z989" s="615" t="n">
        <f aca="false">IF(ISERR(+Z81/Z$69),"NA",Z81/Z$69)</f>
        <v>-0.0123604887457715</v>
      </c>
      <c r="AA989" s="615" t="n">
        <f aca="false">IF(ISERR(+AA81/AA$69),"NA",AA81/AA$69)</f>
        <v>-0.0123591518415712</v>
      </c>
      <c r="AB989" s="615" t="n">
        <f aca="false">IF(ISERR(+AB81/AB$69),"NA",AB81/AB$69)</f>
        <v>-0.0123580707508225</v>
      </c>
      <c r="AC989" s="615" t="n">
        <f aca="false">IF(ISERR(+AC81/AC$69),"NA",AC81/AC$69)</f>
        <v>-0.0123604365956659</v>
      </c>
    </row>
    <row r="990" customFormat="false" ht="11.25" hidden="false" customHeight="false" outlineLevel="0" collapsed="false">
      <c r="E990" s="409"/>
      <c r="F990" s="409"/>
      <c r="G990" s="409"/>
      <c r="H990" s="614"/>
      <c r="I990" s="409"/>
      <c r="J990" s="409"/>
      <c r="K990" s="409"/>
      <c r="L990" s="409"/>
      <c r="M990" s="409"/>
      <c r="N990" s="409"/>
      <c r="O990" s="409"/>
      <c r="P990" s="409"/>
      <c r="Q990" s="409"/>
      <c r="R990" s="409"/>
      <c r="S990" s="409"/>
      <c r="T990" s="409"/>
      <c r="U990" s="409"/>
      <c r="V990" s="409"/>
      <c r="W990" s="409"/>
      <c r="X990" s="409"/>
      <c r="Y990" s="409"/>
      <c r="Z990" s="409"/>
      <c r="AA990" s="409"/>
      <c r="AB990" s="409"/>
      <c r="AC990" s="409"/>
    </row>
    <row r="991" customFormat="false" ht="11.25" hidden="false" customHeight="false" outlineLevel="0" collapsed="false">
      <c r="A991" s="168" t="str">
        <f aca="false">A83</f>
        <v>EBIT</v>
      </c>
      <c r="D991" s="370"/>
      <c r="E991" s="615" t="str">
        <f aca="false">IF(ISERR(+E83/E$69),"NA",E83/E$69)</f>
        <v>NA</v>
      </c>
      <c r="F991" s="615" t="str">
        <f aca="false">IF(ISERR(+F83/F$69),"NA",F83/F$69)</f>
        <v>NA</v>
      </c>
      <c r="G991" s="615" t="str">
        <f aca="false">IF(ISERR(+G83/G$69),"NA",G83/G$69)</f>
        <v>NA</v>
      </c>
      <c r="H991" s="616" t="str">
        <f aca="false">IF(ISERR(+H83/H$69),"NA",H83/H$69)</f>
        <v>NA</v>
      </c>
      <c r="I991" s="615" t="n">
        <f aca="false">IF(ISERR(+I83/I$69),"NA",I83/I$69)</f>
        <v>0.927363121528703</v>
      </c>
      <c r="J991" s="615" t="n">
        <f aca="false">IF(ISERR(+J83/J$69),"NA",J83/J$69)</f>
        <v>0.945502252392695</v>
      </c>
      <c r="K991" s="615" t="n">
        <f aca="false">IF(ISERR(+K83/K$69),"NA",K83/K$69)</f>
        <v>0.94816547822819</v>
      </c>
      <c r="L991" s="615" t="n">
        <f aca="false">IF(ISERR(+L83/L$69),"NA",L83/L$69)</f>
        <v>0.950434611878484</v>
      </c>
      <c r="M991" s="615" t="n">
        <f aca="false">IF(ISERR(+M83/M$69),"NA",M83/M$69)</f>
        <v>0.953270446966412</v>
      </c>
      <c r="N991" s="615" t="n">
        <f aca="false">IF(ISERR(+N83/N$69),"NA",N83/N$69)</f>
        <v>0.957351910886129</v>
      </c>
      <c r="O991" s="615" t="n">
        <f aca="false">IF(ISERR(+O83/O$69),"NA",O83/O$69)</f>
        <v>0.970072099583453</v>
      </c>
      <c r="P991" s="615" t="n">
        <f aca="false">IF(ISERR(+P83/P$69),"NA",P83/P$69)</f>
        <v>0.980791928571294</v>
      </c>
      <c r="Q991" s="615" t="n">
        <f aca="false">IF(ISERR(+Q83/Q$69),"NA",Q83/Q$69)</f>
        <v>1.01735854200851</v>
      </c>
      <c r="R991" s="615" t="n">
        <f aca="false">IF(ISERR(+R83/R$69),"NA",R83/R$69)</f>
        <v>1.03908509219017</v>
      </c>
      <c r="S991" s="615" t="n">
        <f aca="false">IF(ISERR(+S83/S$69),"NA",S83/S$69)</f>
        <v>1.01624790723203</v>
      </c>
      <c r="T991" s="615" t="n">
        <f aca="false">IF(ISERR(+T83/T$69),"NA",T83/T$69)</f>
        <v>1.03453418556523</v>
      </c>
      <c r="U991" s="615" t="n">
        <f aca="false">IF(ISERR(+U83/U$69),"NA",U83/U$69)</f>
        <v>1.05660150252349</v>
      </c>
      <c r="V991" s="615" t="n">
        <f aca="false">IF(ISERR(+V83/V$69),"NA",V83/V$69)</f>
        <v>1.08632076338792</v>
      </c>
      <c r="W991" s="615" t="n">
        <f aca="false">IF(ISERR(+W83/W$69),"NA",W83/W$69)</f>
        <v>1.01962707326634</v>
      </c>
      <c r="X991" s="615" t="n">
        <f aca="false">IF(ISERR(+X83/X$69),"NA",X83/X$69)</f>
        <v>1.04274051217258</v>
      </c>
      <c r="Y991" s="615" t="n">
        <f aca="false">IF(ISERR(+Y83/Y$69),"NA",Y83/Y$69)</f>
        <v>0.958948882219948</v>
      </c>
      <c r="Z991" s="615" t="n">
        <f aca="false">IF(ISERR(+Z83/Z$69),"NA",Z83/Z$69)</f>
        <v>0.920360488745771</v>
      </c>
      <c r="AA991" s="615" t="n">
        <f aca="false">IF(ISERR(+AA83/AA$69),"NA",AA83/AA$69)</f>
        <v>0.920359151841571</v>
      </c>
      <c r="AB991" s="615" t="n">
        <f aca="false">IF(ISERR(+AB83/AB$69),"NA",AB83/AB$69)</f>
        <v>0.920358070750823</v>
      </c>
      <c r="AC991" s="615" t="n">
        <f aca="false">IF(ISERR(+AC83/AC$69),"NA",AC83/AC$69)</f>
        <v>0.920360436595666</v>
      </c>
    </row>
    <row r="992" customFormat="false" ht="11.25" hidden="false" customHeight="false" outlineLevel="0" collapsed="false">
      <c r="D992" s="370"/>
      <c r="E992" s="409"/>
      <c r="F992" s="409"/>
      <c r="G992" s="409"/>
      <c r="H992" s="614"/>
      <c r="I992" s="409"/>
      <c r="J992" s="409"/>
      <c r="K992" s="409"/>
      <c r="L992" s="409"/>
      <c r="M992" s="409"/>
      <c r="N992" s="409"/>
      <c r="O992" s="409"/>
      <c r="P992" s="409"/>
      <c r="Q992" s="409"/>
      <c r="R992" s="409"/>
      <c r="S992" s="409"/>
      <c r="T992" s="409"/>
      <c r="U992" s="409"/>
      <c r="V992" s="409"/>
      <c r="W992" s="409"/>
      <c r="X992" s="409"/>
      <c r="Y992" s="409"/>
      <c r="Z992" s="409"/>
      <c r="AA992" s="409"/>
      <c r="AB992" s="409"/>
      <c r="AC992" s="409"/>
    </row>
    <row r="993" customFormat="false" ht="11.25" hidden="false" customHeight="false" outlineLevel="0" collapsed="false">
      <c r="A993" s="168" t="str">
        <f aca="false">A85</f>
        <v>Other Income:</v>
      </c>
      <c r="D993" s="370"/>
      <c r="E993" s="409"/>
      <c r="F993" s="409"/>
      <c r="G993" s="409"/>
      <c r="H993" s="614"/>
      <c r="I993" s="409"/>
      <c r="J993" s="409"/>
      <c r="K993" s="409"/>
      <c r="L993" s="409"/>
      <c r="M993" s="409"/>
      <c r="N993" s="409"/>
      <c r="O993" s="409"/>
      <c r="P993" s="409"/>
      <c r="Q993" s="409"/>
      <c r="R993" s="409"/>
      <c r="S993" s="409"/>
      <c r="T993" s="409"/>
      <c r="U993" s="409"/>
      <c r="V993" s="409"/>
      <c r="W993" s="409"/>
      <c r="X993" s="409"/>
      <c r="Y993" s="409"/>
      <c r="Z993" s="409"/>
      <c r="AA993" s="409"/>
      <c r="AB993" s="409"/>
      <c r="AC993" s="409"/>
    </row>
    <row r="994" customFormat="false" ht="11.25" hidden="false" customHeight="false" outlineLevel="0" collapsed="false">
      <c r="A994" s="35" t="str">
        <f aca="false">A86</f>
        <v>Interest Income</v>
      </c>
      <c r="D994" s="370"/>
      <c r="E994" s="409" t="str">
        <f aca="false">IF(ISERR(+E86/E$69),"NA",E86/E$69)</f>
        <v>NA</v>
      </c>
      <c r="F994" s="409" t="str">
        <f aca="false">IF(ISERR(+F86/F$69),"NA",F86/F$69)</f>
        <v>NA</v>
      </c>
      <c r="G994" s="409" t="str">
        <f aca="false">IF(ISERR(+G86/G$69),"NA",G86/G$69)</f>
        <v>NA</v>
      </c>
      <c r="H994" s="614" t="str">
        <f aca="false">IF(ISERR(+H86/H$69),"NA",H86/H$69)</f>
        <v>NA</v>
      </c>
      <c r="I994" s="409" t="str">
        <f aca="false">IF(ISERR(+I86/I$69),"NA",I86/I$69)</f>
        <v>NA</v>
      </c>
      <c r="J994" s="409" t="str">
        <f aca="false">IF(ISERR(+J86/J$69),"NA",J86/J$69)</f>
        <v>NA</v>
      </c>
      <c r="K994" s="409" t="str">
        <f aca="false">IF(ISERR(+K86/K$69),"NA",K86/K$69)</f>
        <v>NA</v>
      </c>
      <c r="L994" s="409" t="str">
        <f aca="false">IF(ISERR(+L86/L$69),"NA",L86/L$69)</f>
        <v>NA</v>
      </c>
      <c r="M994" s="409" t="str">
        <f aca="false">IF(ISERR(+M86/M$69),"NA",M86/M$69)</f>
        <v>NA</v>
      </c>
      <c r="N994" s="409" t="str">
        <f aca="false">IF(ISERR(+N86/N$69),"NA",N86/N$69)</f>
        <v>NA</v>
      </c>
      <c r="O994" s="409" t="str">
        <f aca="false">IF(ISERR(+O86/O$69),"NA",O86/O$69)</f>
        <v>NA</v>
      </c>
      <c r="P994" s="409" t="str">
        <f aca="false">IF(ISERR(+P86/P$69),"NA",P86/P$69)</f>
        <v>NA</v>
      </c>
      <c r="Q994" s="409" t="str">
        <f aca="false">IF(ISERR(+Q86/Q$69),"NA",Q86/Q$69)</f>
        <v>NA</v>
      </c>
      <c r="R994" s="409" t="str">
        <f aca="false">IF(ISERR(+R86/R$69),"NA",R86/R$69)</f>
        <v>NA</v>
      </c>
      <c r="S994" s="409" t="str">
        <f aca="false">IF(ISERR(+S86/S$69),"NA",S86/S$69)</f>
        <v>NA</v>
      </c>
      <c r="T994" s="409" t="str">
        <f aca="false">IF(ISERR(+T86/T$69),"NA",T86/T$69)</f>
        <v>NA</v>
      </c>
      <c r="U994" s="409" t="str">
        <f aca="false">IF(ISERR(+U86/U$69),"NA",U86/U$69)</f>
        <v>NA</v>
      </c>
      <c r="V994" s="409" t="str">
        <f aca="false">IF(ISERR(+V86/V$69),"NA",V86/V$69)</f>
        <v>NA</v>
      </c>
      <c r="W994" s="409" t="str">
        <f aca="false">IF(ISERR(+W86/W$69),"NA",W86/W$69)</f>
        <v>NA</v>
      </c>
      <c r="X994" s="409" t="str">
        <f aca="false">IF(ISERR(+X86/X$69),"NA",X86/X$69)</f>
        <v>NA</v>
      </c>
      <c r="Y994" s="409" t="str">
        <f aca="false">IF(ISERR(+Y86/Y$69),"NA",Y86/Y$69)</f>
        <v>NA</v>
      </c>
      <c r="Z994" s="409" t="str">
        <f aca="false">IF(ISERR(+Z86/Z$69),"NA",Z86/Z$69)</f>
        <v>NA</v>
      </c>
      <c r="AA994" s="409" t="str">
        <f aca="false">IF(ISERR(+AA86/AA$69),"NA",AA86/AA$69)</f>
        <v>NA</v>
      </c>
      <c r="AB994" s="409" t="str">
        <f aca="false">IF(ISERR(+AB86/AB$69),"NA",AB86/AB$69)</f>
        <v>NA</v>
      </c>
      <c r="AC994" s="409" t="str">
        <f aca="false">IF(ISERR(+AC86/AC$69),"NA",AC86/AC$69)</f>
        <v>NA</v>
      </c>
    </row>
    <row r="995" customFormat="false" ht="11.25" hidden="false" customHeight="false" outlineLevel="0" collapsed="false">
      <c r="A995" s="35" t="str">
        <f aca="false">A87</f>
        <v>Other Income (excluding interest income)</v>
      </c>
      <c r="E995" s="409" t="str">
        <f aca="false">IF(ISERR(+E87/E$69),"NA",E87/E$69)</f>
        <v>NA</v>
      </c>
      <c r="F995" s="409" t="str">
        <f aca="false">IF(ISERR(+F87/F$69),"NA",F87/F$69)</f>
        <v>NA</v>
      </c>
      <c r="G995" s="409" t="str">
        <f aca="false">IF(ISERR(+G87/G$69),"NA",G87/G$69)</f>
        <v>NA</v>
      </c>
      <c r="H995" s="614" t="str">
        <f aca="false">IF(ISERR(+H87/H$69),"NA",H87/H$69)</f>
        <v>NA</v>
      </c>
      <c r="I995" s="409" t="n">
        <f aca="false">IF(ISERR(+I87/I$69),"NA",I87/I$69)</f>
        <v>-0</v>
      </c>
      <c r="J995" s="409" t="n">
        <f aca="false">IF(ISERR(+J87/J$69),"NA",J87/J$69)</f>
        <v>-0</v>
      </c>
      <c r="K995" s="409" t="n">
        <f aca="false">IF(ISERR(+K87/K$69),"NA",K87/K$69)</f>
        <v>-0</v>
      </c>
      <c r="L995" s="409" t="n">
        <f aca="false">IF(ISERR(+L87/L$69),"NA",L87/L$69)</f>
        <v>-0</v>
      </c>
      <c r="M995" s="409" t="n">
        <f aca="false">IF(ISERR(+M87/M$69),"NA",M87/M$69)</f>
        <v>-0</v>
      </c>
      <c r="N995" s="409" t="n">
        <f aca="false">IF(ISERR(+N87/N$69),"NA",N87/N$69)</f>
        <v>-0</v>
      </c>
      <c r="O995" s="409" t="n">
        <f aca="false">IF(ISERR(+O87/O$69),"NA",O87/O$69)</f>
        <v>-0</v>
      </c>
      <c r="P995" s="409" t="n">
        <f aca="false">IF(ISERR(+P87/P$69),"NA",P87/P$69)</f>
        <v>-0</v>
      </c>
      <c r="Q995" s="409" t="n">
        <f aca="false">IF(ISERR(+Q87/Q$69),"NA",Q87/Q$69)</f>
        <v>-0</v>
      </c>
      <c r="R995" s="409" t="n">
        <f aca="false">IF(ISERR(+R87/R$69),"NA",R87/R$69)</f>
        <v>-0</v>
      </c>
      <c r="S995" s="409" t="n">
        <f aca="false">IF(ISERR(+S87/S$69),"NA",S87/S$69)</f>
        <v>-0</v>
      </c>
      <c r="T995" s="409" t="n">
        <f aca="false">IF(ISERR(+T87/T$69),"NA",T87/T$69)</f>
        <v>-0</v>
      </c>
      <c r="U995" s="409" t="n">
        <f aca="false">IF(ISERR(+U87/U$69),"NA",U87/U$69)</f>
        <v>-0</v>
      </c>
      <c r="V995" s="409" t="n">
        <f aca="false">IF(ISERR(+V87/V$69),"NA",V87/V$69)</f>
        <v>-0</v>
      </c>
      <c r="W995" s="409" t="n">
        <f aca="false">IF(ISERR(+W87/W$69),"NA",W87/W$69)</f>
        <v>-0</v>
      </c>
      <c r="X995" s="409" t="n">
        <f aca="false">IF(ISERR(+X87/X$69),"NA",X87/X$69)</f>
        <v>-0</v>
      </c>
      <c r="Y995" s="409" t="n">
        <f aca="false">IF(ISERR(+Y87/Y$69),"NA",Y87/Y$69)</f>
        <v>-0</v>
      </c>
      <c r="Z995" s="409" t="n">
        <f aca="false">IF(ISERR(+Z87/Z$69),"NA",Z87/Z$69)</f>
        <v>-0</v>
      </c>
      <c r="AA995" s="409" t="n">
        <f aca="false">IF(ISERR(+AA87/AA$69),"NA",AA87/AA$69)</f>
        <v>-0</v>
      </c>
      <c r="AB995" s="409" t="n">
        <f aca="false">IF(ISERR(+AB87/AB$69),"NA",AB87/AB$69)</f>
        <v>-0</v>
      </c>
      <c r="AC995" s="409" t="n">
        <f aca="false">IF(ISERR(+AC87/AC$69),"NA",AC87/AC$69)</f>
        <v>-0</v>
      </c>
    </row>
    <row r="996" customFormat="false" ht="11.25" hidden="false" customHeight="false" outlineLevel="0" collapsed="false">
      <c r="A996" s="35" t="str">
        <f aca="false">A88</f>
        <v>Financing Fees</v>
      </c>
      <c r="E996" s="409"/>
      <c r="F996" s="409"/>
      <c r="G996" s="409"/>
      <c r="H996" s="614"/>
      <c r="I996" s="409" t="str">
        <f aca="false">IF(ISERR(+I88/I$69),"NA",I88/I$69)</f>
        <v>NA</v>
      </c>
      <c r="J996" s="409" t="str">
        <f aca="false">IF(ISERR(+J88/J$69),"NA",J88/J$69)</f>
        <v>NA</v>
      </c>
      <c r="K996" s="409" t="str">
        <f aca="false">IF(ISERR(+K88/K$69),"NA",K88/K$69)</f>
        <v>NA</v>
      </c>
      <c r="L996" s="409" t="str">
        <f aca="false">IF(ISERR(+L88/L$69),"NA",L88/L$69)</f>
        <v>NA</v>
      </c>
      <c r="M996" s="409" t="str">
        <f aca="false">IF(ISERR(+M88/M$69),"NA",M88/M$69)</f>
        <v>NA</v>
      </c>
      <c r="N996" s="409" t="str">
        <f aca="false">IF(ISERR(+N88/N$69),"NA",N88/N$69)</f>
        <v>NA</v>
      </c>
      <c r="O996" s="409" t="str">
        <f aca="false">IF(ISERR(+O88/O$69),"NA",O88/O$69)</f>
        <v>NA</v>
      </c>
      <c r="P996" s="409" t="str">
        <f aca="false">IF(ISERR(+P88/P$69),"NA",P88/P$69)</f>
        <v>NA</v>
      </c>
      <c r="Q996" s="409" t="str">
        <f aca="false">IF(ISERR(+Q88/Q$69),"NA",Q88/Q$69)</f>
        <v>NA</v>
      </c>
      <c r="R996" s="409" t="str">
        <f aca="false">IF(ISERR(+R88/R$69),"NA",R88/R$69)</f>
        <v>NA</v>
      </c>
      <c r="S996" s="409" t="str">
        <f aca="false">IF(ISERR(+S88/S$69),"NA",S88/S$69)</f>
        <v>NA</v>
      </c>
      <c r="T996" s="409" t="str">
        <f aca="false">IF(ISERR(+T88/T$69),"NA",T88/T$69)</f>
        <v>NA</v>
      </c>
      <c r="U996" s="409" t="str">
        <f aca="false">IF(ISERR(+U88/U$69),"NA",U88/U$69)</f>
        <v>NA</v>
      </c>
      <c r="V996" s="409" t="str">
        <f aca="false">IF(ISERR(+V88/V$69),"NA",V88/V$69)</f>
        <v>NA</v>
      </c>
      <c r="W996" s="409" t="str">
        <f aca="false">IF(ISERR(+W88/W$69),"NA",W88/W$69)</f>
        <v>NA</v>
      </c>
      <c r="X996" s="409" t="str">
        <f aca="false">IF(ISERR(+X88/X$69),"NA",X88/X$69)</f>
        <v>NA</v>
      </c>
      <c r="Y996" s="409" t="str">
        <f aca="false">IF(ISERR(+Y88/Y$69),"NA",Y88/Y$69)</f>
        <v>NA</v>
      </c>
      <c r="Z996" s="409" t="str">
        <f aca="false">IF(ISERR(+Z88/Z$69),"NA",Z88/Z$69)</f>
        <v>NA</v>
      </c>
      <c r="AA996" s="409" t="str">
        <f aca="false">IF(ISERR(+AA88/AA$69),"NA",AA88/AA$69)</f>
        <v>NA</v>
      </c>
      <c r="AB996" s="409" t="str">
        <f aca="false">IF(ISERR(+AB88/AB$69),"NA",AB88/AB$69)</f>
        <v>NA</v>
      </c>
      <c r="AC996" s="409" t="str">
        <f aca="false">IF(ISERR(+AC88/AC$69),"NA",AC88/AC$69)</f>
        <v>NA</v>
      </c>
    </row>
    <row r="997" customFormat="false" ht="11.25" hidden="false" customHeight="false" outlineLevel="0" collapsed="false">
      <c r="A997" s="168" t="str">
        <f aca="false">A89</f>
        <v>Total Other Income</v>
      </c>
      <c r="E997" s="615" t="str">
        <f aca="false">IF(ISERR(+E89/E$69),"NA",E89/E$69)</f>
        <v>NA</v>
      </c>
      <c r="F997" s="615" t="str">
        <f aca="false">IF(ISERR(+F89/F$69),"NA",F89/F$69)</f>
        <v>NA</v>
      </c>
      <c r="G997" s="615" t="str">
        <f aca="false">IF(ISERR(+G89/G$69),"NA",G89/G$69)</f>
        <v>NA</v>
      </c>
      <c r="H997" s="616" t="str">
        <f aca="false">IF(ISERR(+H89/H$69),"NA",H89/H$69)</f>
        <v>NA</v>
      </c>
      <c r="I997" s="615" t="str">
        <f aca="false">IF(ISERR(+I89/I$69),"NA",I89/I$69)</f>
        <v>NA</v>
      </c>
      <c r="J997" s="615" t="str">
        <f aca="false">IF(ISERR(+J89/J$69),"NA",J89/J$69)</f>
        <v>NA</v>
      </c>
      <c r="K997" s="615" t="str">
        <f aca="false">IF(ISERR(+K89/K$69),"NA",K89/K$69)</f>
        <v>NA</v>
      </c>
      <c r="L997" s="615" t="str">
        <f aca="false">IF(ISERR(+L89/L$69),"NA",L89/L$69)</f>
        <v>NA</v>
      </c>
      <c r="M997" s="615" t="str">
        <f aca="false">IF(ISERR(+M89/M$69),"NA",M89/M$69)</f>
        <v>NA</v>
      </c>
      <c r="N997" s="615" t="str">
        <f aca="false">IF(ISERR(+N89/N$69),"NA",N89/N$69)</f>
        <v>NA</v>
      </c>
      <c r="O997" s="615" t="str">
        <f aca="false">IF(ISERR(+O89/O$69),"NA",O89/O$69)</f>
        <v>NA</v>
      </c>
      <c r="P997" s="615" t="str">
        <f aca="false">IF(ISERR(+P89/P$69),"NA",P89/P$69)</f>
        <v>NA</v>
      </c>
      <c r="Q997" s="615" t="str">
        <f aca="false">IF(ISERR(+Q89/Q$69),"NA",Q89/Q$69)</f>
        <v>NA</v>
      </c>
      <c r="R997" s="615" t="str">
        <f aca="false">IF(ISERR(+R89/R$69),"NA",R89/R$69)</f>
        <v>NA</v>
      </c>
      <c r="S997" s="615" t="str">
        <f aca="false">IF(ISERR(+S89/S$69),"NA",S89/S$69)</f>
        <v>NA</v>
      </c>
      <c r="T997" s="615" t="str">
        <f aca="false">IF(ISERR(+T89/T$69),"NA",T89/T$69)</f>
        <v>NA</v>
      </c>
      <c r="U997" s="615" t="str">
        <f aca="false">IF(ISERR(+U89/U$69),"NA",U89/U$69)</f>
        <v>NA</v>
      </c>
      <c r="V997" s="615" t="str">
        <f aca="false">IF(ISERR(+V89/V$69),"NA",V89/V$69)</f>
        <v>NA</v>
      </c>
      <c r="W997" s="615" t="str">
        <f aca="false">IF(ISERR(+W89/W$69),"NA",W89/W$69)</f>
        <v>NA</v>
      </c>
      <c r="X997" s="615" t="str">
        <f aca="false">IF(ISERR(+X89/X$69),"NA",X89/X$69)</f>
        <v>NA</v>
      </c>
      <c r="Y997" s="615" t="str">
        <f aca="false">IF(ISERR(+Y89/Y$69),"NA",Y89/Y$69)</f>
        <v>NA</v>
      </c>
      <c r="Z997" s="615" t="str">
        <f aca="false">IF(ISERR(+Z89/Z$69),"NA",Z89/Z$69)</f>
        <v>NA</v>
      </c>
      <c r="AA997" s="615" t="str">
        <f aca="false">IF(ISERR(+AA89/AA$69),"NA",AA89/AA$69)</f>
        <v>NA</v>
      </c>
      <c r="AB997" s="615" t="str">
        <f aca="false">IF(ISERR(+AB89/AB$69),"NA",AB89/AB$69)</f>
        <v>NA</v>
      </c>
      <c r="AC997" s="615" t="str">
        <f aca="false">IF(ISERR(+AC89/AC$69),"NA",AC89/AC$69)</f>
        <v>NA</v>
      </c>
    </row>
    <row r="998" customFormat="false" ht="11.25" hidden="false" customHeight="false" outlineLevel="0" collapsed="false">
      <c r="D998" s="370"/>
      <c r="E998" s="409"/>
      <c r="F998" s="409"/>
      <c r="G998" s="409"/>
      <c r="H998" s="614"/>
      <c r="I998" s="409"/>
      <c r="J998" s="409"/>
      <c r="K998" s="409"/>
      <c r="L998" s="409"/>
      <c r="M998" s="409"/>
      <c r="N998" s="409"/>
      <c r="O998" s="409"/>
      <c r="P998" s="409"/>
      <c r="Q998" s="409"/>
      <c r="R998" s="409"/>
      <c r="S998" s="409"/>
      <c r="T998" s="409"/>
      <c r="U998" s="409"/>
      <c r="V998" s="409"/>
      <c r="W998" s="409"/>
      <c r="X998" s="409"/>
      <c r="Y998" s="409"/>
      <c r="Z998" s="409"/>
      <c r="AA998" s="409"/>
      <c r="AB998" s="409"/>
      <c r="AC998" s="409"/>
    </row>
    <row r="999" customFormat="false" ht="11.25" hidden="false" customHeight="false" outlineLevel="0" collapsed="false">
      <c r="A999" s="168" t="str">
        <f aca="false">A91</f>
        <v>Interest Expense:</v>
      </c>
      <c r="D999" s="370"/>
      <c r="E999" s="409"/>
      <c r="F999" s="409"/>
      <c r="G999" s="409"/>
      <c r="H999" s="614"/>
      <c r="I999" s="409"/>
      <c r="J999" s="409"/>
      <c r="K999" s="409"/>
      <c r="L999" s="409"/>
      <c r="M999" s="409"/>
      <c r="N999" s="409"/>
      <c r="O999" s="409"/>
      <c r="P999" s="409"/>
      <c r="Q999" s="409"/>
      <c r="R999" s="409"/>
      <c r="S999" s="409"/>
      <c r="T999" s="409"/>
      <c r="U999" s="409"/>
      <c r="V999" s="409"/>
      <c r="W999" s="409"/>
      <c r="X999" s="409"/>
      <c r="Y999" s="409"/>
      <c r="Z999" s="409"/>
      <c r="AA999" s="409"/>
      <c r="AB999" s="409"/>
      <c r="AC999" s="409"/>
    </row>
    <row r="1000" customFormat="false" ht="11.25" hidden="false" customHeight="false" outlineLevel="0" collapsed="false">
      <c r="A1000" s="35" t="str">
        <f aca="false">A92</f>
        <v>Existing Senior and Sub Debt</v>
      </c>
      <c r="D1000" s="370"/>
      <c r="E1000" s="409" t="str">
        <f aca="false">IF(ISERR(+E92/E$69),"NA",E92/E$69)</f>
        <v>NA</v>
      </c>
      <c r="F1000" s="409" t="str">
        <f aca="false">IF(ISERR(+F92/F$69),"NA",F92/F$69)</f>
        <v>NA</v>
      </c>
      <c r="G1000" s="409" t="str">
        <f aca="false">IF(ISERR(+G92/G$69),"NA",G92/G$69)</f>
        <v>NA</v>
      </c>
      <c r="H1000" s="614" t="str">
        <f aca="false">IF(ISERR(+H92/H$69),"NA",H92/H$69)</f>
        <v>NA</v>
      </c>
      <c r="I1000" s="409" t="n">
        <f aca="false">IF(ISERR(+I92/I$69),"NA",I92/I$69)</f>
        <v>-0</v>
      </c>
      <c r="J1000" s="409" t="n">
        <f aca="false">IF(ISERR(+J92/J$69),"NA",J92/J$69)</f>
        <v>-0</v>
      </c>
      <c r="K1000" s="409" t="n">
        <f aca="false">IF(ISERR(+K92/K$69),"NA",K92/K$69)</f>
        <v>-0</v>
      </c>
      <c r="L1000" s="409" t="n">
        <f aca="false">IF(ISERR(+L92/L$69),"NA",L92/L$69)</f>
        <v>-0</v>
      </c>
      <c r="M1000" s="409" t="n">
        <f aca="false">IF(ISERR(+M92/M$69),"NA",M92/M$69)</f>
        <v>-0</v>
      </c>
      <c r="N1000" s="409" t="n">
        <f aca="false">IF(ISERR(+N92/N$69),"NA",N92/N$69)</f>
        <v>-0</v>
      </c>
      <c r="O1000" s="409" t="n">
        <f aca="false">IF(ISERR(+O92/O$69),"NA",O92/O$69)</f>
        <v>-0</v>
      </c>
      <c r="P1000" s="409" t="n">
        <f aca="false">IF(ISERR(+P92/P$69),"NA",P92/P$69)</f>
        <v>-0</v>
      </c>
      <c r="Q1000" s="409" t="n">
        <f aca="false">IF(ISERR(+Q92/Q$69),"NA",Q92/Q$69)</f>
        <v>-0</v>
      </c>
      <c r="R1000" s="409" t="n">
        <f aca="false">IF(ISERR(+R92/R$69),"NA",R92/R$69)</f>
        <v>-0</v>
      </c>
      <c r="S1000" s="409" t="n">
        <f aca="false">IF(ISERR(+S92/S$69),"NA",S92/S$69)</f>
        <v>-0</v>
      </c>
      <c r="T1000" s="409" t="n">
        <f aca="false">IF(ISERR(+T92/T$69),"NA",T92/T$69)</f>
        <v>-0</v>
      </c>
      <c r="U1000" s="409" t="n">
        <f aca="false">IF(ISERR(+U92/U$69),"NA",U92/U$69)</f>
        <v>-0</v>
      </c>
      <c r="V1000" s="409" t="n">
        <f aca="false">IF(ISERR(+V92/V$69),"NA",V92/V$69)</f>
        <v>-0</v>
      </c>
      <c r="W1000" s="409" t="n">
        <f aca="false">IF(ISERR(+W92/W$69),"NA",W92/W$69)</f>
        <v>-0</v>
      </c>
      <c r="X1000" s="409" t="n">
        <f aca="false">IF(ISERR(+X92/X$69),"NA",X92/X$69)</f>
        <v>-0</v>
      </c>
      <c r="Y1000" s="409" t="n">
        <f aca="false">IF(ISERR(+Y92/Y$69),"NA",Y92/Y$69)</f>
        <v>-0</v>
      </c>
      <c r="Z1000" s="409" t="n">
        <f aca="false">IF(ISERR(+Z92/Z$69),"NA",Z92/Z$69)</f>
        <v>-0</v>
      </c>
      <c r="AA1000" s="409" t="n">
        <f aca="false">IF(ISERR(+AA92/AA$69),"NA",AA92/AA$69)</f>
        <v>-0</v>
      </c>
      <c r="AB1000" s="409" t="n">
        <f aca="false">IF(ISERR(+AB92/AB$69),"NA",AB92/AB$69)</f>
        <v>-0</v>
      </c>
      <c r="AC1000" s="409" t="n">
        <f aca="false">IF(ISERR(+AC92/AC$69),"NA",AC92/AC$69)</f>
        <v>-0</v>
      </c>
    </row>
    <row r="1001" customFormat="false" ht="11.25" hidden="false" customHeight="false" outlineLevel="0" collapsed="false">
      <c r="A1001" s="35" t="str">
        <f aca="false">A93</f>
        <v>Revolving Loan and Term Loan</v>
      </c>
      <c r="D1001" s="370"/>
      <c r="E1001" s="409" t="str">
        <f aca="false">IF(ISERR(+E93/E$69),"NA",E93/E$69)</f>
        <v>NA</v>
      </c>
      <c r="F1001" s="409" t="str">
        <f aca="false">IF(ISERR(+F93/F$69),"NA",F93/F$69)</f>
        <v>NA</v>
      </c>
      <c r="G1001" s="409" t="str">
        <f aca="false">IF(ISERR(+G93/G$69),"NA",G93/G$69)</f>
        <v>NA</v>
      </c>
      <c r="H1001" s="614" t="str">
        <f aca="false">IF(ISERR(+H93/H$69),"NA",H93/H$69)</f>
        <v>NA</v>
      </c>
      <c r="I1001" s="409" t="str">
        <f aca="false">IF(ISERR(+I93/I$69),"NA",I93/I$69)</f>
        <v>NA</v>
      </c>
      <c r="J1001" s="409" t="str">
        <f aca="false">IF(ISERR(+J93/J$69),"NA",J93/J$69)</f>
        <v>NA</v>
      </c>
      <c r="K1001" s="409" t="str">
        <f aca="false">IF(ISERR(+K93/K$69),"NA",K93/K$69)</f>
        <v>NA</v>
      </c>
      <c r="L1001" s="409" t="str">
        <f aca="false">IF(ISERR(+L93/L$69),"NA",L93/L$69)</f>
        <v>NA</v>
      </c>
      <c r="M1001" s="409" t="str">
        <f aca="false">IF(ISERR(+M93/M$69),"NA",M93/M$69)</f>
        <v>NA</v>
      </c>
      <c r="N1001" s="409" t="str">
        <f aca="false">IF(ISERR(+N93/N$69),"NA",N93/N$69)</f>
        <v>NA</v>
      </c>
      <c r="O1001" s="409" t="str">
        <f aca="false">IF(ISERR(+O93/O$69),"NA",O93/O$69)</f>
        <v>NA</v>
      </c>
      <c r="P1001" s="409" t="str">
        <f aca="false">IF(ISERR(+P93/P$69),"NA",P93/P$69)</f>
        <v>NA</v>
      </c>
      <c r="Q1001" s="409" t="str">
        <f aca="false">IF(ISERR(+Q93/Q$69),"NA",Q93/Q$69)</f>
        <v>NA</v>
      </c>
      <c r="R1001" s="409" t="str">
        <f aca="false">IF(ISERR(+R93/R$69),"NA",R93/R$69)</f>
        <v>NA</v>
      </c>
      <c r="S1001" s="409" t="str">
        <f aca="false">IF(ISERR(+S93/S$69),"NA",S93/S$69)</f>
        <v>NA</v>
      </c>
      <c r="T1001" s="409" t="str">
        <f aca="false">IF(ISERR(+T93/T$69),"NA",T93/T$69)</f>
        <v>NA</v>
      </c>
      <c r="U1001" s="409" t="str">
        <f aca="false">IF(ISERR(+U93/U$69),"NA",U93/U$69)</f>
        <v>NA</v>
      </c>
      <c r="V1001" s="409" t="str">
        <f aca="false">IF(ISERR(+V93/V$69),"NA",V93/V$69)</f>
        <v>NA</v>
      </c>
      <c r="W1001" s="409" t="str">
        <f aca="false">IF(ISERR(+W93/W$69),"NA",W93/W$69)</f>
        <v>NA</v>
      </c>
      <c r="X1001" s="409" t="str">
        <f aca="false">IF(ISERR(+X93/X$69),"NA",X93/X$69)</f>
        <v>NA</v>
      </c>
      <c r="Y1001" s="409" t="str">
        <f aca="false">IF(ISERR(+Y93/Y$69),"NA",Y93/Y$69)</f>
        <v>NA</v>
      </c>
      <c r="Z1001" s="409" t="str">
        <f aca="false">IF(ISERR(+Z93/Z$69),"NA",Z93/Z$69)</f>
        <v>NA</v>
      </c>
      <c r="AA1001" s="409" t="str">
        <f aca="false">IF(ISERR(+AA93/AA$69),"NA",AA93/AA$69)</f>
        <v>NA</v>
      </c>
      <c r="AB1001" s="409" t="str">
        <f aca="false">IF(ISERR(+AB93/AB$69),"NA",AB93/AB$69)</f>
        <v>NA</v>
      </c>
      <c r="AC1001" s="409" t="str">
        <f aca="false">IF(ISERR(+AC93/AC$69),"NA",AC93/AC$69)</f>
        <v>NA</v>
      </c>
    </row>
    <row r="1002" customFormat="false" ht="11.25" hidden="false" customHeight="false" outlineLevel="0" collapsed="false">
      <c r="A1002" s="35" t="str">
        <f aca="false">A94</f>
        <v>ESOP Notes</v>
      </c>
      <c r="E1002" s="409" t="str">
        <f aca="false">IF(ISERR(+E94/E$69),"NA",E94/E$69)</f>
        <v>NA</v>
      </c>
      <c r="F1002" s="409" t="str">
        <f aca="false">IF(ISERR(+F94/F$69),"NA",F94/F$69)</f>
        <v>NA</v>
      </c>
      <c r="G1002" s="409" t="str">
        <f aca="false">IF(ISERR(+G94/G$69),"NA",G94/G$69)</f>
        <v>NA</v>
      </c>
      <c r="H1002" s="614" t="str">
        <f aca="false">IF(ISERR(+H94/H$69),"NA",H94/H$69)</f>
        <v>NA</v>
      </c>
      <c r="I1002" s="409" t="n">
        <f aca="false">IF(ISERR(+I94/I$69),"NA",I94/I$69)</f>
        <v>-0</v>
      </c>
      <c r="J1002" s="409" t="n">
        <f aca="false">IF(ISERR(+J94/J$69),"NA",J94/J$69)</f>
        <v>-0</v>
      </c>
      <c r="K1002" s="409" t="n">
        <f aca="false">IF(ISERR(+K94/K$69),"NA",K94/K$69)</f>
        <v>-0</v>
      </c>
      <c r="L1002" s="409" t="n">
        <f aca="false">IF(ISERR(+L94/L$69),"NA",L94/L$69)</f>
        <v>-0</v>
      </c>
      <c r="M1002" s="409" t="n">
        <f aca="false">IF(ISERR(+M94/M$69),"NA",M94/M$69)</f>
        <v>-0</v>
      </c>
      <c r="N1002" s="409" t="n">
        <f aca="false">IF(ISERR(+N94/N$69),"NA",N94/N$69)</f>
        <v>-0</v>
      </c>
      <c r="O1002" s="409" t="n">
        <f aca="false">IF(ISERR(+O94/O$69),"NA",O94/O$69)</f>
        <v>-0</v>
      </c>
      <c r="P1002" s="409" t="n">
        <f aca="false">IF(ISERR(+P94/P$69),"NA",P94/P$69)</f>
        <v>-0</v>
      </c>
      <c r="Q1002" s="409" t="n">
        <f aca="false">IF(ISERR(+Q94/Q$69),"NA",Q94/Q$69)</f>
        <v>-0</v>
      </c>
      <c r="R1002" s="409" t="n">
        <f aca="false">IF(ISERR(+R94/R$69),"NA",R94/R$69)</f>
        <v>-0</v>
      </c>
      <c r="S1002" s="409" t="n">
        <f aca="false">IF(ISERR(+S94/S$69),"NA",S94/S$69)</f>
        <v>-0</v>
      </c>
      <c r="T1002" s="409" t="n">
        <f aca="false">IF(ISERR(+T94/T$69),"NA",T94/T$69)</f>
        <v>-0</v>
      </c>
      <c r="U1002" s="409" t="n">
        <f aca="false">IF(ISERR(+U94/U$69),"NA",U94/U$69)</f>
        <v>-0</v>
      </c>
      <c r="V1002" s="409" t="n">
        <f aca="false">IF(ISERR(+V94/V$69),"NA",V94/V$69)</f>
        <v>-0</v>
      </c>
      <c r="W1002" s="409" t="n">
        <f aca="false">IF(ISERR(+W94/W$69),"NA",W94/W$69)</f>
        <v>-0</v>
      </c>
      <c r="X1002" s="409" t="n">
        <f aca="false">IF(ISERR(+X94/X$69),"NA",X94/X$69)</f>
        <v>-0</v>
      </c>
      <c r="Y1002" s="409" t="n">
        <f aca="false">IF(ISERR(+Y94/Y$69),"NA",Y94/Y$69)</f>
        <v>-0</v>
      </c>
      <c r="Z1002" s="409" t="n">
        <f aca="false">IF(ISERR(+Z94/Z$69),"NA",Z94/Z$69)</f>
        <v>-0</v>
      </c>
      <c r="AA1002" s="409" t="n">
        <f aca="false">IF(ISERR(+AA94/AA$69),"NA",AA94/AA$69)</f>
        <v>-0</v>
      </c>
      <c r="AB1002" s="409" t="n">
        <f aca="false">IF(ISERR(+AB94/AB$69),"NA",AB94/AB$69)</f>
        <v>-0</v>
      </c>
      <c r="AC1002" s="409" t="n">
        <f aca="false">IF(ISERR(+AC94/AC$69),"NA",AC94/AC$69)</f>
        <v>-0</v>
      </c>
    </row>
    <row r="1003" customFormat="false" ht="11.25" hidden="false" customHeight="false" outlineLevel="0" collapsed="false">
      <c r="A1003" s="35" t="str">
        <f aca="false">A95</f>
        <v>Placement 1</v>
      </c>
      <c r="E1003" s="409" t="str">
        <f aca="false">IF(ISERR(+E95/E$69),"NA",E95/E$69)</f>
        <v>NA</v>
      </c>
      <c r="F1003" s="409" t="str">
        <f aca="false">IF(ISERR(+F95/F$69),"NA",F95/F$69)</f>
        <v>NA</v>
      </c>
      <c r="G1003" s="409" t="str">
        <f aca="false">IF(ISERR(+G95/G$69),"NA",G95/G$69)</f>
        <v>NA</v>
      </c>
      <c r="H1003" s="614" t="str">
        <f aca="false">IF(ISERR(+H95/H$69),"NA",H95/H$69)</f>
        <v>NA</v>
      </c>
      <c r="I1003" s="409" t="n">
        <f aca="false">IF(ISERR(+I95/I$69),"NA",I95/I$69)</f>
        <v>-0</v>
      </c>
      <c r="J1003" s="409" t="n">
        <f aca="false">IF(ISERR(+J95/J$69),"NA",J95/J$69)</f>
        <v>-0</v>
      </c>
      <c r="K1003" s="409" t="n">
        <f aca="false">IF(ISERR(+K95/K$69),"NA",K95/K$69)</f>
        <v>-0</v>
      </c>
      <c r="L1003" s="409" t="n">
        <f aca="false">IF(ISERR(+L95/L$69),"NA",L95/L$69)</f>
        <v>-0</v>
      </c>
      <c r="M1003" s="409" t="n">
        <f aca="false">IF(ISERR(+M95/M$69),"NA",M95/M$69)</f>
        <v>-0</v>
      </c>
      <c r="N1003" s="409" t="n">
        <f aca="false">IF(ISERR(+N95/N$69),"NA",N95/N$69)</f>
        <v>-0</v>
      </c>
      <c r="O1003" s="409" t="n">
        <f aca="false">IF(ISERR(+O95/O$69),"NA",O95/O$69)</f>
        <v>-0</v>
      </c>
      <c r="P1003" s="409" t="n">
        <f aca="false">IF(ISERR(+P95/P$69),"NA",P95/P$69)</f>
        <v>-0</v>
      </c>
      <c r="Q1003" s="409" t="n">
        <f aca="false">IF(ISERR(+Q95/Q$69),"NA",Q95/Q$69)</f>
        <v>-0</v>
      </c>
      <c r="R1003" s="409" t="n">
        <f aca="false">IF(ISERR(+R95/R$69),"NA",R95/R$69)</f>
        <v>-0</v>
      </c>
      <c r="S1003" s="409" t="n">
        <f aca="false">IF(ISERR(+S95/S$69),"NA",S95/S$69)</f>
        <v>-0</v>
      </c>
      <c r="T1003" s="409" t="n">
        <f aca="false">IF(ISERR(+T95/T$69),"NA",T95/T$69)</f>
        <v>-0</v>
      </c>
      <c r="U1003" s="409" t="n">
        <f aca="false">IF(ISERR(+U95/U$69),"NA",U95/U$69)</f>
        <v>-0</v>
      </c>
      <c r="V1003" s="409" t="n">
        <f aca="false">IF(ISERR(+V95/V$69),"NA",V95/V$69)</f>
        <v>-0</v>
      </c>
      <c r="W1003" s="409" t="n">
        <f aca="false">IF(ISERR(+W95/W$69),"NA",W95/W$69)</f>
        <v>-0</v>
      </c>
      <c r="X1003" s="409" t="n">
        <f aca="false">IF(ISERR(+X95/X$69),"NA",X95/X$69)</f>
        <v>-0</v>
      </c>
      <c r="Y1003" s="409" t="n">
        <f aca="false">IF(ISERR(+Y95/Y$69),"NA",Y95/Y$69)</f>
        <v>-0</v>
      </c>
      <c r="Z1003" s="409" t="n">
        <f aca="false">IF(ISERR(+Z95/Z$69),"NA",Z95/Z$69)</f>
        <v>-0</v>
      </c>
      <c r="AA1003" s="409" t="n">
        <f aca="false">IF(ISERR(+AA95/AA$69),"NA",AA95/AA$69)</f>
        <v>-0</v>
      </c>
      <c r="AB1003" s="409" t="n">
        <f aca="false">IF(ISERR(+AB95/AB$69),"NA",AB95/AB$69)</f>
        <v>-0</v>
      </c>
      <c r="AC1003" s="409" t="n">
        <f aca="false">IF(ISERR(+AC95/AC$69),"NA",AC95/AC$69)</f>
        <v>-0</v>
      </c>
    </row>
    <row r="1004" customFormat="false" ht="11.25" hidden="false" customHeight="false" outlineLevel="0" collapsed="false">
      <c r="A1004" s="35" t="str">
        <f aca="false">A96</f>
        <v>Placement 2</v>
      </c>
      <c r="E1004" s="409" t="str">
        <f aca="false">IF(ISERR(+E96/E$69),"NA",E96/E$69)</f>
        <v>NA</v>
      </c>
      <c r="F1004" s="409" t="str">
        <f aca="false">IF(ISERR(+F96/F$69),"NA",F96/F$69)</f>
        <v>NA</v>
      </c>
      <c r="G1004" s="409" t="str">
        <f aca="false">IF(ISERR(+G96/G$69),"NA",G96/G$69)</f>
        <v>NA</v>
      </c>
      <c r="H1004" s="614" t="str">
        <f aca="false">IF(ISERR(+H96/H$69),"NA",H96/H$69)</f>
        <v>NA</v>
      </c>
      <c r="I1004" s="409" t="str">
        <f aca="false">IF(ISERR(+I96/I$69),"NA",I96/I$69)</f>
        <v>NA</v>
      </c>
      <c r="J1004" s="409" t="str">
        <f aca="false">IF(ISERR(+J96/J$69),"NA",J96/J$69)</f>
        <v>NA</v>
      </c>
      <c r="K1004" s="409" t="str">
        <f aca="false">IF(ISERR(+K96/K$69),"NA",K96/K$69)</f>
        <v>NA</v>
      </c>
      <c r="L1004" s="409" t="str">
        <f aca="false">IF(ISERR(+L96/L$69),"NA",L96/L$69)</f>
        <v>NA</v>
      </c>
      <c r="M1004" s="409" t="str">
        <f aca="false">IF(ISERR(+M96/M$69),"NA",M96/M$69)</f>
        <v>NA</v>
      </c>
      <c r="N1004" s="409" t="str">
        <f aca="false">IF(ISERR(+N96/N$69),"NA",N96/N$69)</f>
        <v>NA</v>
      </c>
      <c r="O1004" s="409" t="str">
        <f aca="false">IF(ISERR(+O96/O$69),"NA",O96/O$69)</f>
        <v>NA</v>
      </c>
      <c r="P1004" s="409" t="str">
        <f aca="false">IF(ISERR(+P96/P$69),"NA",P96/P$69)</f>
        <v>NA</v>
      </c>
      <c r="Q1004" s="409" t="str">
        <f aca="false">IF(ISERR(+Q96/Q$69),"NA",Q96/Q$69)</f>
        <v>NA</v>
      </c>
      <c r="R1004" s="409" t="str">
        <f aca="false">IF(ISERR(+R96/R$69),"NA",R96/R$69)</f>
        <v>NA</v>
      </c>
      <c r="S1004" s="409" t="str">
        <f aca="false">IF(ISERR(+S96/S$69),"NA",S96/S$69)</f>
        <v>NA</v>
      </c>
      <c r="T1004" s="409" t="str">
        <f aca="false">IF(ISERR(+T96/T$69),"NA",T96/T$69)</f>
        <v>NA</v>
      </c>
      <c r="U1004" s="409" t="str">
        <f aca="false">IF(ISERR(+U96/U$69),"NA",U96/U$69)</f>
        <v>NA</v>
      </c>
      <c r="V1004" s="409" t="str">
        <f aca="false">IF(ISERR(+V96/V$69),"NA",V96/V$69)</f>
        <v>NA</v>
      </c>
      <c r="W1004" s="409" t="str">
        <f aca="false">IF(ISERR(+W96/W$69),"NA",W96/W$69)</f>
        <v>NA</v>
      </c>
      <c r="X1004" s="409" t="str">
        <f aca="false">IF(ISERR(+X96/X$69),"NA",X96/X$69)</f>
        <v>NA</v>
      </c>
      <c r="Y1004" s="409" t="str">
        <f aca="false">IF(ISERR(+Y96/Y$69),"NA",Y96/Y$69)</f>
        <v>NA</v>
      </c>
      <c r="Z1004" s="409" t="str">
        <f aca="false">IF(ISERR(+Z96/Z$69),"NA",Z96/Z$69)</f>
        <v>NA</v>
      </c>
      <c r="AA1004" s="409" t="str">
        <f aca="false">IF(ISERR(+AA96/AA$69),"NA",AA96/AA$69)</f>
        <v>NA</v>
      </c>
      <c r="AB1004" s="409" t="str">
        <f aca="false">IF(ISERR(+AB96/AB$69),"NA",AB96/AB$69)</f>
        <v>NA</v>
      </c>
      <c r="AC1004" s="409" t="str">
        <f aca="false">IF(ISERR(+AC96/AC$69),"NA",AC96/AC$69)</f>
        <v>NA</v>
      </c>
    </row>
    <row r="1005" customFormat="false" ht="11.25" hidden="false" customHeight="false" outlineLevel="0" collapsed="false">
      <c r="A1005" s="35" t="str">
        <f aca="false">A97</f>
        <v>Sr Sub Notes</v>
      </c>
      <c r="D1005" s="370"/>
      <c r="E1005" s="409" t="str">
        <f aca="false">IF(ISERR(+E97/E$69),"NA",E97/E$69)</f>
        <v>NA</v>
      </c>
      <c r="F1005" s="409" t="str">
        <f aca="false">IF(ISERR(+F97/F$69),"NA",F97/F$69)</f>
        <v>NA</v>
      </c>
      <c r="G1005" s="409" t="str">
        <f aca="false">IF(ISERR(+G97/G$69),"NA",G97/G$69)</f>
        <v>NA</v>
      </c>
      <c r="H1005" s="614" t="str">
        <f aca="false">IF(ISERR(+H97/H$69),"NA",H97/H$69)</f>
        <v>NA</v>
      </c>
      <c r="I1005" s="409" t="n">
        <f aca="false">IF(ISERR(+I97/I$69),"NA",I97/I$69)</f>
        <v>-0</v>
      </c>
      <c r="J1005" s="409" t="str">
        <f aca="false">IF(ISERR(+J97/J$69),"NA",J97/J$69)</f>
        <v>NA</v>
      </c>
      <c r="K1005" s="409" t="str">
        <f aca="false">IF(ISERR(+K97/K$69),"NA",K97/K$69)</f>
        <v>NA</v>
      </c>
      <c r="L1005" s="409" t="str">
        <f aca="false">IF(ISERR(+L97/L$69),"NA",L97/L$69)</f>
        <v>NA</v>
      </c>
      <c r="M1005" s="409" t="str">
        <f aca="false">IF(ISERR(+M97/M$69),"NA",M97/M$69)</f>
        <v>NA</v>
      </c>
      <c r="N1005" s="409" t="str">
        <f aca="false">IF(ISERR(+N97/N$69),"NA",N97/N$69)</f>
        <v>NA</v>
      </c>
      <c r="O1005" s="409" t="str">
        <f aca="false">IF(ISERR(+O97/O$69),"NA",O97/O$69)</f>
        <v>NA</v>
      </c>
      <c r="P1005" s="409" t="str">
        <f aca="false">IF(ISERR(+P97/P$69),"NA",P97/P$69)</f>
        <v>NA</v>
      </c>
      <c r="Q1005" s="409" t="str">
        <f aca="false">IF(ISERR(+Q97/Q$69),"NA",Q97/Q$69)</f>
        <v>NA</v>
      </c>
      <c r="R1005" s="409" t="str">
        <f aca="false">IF(ISERR(+R97/R$69),"NA",R97/R$69)</f>
        <v>NA</v>
      </c>
      <c r="S1005" s="409" t="str">
        <f aca="false">IF(ISERR(+S97/S$69),"NA",S97/S$69)</f>
        <v>NA</v>
      </c>
      <c r="T1005" s="409" t="str">
        <f aca="false">IF(ISERR(+T97/T$69),"NA",T97/T$69)</f>
        <v>NA</v>
      </c>
      <c r="U1005" s="409" t="str">
        <f aca="false">IF(ISERR(+U97/U$69),"NA",U97/U$69)</f>
        <v>NA</v>
      </c>
      <c r="V1005" s="409" t="str">
        <f aca="false">IF(ISERR(+V97/V$69),"NA",V97/V$69)</f>
        <v>NA</v>
      </c>
      <c r="W1005" s="409" t="str">
        <f aca="false">IF(ISERR(+W97/W$69),"NA",W97/W$69)</f>
        <v>NA</v>
      </c>
      <c r="X1005" s="409" t="str">
        <f aca="false">IF(ISERR(+X97/X$69),"NA",X97/X$69)</f>
        <v>NA</v>
      </c>
      <c r="Y1005" s="409" t="str">
        <f aca="false">IF(ISERR(+Y97/Y$69),"NA",Y97/Y$69)</f>
        <v>NA</v>
      </c>
      <c r="Z1005" s="409" t="str">
        <f aca="false">IF(ISERR(+Z97/Z$69),"NA",Z97/Z$69)</f>
        <v>NA</v>
      </c>
      <c r="AA1005" s="409" t="str">
        <f aca="false">IF(ISERR(+AA97/AA$69),"NA",AA97/AA$69)</f>
        <v>NA</v>
      </c>
      <c r="AB1005" s="409" t="str">
        <f aca="false">IF(ISERR(+AB97/AB$69),"NA",AB97/AB$69)</f>
        <v>NA</v>
      </c>
      <c r="AC1005" s="409" t="str">
        <f aca="false">IF(ISERR(+AC97/AC$69),"NA",AC97/AC$69)</f>
        <v>NA</v>
      </c>
    </row>
    <row r="1006" customFormat="false" ht="11.25" hidden="false" customHeight="false" outlineLevel="0" collapsed="false">
      <c r="A1006" s="35" t="str">
        <f aca="false">A98</f>
        <v>Jr. Sub Notes</v>
      </c>
      <c r="D1006" s="370"/>
      <c r="E1006" s="409" t="str">
        <f aca="false">IF(ISERR(+E98/E$69),"NA",E98/E$69)</f>
        <v>NA</v>
      </c>
      <c r="F1006" s="409" t="str">
        <f aca="false">IF(ISERR(+F98/F$69),"NA",F98/F$69)</f>
        <v>NA</v>
      </c>
      <c r="G1006" s="409" t="str">
        <f aca="false">IF(ISERR(+G98/G$69),"NA",G98/G$69)</f>
        <v>NA</v>
      </c>
      <c r="H1006" s="614" t="str">
        <f aca="false">IF(ISERR(+H98/H$69),"NA",H98/H$69)</f>
        <v>NA</v>
      </c>
      <c r="I1006" s="409" t="n">
        <f aca="false">IF(ISERR(+I98/I$69),"NA",I98/I$69)</f>
        <v>-0</v>
      </c>
      <c r="J1006" s="409" t="n">
        <f aca="false">IF(ISERR(+J98/J$69),"NA",J98/J$69)</f>
        <v>-0</v>
      </c>
      <c r="K1006" s="409" t="n">
        <f aca="false">IF(ISERR(+K98/K$69),"NA",K98/K$69)</f>
        <v>-0</v>
      </c>
      <c r="L1006" s="409" t="n">
        <f aca="false">IF(ISERR(+L98/L$69),"NA",L98/L$69)</f>
        <v>-0</v>
      </c>
      <c r="M1006" s="409" t="n">
        <f aca="false">IF(ISERR(+M98/M$69),"NA",M98/M$69)</f>
        <v>-0</v>
      </c>
      <c r="N1006" s="409" t="n">
        <f aca="false">IF(ISERR(+N98/N$69),"NA",N98/N$69)</f>
        <v>-0</v>
      </c>
      <c r="O1006" s="409" t="n">
        <f aca="false">IF(ISERR(+O98/O$69),"NA",O98/O$69)</f>
        <v>-0</v>
      </c>
      <c r="P1006" s="409" t="n">
        <f aca="false">IF(ISERR(+P98/P$69),"NA",P98/P$69)</f>
        <v>-0</v>
      </c>
      <c r="Q1006" s="409" t="n">
        <f aca="false">IF(ISERR(+Q98/Q$69),"NA",Q98/Q$69)</f>
        <v>-0</v>
      </c>
      <c r="R1006" s="409" t="n">
        <f aca="false">IF(ISERR(+R98/R$69),"NA",R98/R$69)</f>
        <v>-0</v>
      </c>
      <c r="S1006" s="409" t="n">
        <f aca="false">IF(ISERR(+S98/S$69),"NA",S98/S$69)</f>
        <v>-0</v>
      </c>
      <c r="T1006" s="409" t="n">
        <f aca="false">IF(ISERR(+T98/T$69),"NA",T98/T$69)</f>
        <v>-0</v>
      </c>
      <c r="U1006" s="409" t="n">
        <f aca="false">IF(ISERR(+U98/U$69),"NA",U98/U$69)</f>
        <v>-0</v>
      </c>
      <c r="V1006" s="409" t="n">
        <f aca="false">IF(ISERR(+V98/V$69),"NA",V98/V$69)</f>
        <v>-0</v>
      </c>
      <c r="W1006" s="409" t="n">
        <f aca="false">IF(ISERR(+W98/W$69),"NA",W98/W$69)</f>
        <v>-0</v>
      </c>
      <c r="X1006" s="409" t="n">
        <f aca="false">IF(ISERR(+X98/X$69),"NA",X98/X$69)</f>
        <v>-0</v>
      </c>
      <c r="Y1006" s="409" t="n">
        <f aca="false">IF(ISERR(+Y98/Y$69),"NA",Y98/Y$69)</f>
        <v>-0</v>
      </c>
      <c r="Z1006" s="409" t="n">
        <f aca="false">IF(ISERR(+Z98/Z$69),"NA",Z98/Z$69)</f>
        <v>-0</v>
      </c>
      <c r="AA1006" s="409" t="n">
        <f aca="false">IF(ISERR(+AA98/AA$69),"NA",AA98/AA$69)</f>
        <v>-0</v>
      </c>
      <c r="AB1006" s="409" t="n">
        <f aca="false">IF(ISERR(+AB98/AB$69),"NA",AB98/AB$69)</f>
        <v>-0</v>
      </c>
      <c r="AC1006" s="409" t="n">
        <f aca="false">IF(ISERR(+AC98/AC$69),"NA",AC98/AC$69)</f>
        <v>-0</v>
      </c>
    </row>
    <row r="1007" customFormat="false" ht="11.25" hidden="false" customHeight="false" outlineLevel="0" collapsed="false">
      <c r="A1007" s="168" t="str">
        <f aca="false">A99</f>
        <v>Total Interest Expense</v>
      </c>
      <c r="E1007" s="615" t="str">
        <f aca="false">IF(ISERR(+E99/E$69),"NA",E99/E$69)</f>
        <v>NA</v>
      </c>
      <c r="F1007" s="615" t="str">
        <f aca="false">IF(ISERR(+F99/F$69),"NA",F99/F$69)</f>
        <v>NA</v>
      </c>
      <c r="G1007" s="615" t="str">
        <f aca="false">IF(ISERR(+G99/G$69),"NA",G99/G$69)</f>
        <v>NA</v>
      </c>
      <c r="H1007" s="616" t="str">
        <f aca="false">IF(ISERR(+H99/H$69),"NA",H99/H$69)</f>
        <v>NA</v>
      </c>
      <c r="I1007" s="615" t="str">
        <f aca="false">IF(ISERR(+I99/I$69),"NA",I99/I$69)</f>
        <v>NA</v>
      </c>
      <c r="J1007" s="615" t="str">
        <f aca="false">IF(ISERR(+J99/J$69),"NA",J99/J$69)</f>
        <v>NA</v>
      </c>
      <c r="K1007" s="615" t="str">
        <f aca="false">IF(ISERR(+K99/K$69),"NA",K99/K$69)</f>
        <v>NA</v>
      </c>
      <c r="L1007" s="615" t="str">
        <f aca="false">IF(ISERR(+L99/L$69),"NA",L99/L$69)</f>
        <v>NA</v>
      </c>
      <c r="M1007" s="615" t="str">
        <f aca="false">IF(ISERR(+M99/M$69),"NA",M99/M$69)</f>
        <v>NA</v>
      </c>
      <c r="N1007" s="615" t="str">
        <f aca="false">IF(ISERR(+N99/N$69),"NA",N99/N$69)</f>
        <v>NA</v>
      </c>
      <c r="O1007" s="615" t="str">
        <f aca="false">IF(ISERR(+O99/O$69),"NA",O99/O$69)</f>
        <v>NA</v>
      </c>
      <c r="P1007" s="615" t="str">
        <f aca="false">IF(ISERR(+P99/P$69),"NA",P99/P$69)</f>
        <v>NA</v>
      </c>
      <c r="Q1007" s="615" t="str">
        <f aca="false">IF(ISERR(+Q99/Q$69),"NA",Q99/Q$69)</f>
        <v>NA</v>
      </c>
      <c r="R1007" s="615" t="str">
        <f aca="false">IF(ISERR(+R99/R$69),"NA",R99/R$69)</f>
        <v>NA</v>
      </c>
      <c r="S1007" s="615" t="str">
        <f aca="false">IF(ISERR(+S99/S$69),"NA",S99/S$69)</f>
        <v>NA</v>
      </c>
      <c r="T1007" s="615" t="str">
        <f aca="false">IF(ISERR(+T99/T$69),"NA",T99/T$69)</f>
        <v>NA</v>
      </c>
      <c r="U1007" s="615" t="str">
        <f aca="false">IF(ISERR(+U99/U$69),"NA",U99/U$69)</f>
        <v>NA</v>
      </c>
      <c r="V1007" s="615" t="str">
        <f aca="false">IF(ISERR(+V99/V$69),"NA",V99/V$69)</f>
        <v>NA</v>
      </c>
      <c r="W1007" s="615" t="str">
        <f aca="false">IF(ISERR(+W99/W$69),"NA",W99/W$69)</f>
        <v>NA</v>
      </c>
      <c r="X1007" s="615" t="str">
        <f aca="false">IF(ISERR(+X99/X$69),"NA",X99/X$69)</f>
        <v>NA</v>
      </c>
      <c r="Y1007" s="615" t="str">
        <f aca="false">IF(ISERR(+Y99/Y$69),"NA",Y99/Y$69)</f>
        <v>NA</v>
      </c>
      <c r="Z1007" s="615" t="str">
        <f aca="false">IF(ISERR(+Z99/Z$69),"NA",Z99/Z$69)</f>
        <v>NA</v>
      </c>
      <c r="AA1007" s="615" t="str">
        <f aca="false">IF(ISERR(+AA99/AA$69),"NA",AA99/AA$69)</f>
        <v>NA</v>
      </c>
      <c r="AB1007" s="615" t="str">
        <f aca="false">IF(ISERR(+AB99/AB$69),"NA",AB99/AB$69)</f>
        <v>NA</v>
      </c>
      <c r="AC1007" s="615" t="str">
        <f aca="false">IF(ISERR(+AC99/AC$69),"NA",AC99/AC$69)</f>
        <v>NA</v>
      </c>
    </row>
    <row r="1008" customFormat="false" ht="11.25" hidden="false" customHeight="false" outlineLevel="0" collapsed="false">
      <c r="D1008" s="370"/>
      <c r="E1008" s="409"/>
      <c r="F1008" s="409"/>
      <c r="G1008" s="409"/>
      <c r="H1008" s="614"/>
      <c r="I1008" s="409"/>
      <c r="J1008" s="409"/>
      <c r="K1008" s="409"/>
      <c r="L1008" s="409"/>
      <c r="M1008" s="409"/>
      <c r="N1008" s="409"/>
      <c r="O1008" s="409"/>
      <c r="P1008" s="409"/>
      <c r="Q1008" s="409"/>
      <c r="R1008" s="409"/>
      <c r="S1008" s="409"/>
      <c r="T1008" s="409"/>
      <c r="U1008" s="409"/>
      <c r="V1008" s="409"/>
      <c r="W1008" s="409"/>
      <c r="X1008" s="409"/>
      <c r="Y1008" s="409"/>
      <c r="Z1008" s="409"/>
      <c r="AA1008" s="409"/>
      <c r="AB1008" s="409"/>
      <c r="AC1008" s="409"/>
    </row>
    <row r="1009" customFormat="false" ht="11.25" hidden="false" customHeight="false" outlineLevel="0" collapsed="false">
      <c r="A1009" s="168" t="str">
        <f aca="false">A101</f>
        <v>Income b/f Taxes and Gains</v>
      </c>
      <c r="E1009" s="409" t="str">
        <f aca="false">IF(ISERR(+E101/E$69),"NA",E101/E$69)</f>
        <v>NA</v>
      </c>
      <c r="F1009" s="409" t="str">
        <f aca="false">IF(ISERR(+F101/F$69),"NA",F101/F$69)</f>
        <v>NA</v>
      </c>
      <c r="G1009" s="409" t="str">
        <f aca="false">IF(ISERR(+G101/G$69),"NA",G101/G$69)</f>
        <v>NA</v>
      </c>
      <c r="H1009" s="614" t="str">
        <f aca="false">IF(ISERR(+H101/H$69),"NA",H101/H$69)</f>
        <v>NA</v>
      </c>
      <c r="I1009" s="409" t="str">
        <f aca="false">IF(ISERR(+I101/I$69),"NA",I101/I$69)</f>
        <v>NA</v>
      </c>
      <c r="J1009" s="409" t="str">
        <f aca="false">IF(ISERR(+J101/J$69),"NA",J101/J$69)</f>
        <v>NA</v>
      </c>
      <c r="K1009" s="409" t="str">
        <f aca="false">IF(ISERR(+K101/K$69),"NA",K101/K$69)</f>
        <v>NA</v>
      </c>
      <c r="L1009" s="409" t="str">
        <f aca="false">IF(ISERR(+L101/L$69),"NA",L101/L$69)</f>
        <v>NA</v>
      </c>
      <c r="M1009" s="409" t="str">
        <f aca="false">IF(ISERR(+M101/M$69),"NA",M101/M$69)</f>
        <v>NA</v>
      </c>
      <c r="N1009" s="409" t="str">
        <f aca="false">IF(ISERR(+N101/N$69),"NA",N101/N$69)</f>
        <v>NA</v>
      </c>
      <c r="O1009" s="409" t="str">
        <f aca="false">IF(ISERR(+O101/O$69),"NA",O101/O$69)</f>
        <v>NA</v>
      </c>
      <c r="P1009" s="409" t="str">
        <f aca="false">IF(ISERR(+P101/P$69),"NA",P101/P$69)</f>
        <v>NA</v>
      </c>
      <c r="Q1009" s="409" t="str">
        <f aca="false">IF(ISERR(+Q101/Q$69),"NA",Q101/Q$69)</f>
        <v>NA</v>
      </c>
      <c r="R1009" s="409" t="str">
        <f aca="false">IF(ISERR(+R101/R$69),"NA",R101/R$69)</f>
        <v>NA</v>
      </c>
      <c r="S1009" s="409" t="str">
        <f aca="false">IF(ISERR(+S101/S$69),"NA",S101/S$69)</f>
        <v>NA</v>
      </c>
      <c r="T1009" s="409" t="str">
        <f aca="false">IF(ISERR(+T101/T$69),"NA",T101/T$69)</f>
        <v>NA</v>
      </c>
      <c r="U1009" s="409" t="str">
        <f aca="false">IF(ISERR(+U101/U$69),"NA",U101/U$69)</f>
        <v>NA</v>
      </c>
      <c r="V1009" s="409" t="str">
        <f aca="false">IF(ISERR(+V101/V$69),"NA",V101/V$69)</f>
        <v>NA</v>
      </c>
      <c r="W1009" s="409" t="str">
        <f aca="false">IF(ISERR(+W101/W$69),"NA",W101/W$69)</f>
        <v>NA</v>
      </c>
      <c r="X1009" s="409" t="str">
        <f aca="false">IF(ISERR(+X101/X$69),"NA",X101/X$69)</f>
        <v>NA</v>
      </c>
      <c r="Y1009" s="409" t="str">
        <f aca="false">IF(ISERR(+Y101/Y$69),"NA",Y101/Y$69)</f>
        <v>NA</v>
      </c>
      <c r="Z1009" s="409" t="str">
        <f aca="false">IF(ISERR(+Z101/Z$69),"NA",Z101/Z$69)</f>
        <v>NA</v>
      </c>
      <c r="AA1009" s="409" t="str">
        <f aca="false">IF(ISERR(+AA101/AA$69),"NA",AA101/AA$69)</f>
        <v>NA</v>
      </c>
      <c r="AB1009" s="409" t="str">
        <f aca="false">IF(ISERR(+AB101/AB$69),"NA",AB101/AB$69)</f>
        <v>NA</v>
      </c>
      <c r="AC1009" s="409" t="str">
        <f aca="false">IF(ISERR(+AC101/AC$69),"NA",AC101/AC$69)</f>
        <v>NA</v>
      </c>
    </row>
    <row r="1010" customFormat="false" ht="11.25" hidden="false" customHeight="false" outlineLevel="0" collapsed="false">
      <c r="D1010" s="370"/>
      <c r="E1010" s="409"/>
      <c r="F1010" s="409"/>
      <c r="G1010" s="409"/>
      <c r="H1010" s="614"/>
      <c r="I1010" s="409"/>
      <c r="J1010" s="409"/>
      <c r="K1010" s="409"/>
      <c r="L1010" s="409"/>
      <c r="M1010" s="409"/>
      <c r="N1010" s="409"/>
      <c r="O1010" s="409"/>
      <c r="P1010" s="409"/>
      <c r="Q1010" s="409"/>
      <c r="R1010" s="409"/>
      <c r="S1010" s="409"/>
      <c r="T1010" s="409"/>
      <c r="U1010" s="409"/>
      <c r="V1010" s="409"/>
      <c r="W1010" s="409"/>
      <c r="X1010" s="409"/>
      <c r="Y1010" s="409"/>
      <c r="Z1010" s="409"/>
      <c r="AA1010" s="409"/>
      <c r="AB1010" s="409"/>
      <c r="AC1010" s="409"/>
    </row>
    <row r="1011" customFormat="false" ht="11.25" hidden="false" customHeight="false" outlineLevel="0" collapsed="false">
      <c r="A1011" s="35" t="str">
        <f aca="false">A103</f>
        <v>Gain on Sale of Assets</v>
      </c>
      <c r="D1011" s="370"/>
      <c r="E1011" s="409" t="str">
        <f aca="false">IF(ISERR(+E103/E$69),"NA",E103/E$69)</f>
        <v>NA</v>
      </c>
      <c r="F1011" s="409" t="str">
        <f aca="false">IF(ISERR(+F103/F$69),"NA",F103/F$69)</f>
        <v>NA</v>
      </c>
      <c r="G1011" s="409" t="str">
        <f aca="false">IF(ISERR(+G103/G$69),"NA",G103/G$69)</f>
        <v>NA</v>
      </c>
      <c r="H1011" s="614" t="str">
        <f aca="false">IF(ISERR(+H103/H$69),"NA",H103/H$69)</f>
        <v>NA</v>
      </c>
      <c r="I1011" s="409" t="n">
        <f aca="false">IF(ISERR(+I103/I$69),"NA",I103/I$69)</f>
        <v>-0</v>
      </c>
      <c r="J1011" s="409" t="n">
        <f aca="false">IF(ISERR(+J103/J$69),"NA",J103/J$69)</f>
        <v>-0</v>
      </c>
      <c r="K1011" s="409" t="n">
        <f aca="false">IF(ISERR(+K103/K$69),"NA",K103/K$69)</f>
        <v>-0</v>
      </c>
      <c r="L1011" s="409" t="n">
        <f aca="false">IF(ISERR(+L103/L$69),"NA",L103/L$69)</f>
        <v>-0</v>
      </c>
      <c r="M1011" s="409" t="n">
        <f aca="false">IF(ISERR(+M103/M$69),"NA",M103/M$69)</f>
        <v>-0</v>
      </c>
      <c r="N1011" s="409" t="n">
        <f aca="false">IF(ISERR(+N103/N$69),"NA",N103/N$69)</f>
        <v>-0</v>
      </c>
      <c r="O1011" s="409" t="n">
        <f aca="false">IF(ISERR(+O103/O$69),"NA",O103/O$69)</f>
        <v>-0</v>
      </c>
      <c r="P1011" s="409" t="n">
        <f aca="false">IF(ISERR(+P103/P$69),"NA",P103/P$69)</f>
        <v>-0</v>
      </c>
      <c r="Q1011" s="409" t="n">
        <f aca="false">IF(ISERR(+Q103/Q$69),"NA",Q103/Q$69)</f>
        <v>-0</v>
      </c>
      <c r="R1011" s="409" t="n">
        <f aca="false">IF(ISERR(+R103/R$69),"NA",R103/R$69)</f>
        <v>-0</v>
      </c>
      <c r="S1011" s="409" t="n">
        <f aca="false">IF(ISERR(+S103/S$69),"NA",S103/S$69)</f>
        <v>-0</v>
      </c>
      <c r="T1011" s="409" t="n">
        <f aca="false">IF(ISERR(+T103/T$69),"NA",T103/T$69)</f>
        <v>-0</v>
      </c>
      <c r="U1011" s="409" t="n">
        <f aca="false">IF(ISERR(+U103/U$69),"NA",U103/U$69)</f>
        <v>-0</v>
      </c>
      <c r="V1011" s="409" t="n">
        <f aca="false">IF(ISERR(+V103/V$69),"NA",V103/V$69)</f>
        <v>-0</v>
      </c>
      <c r="W1011" s="409" t="n">
        <f aca="false">IF(ISERR(+W103/W$69),"NA",W103/W$69)</f>
        <v>-0</v>
      </c>
      <c r="X1011" s="409" t="n">
        <f aca="false">IF(ISERR(+X103/X$69),"NA",X103/X$69)</f>
        <v>-0</v>
      </c>
      <c r="Y1011" s="409" t="n">
        <f aca="false">IF(ISERR(+Y103/Y$69),"NA",Y103/Y$69)</f>
        <v>-0</v>
      </c>
      <c r="Z1011" s="409" t="n">
        <f aca="false">IF(ISERR(+Z103/Z$69),"NA",Z103/Z$69)</f>
        <v>-0</v>
      </c>
      <c r="AA1011" s="409" t="n">
        <f aca="false">IF(ISERR(+AA103/AA$69),"NA",AA103/AA$69)</f>
        <v>-0</v>
      </c>
      <c r="AB1011" s="409" t="n">
        <f aca="false">IF(ISERR(+AB103/AB$69),"NA",AB103/AB$69)</f>
        <v>-0</v>
      </c>
      <c r="AC1011" s="409" t="n">
        <f aca="false">IF(ISERR(+AC103/AC$69),"NA",AC103/AC$69)</f>
        <v>-0</v>
      </c>
    </row>
    <row r="1012" customFormat="false" ht="11.25" hidden="false" customHeight="false" outlineLevel="0" collapsed="false">
      <c r="A1012" s="168" t="str">
        <f aca="false">A104</f>
        <v>Income b/f Taxes</v>
      </c>
      <c r="D1012" s="370"/>
      <c r="E1012" s="409" t="str">
        <f aca="false">IF(ISERR(+E104/E$69),"NA",E104/E$69)</f>
        <v>NA</v>
      </c>
      <c r="F1012" s="409" t="str">
        <f aca="false">IF(ISERR(+F104/F$69),"NA",F104/F$69)</f>
        <v>NA</v>
      </c>
      <c r="G1012" s="409" t="str">
        <f aca="false">IF(ISERR(+G104/G$69),"NA",G104/G$69)</f>
        <v>NA</v>
      </c>
      <c r="H1012" s="614" t="str">
        <f aca="false">IF(ISERR(+H104/H$69),"NA",H104/H$69)</f>
        <v>NA</v>
      </c>
      <c r="I1012" s="409" t="str">
        <f aca="false">IF(ISERR(+I104/I$69),"NA",I104/I$69)</f>
        <v>NA</v>
      </c>
      <c r="J1012" s="409" t="str">
        <f aca="false">IF(ISERR(+J104/J$69),"NA",J104/J$69)</f>
        <v>NA</v>
      </c>
      <c r="K1012" s="409" t="str">
        <f aca="false">IF(ISERR(+K104/K$69),"NA",K104/K$69)</f>
        <v>NA</v>
      </c>
      <c r="L1012" s="409" t="str">
        <f aca="false">IF(ISERR(+L104/L$69),"NA",L104/L$69)</f>
        <v>NA</v>
      </c>
      <c r="M1012" s="409" t="str">
        <f aca="false">IF(ISERR(+M104/M$69),"NA",M104/M$69)</f>
        <v>NA</v>
      </c>
      <c r="N1012" s="409" t="str">
        <f aca="false">IF(ISERR(+N104/N$69),"NA",N104/N$69)</f>
        <v>NA</v>
      </c>
      <c r="O1012" s="409" t="str">
        <f aca="false">IF(ISERR(+O104/O$69),"NA",O104/O$69)</f>
        <v>NA</v>
      </c>
      <c r="P1012" s="409" t="str">
        <f aca="false">IF(ISERR(+P104/P$69),"NA",P104/P$69)</f>
        <v>NA</v>
      </c>
      <c r="Q1012" s="409" t="str">
        <f aca="false">IF(ISERR(+Q104/Q$69),"NA",Q104/Q$69)</f>
        <v>NA</v>
      </c>
      <c r="R1012" s="409" t="str">
        <f aca="false">IF(ISERR(+R104/R$69),"NA",R104/R$69)</f>
        <v>NA</v>
      </c>
      <c r="S1012" s="409" t="str">
        <f aca="false">IF(ISERR(+S104/S$69),"NA",S104/S$69)</f>
        <v>NA</v>
      </c>
      <c r="T1012" s="409" t="str">
        <f aca="false">IF(ISERR(+T104/T$69),"NA",T104/T$69)</f>
        <v>NA</v>
      </c>
      <c r="U1012" s="409" t="str">
        <f aca="false">IF(ISERR(+U104/U$69),"NA",U104/U$69)</f>
        <v>NA</v>
      </c>
      <c r="V1012" s="409" t="str">
        <f aca="false">IF(ISERR(+V104/V$69),"NA",V104/V$69)</f>
        <v>NA</v>
      </c>
      <c r="W1012" s="409" t="str">
        <f aca="false">IF(ISERR(+W104/W$69),"NA",W104/W$69)</f>
        <v>NA</v>
      </c>
      <c r="X1012" s="409" t="str">
        <f aca="false">IF(ISERR(+X104/X$69),"NA",X104/X$69)</f>
        <v>NA</v>
      </c>
      <c r="Y1012" s="409" t="str">
        <f aca="false">IF(ISERR(+Y104/Y$69),"NA",Y104/Y$69)</f>
        <v>NA</v>
      </c>
      <c r="Z1012" s="409" t="str">
        <f aca="false">IF(ISERR(+Z104/Z$69),"NA",Z104/Z$69)</f>
        <v>NA</v>
      </c>
      <c r="AA1012" s="409" t="str">
        <f aca="false">IF(ISERR(+AA104/AA$69),"NA",AA104/AA$69)</f>
        <v>NA</v>
      </c>
      <c r="AB1012" s="409" t="str">
        <f aca="false">IF(ISERR(+AB104/AB$69),"NA",AB104/AB$69)</f>
        <v>NA</v>
      </c>
      <c r="AC1012" s="409" t="str">
        <f aca="false">IF(ISERR(+AC104/AC$69),"NA",AC104/AC$69)</f>
        <v>NA</v>
      </c>
    </row>
    <row r="1013" customFormat="false" ht="11.25" hidden="false" customHeight="false" outlineLevel="0" collapsed="false">
      <c r="D1013" s="370"/>
      <c r="E1013" s="409"/>
      <c r="F1013" s="409"/>
      <c r="G1013" s="409"/>
      <c r="H1013" s="614"/>
      <c r="I1013" s="409"/>
      <c r="J1013" s="409"/>
      <c r="K1013" s="409"/>
      <c r="L1013" s="409"/>
      <c r="M1013" s="409"/>
      <c r="N1013" s="409"/>
      <c r="O1013" s="409"/>
      <c r="P1013" s="409"/>
      <c r="Q1013" s="409"/>
      <c r="R1013" s="409"/>
      <c r="S1013" s="409"/>
      <c r="T1013" s="409"/>
      <c r="U1013" s="409"/>
      <c r="V1013" s="409"/>
      <c r="W1013" s="409"/>
      <c r="X1013" s="409"/>
      <c r="Y1013" s="409"/>
      <c r="Z1013" s="409"/>
      <c r="AA1013" s="409"/>
      <c r="AB1013" s="409"/>
      <c r="AC1013" s="409"/>
    </row>
    <row r="1014" customFormat="false" ht="11.25" hidden="false" customHeight="false" outlineLevel="0" collapsed="false">
      <c r="A1014" s="35" t="str">
        <f aca="false">A106</f>
        <v>Income Taxes</v>
      </c>
      <c r="E1014" s="409" t="str">
        <f aca="false">IF(ISERR(+E106/E$69),"NA",E106/E$69)</f>
        <v>NA</v>
      </c>
      <c r="F1014" s="409" t="str">
        <f aca="false">IF(ISERR(+F106/F$69),"NA",F106/F$69)</f>
        <v>NA</v>
      </c>
      <c r="G1014" s="409" t="str">
        <f aca="false">IF(ISERR(+G106/G$69),"NA",G106/G$69)</f>
        <v>NA</v>
      </c>
      <c r="H1014" s="614" t="str">
        <f aca="false">IF(ISERR(+H106/H$69),"NA",H106/H$69)</f>
        <v>NA</v>
      </c>
      <c r="I1014" s="409" t="str">
        <f aca="false">IF(ISERR(+I106/I$69),"NA",I106/I$69)</f>
        <v>NA</v>
      </c>
      <c r="J1014" s="409" t="str">
        <f aca="false">IF(ISERR(+J106/J$69),"NA",J106/J$69)</f>
        <v>NA</v>
      </c>
      <c r="K1014" s="409" t="str">
        <f aca="false">IF(ISERR(+K106/K$69),"NA",K106/K$69)</f>
        <v>NA</v>
      </c>
      <c r="L1014" s="409" t="str">
        <f aca="false">IF(ISERR(+L106/L$69),"NA",L106/L$69)</f>
        <v>NA</v>
      </c>
      <c r="M1014" s="409" t="str">
        <f aca="false">IF(ISERR(+M106/M$69),"NA",M106/M$69)</f>
        <v>NA</v>
      </c>
      <c r="N1014" s="409" t="str">
        <f aca="false">IF(ISERR(+N106/N$69),"NA",N106/N$69)</f>
        <v>NA</v>
      </c>
      <c r="O1014" s="409" t="str">
        <f aca="false">IF(ISERR(+O106/O$69),"NA",O106/O$69)</f>
        <v>NA</v>
      </c>
      <c r="P1014" s="409" t="str">
        <f aca="false">IF(ISERR(+P106/P$69),"NA",P106/P$69)</f>
        <v>NA</v>
      </c>
      <c r="Q1014" s="409" t="str">
        <f aca="false">IF(ISERR(+Q106/Q$69),"NA",Q106/Q$69)</f>
        <v>NA</v>
      </c>
      <c r="R1014" s="409" t="str">
        <f aca="false">IF(ISERR(+R106/R$69),"NA",R106/R$69)</f>
        <v>NA</v>
      </c>
      <c r="S1014" s="409" t="str">
        <f aca="false">IF(ISERR(+S106/S$69),"NA",S106/S$69)</f>
        <v>NA</v>
      </c>
      <c r="T1014" s="409" t="str">
        <f aca="false">IF(ISERR(+T106/T$69),"NA",T106/T$69)</f>
        <v>NA</v>
      </c>
      <c r="U1014" s="409" t="str">
        <f aca="false">IF(ISERR(+U106/U$69),"NA",U106/U$69)</f>
        <v>NA</v>
      </c>
      <c r="V1014" s="409" t="str">
        <f aca="false">IF(ISERR(+V106/V$69),"NA",V106/V$69)</f>
        <v>NA</v>
      </c>
      <c r="W1014" s="409" t="str">
        <f aca="false">IF(ISERR(+W106/W$69),"NA",W106/W$69)</f>
        <v>NA</v>
      </c>
      <c r="X1014" s="409" t="str">
        <f aca="false">IF(ISERR(+X106/X$69),"NA",X106/X$69)</f>
        <v>NA</v>
      </c>
      <c r="Y1014" s="409" t="str">
        <f aca="false">IF(ISERR(+Y106/Y$69),"NA",Y106/Y$69)</f>
        <v>NA</v>
      </c>
      <c r="Z1014" s="409" t="str">
        <f aca="false">IF(ISERR(+Z106/Z$69),"NA",Z106/Z$69)</f>
        <v>NA</v>
      </c>
      <c r="AA1014" s="409" t="str">
        <f aca="false">IF(ISERR(+AA106/AA$69),"NA",AA106/AA$69)</f>
        <v>NA</v>
      </c>
      <c r="AB1014" s="409" t="str">
        <f aca="false">IF(ISERR(+AB106/AB$69),"NA",AB106/AB$69)</f>
        <v>NA</v>
      </c>
      <c r="AC1014" s="409" t="str">
        <f aca="false">IF(ISERR(+AC106/AC$69),"NA",AC106/AC$69)</f>
        <v>NA</v>
      </c>
    </row>
    <row r="1015" customFormat="false" ht="12" hidden="false" customHeight="false" outlineLevel="0" collapsed="false">
      <c r="A1015" s="168" t="str">
        <f aca="false">A107</f>
        <v>Net Income</v>
      </c>
      <c r="E1015" s="617" t="str">
        <f aca="false">IF(ISERR(+E107/E$69),"NA",E107/E$69)</f>
        <v>NA</v>
      </c>
      <c r="F1015" s="617" t="str">
        <f aca="false">IF(ISERR(+F107/F$69),"NA",F107/F$69)</f>
        <v>NA</v>
      </c>
      <c r="G1015" s="617" t="str">
        <f aca="false">IF(ISERR(+G107/G$69),"NA",G107/G$69)</f>
        <v>NA</v>
      </c>
      <c r="H1015" s="618" t="str">
        <f aca="false">IF(ISERR(+H107/H$69),"NA",H107/H$69)</f>
        <v>NA</v>
      </c>
      <c r="I1015" s="617" t="str">
        <f aca="false">IF(ISERR(+I107/I$69),"NA",I107/I$69)</f>
        <v>NA</v>
      </c>
      <c r="J1015" s="617" t="str">
        <f aca="false">IF(ISERR(+J107/J$69),"NA",J107/J$69)</f>
        <v>NA</v>
      </c>
      <c r="K1015" s="617" t="str">
        <f aca="false">IF(ISERR(+K107/K$69),"NA",K107/K$69)</f>
        <v>NA</v>
      </c>
      <c r="L1015" s="617" t="str">
        <f aca="false">IF(ISERR(+L107/L$69),"NA",L107/L$69)</f>
        <v>NA</v>
      </c>
      <c r="M1015" s="617" t="str">
        <f aca="false">IF(ISERR(+M107/M$69),"NA",M107/M$69)</f>
        <v>NA</v>
      </c>
      <c r="N1015" s="617" t="str">
        <f aca="false">IF(ISERR(+N107/N$69),"NA",N107/N$69)</f>
        <v>NA</v>
      </c>
      <c r="O1015" s="617" t="str">
        <f aca="false">IF(ISERR(+O107/O$69),"NA",O107/O$69)</f>
        <v>NA</v>
      </c>
      <c r="P1015" s="617" t="str">
        <f aca="false">IF(ISERR(+P107/P$69),"NA",P107/P$69)</f>
        <v>NA</v>
      </c>
      <c r="Q1015" s="617" t="str">
        <f aca="false">IF(ISERR(+Q107/Q$69),"NA",Q107/Q$69)</f>
        <v>NA</v>
      </c>
      <c r="R1015" s="617" t="str">
        <f aca="false">IF(ISERR(+R107/R$69),"NA",R107/R$69)</f>
        <v>NA</v>
      </c>
      <c r="S1015" s="617" t="str">
        <f aca="false">IF(ISERR(+S107/S$69),"NA",S107/S$69)</f>
        <v>NA</v>
      </c>
      <c r="T1015" s="617" t="str">
        <f aca="false">IF(ISERR(+T107/T$69),"NA",T107/T$69)</f>
        <v>NA</v>
      </c>
      <c r="U1015" s="617" t="str">
        <f aca="false">IF(ISERR(+U107/U$69),"NA",U107/U$69)</f>
        <v>NA</v>
      </c>
      <c r="V1015" s="617" t="str">
        <f aca="false">IF(ISERR(+V107/V$69),"NA",V107/V$69)</f>
        <v>NA</v>
      </c>
      <c r="W1015" s="617" t="str">
        <f aca="false">IF(ISERR(+W107/W$69),"NA",W107/W$69)</f>
        <v>NA</v>
      </c>
      <c r="X1015" s="617" t="str">
        <f aca="false">IF(ISERR(+X107/X$69),"NA",X107/X$69)</f>
        <v>NA</v>
      </c>
      <c r="Y1015" s="617" t="str">
        <f aca="false">IF(ISERR(+Y107/Y$69),"NA",Y107/Y$69)</f>
        <v>NA</v>
      </c>
      <c r="Z1015" s="617" t="str">
        <f aca="false">IF(ISERR(+Z107/Z$69),"NA",Z107/Z$69)</f>
        <v>NA</v>
      </c>
      <c r="AA1015" s="617" t="str">
        <f aca="false">IF(ISERR(+AA107/AA$69),"NA",AA107/AA$69)</f>
        <v>NA</v>
      </c>
      <c r="AB1015" s="617" t="str">
        <f aca="false">IF(ISERR(+AB107/AB$69),"NA",AB107/AB$69)</f>
        <v>NA</v>
      </c>
      <c r="AC1015" s="617" t="str">
        <f aca="false">IF(ISERR(+AC107/AC$69),"NA",AC107/AC$69)</f>
        <v>NA</v>
      </c>
    </row>
    <row r="1016" customFormat="false" ht="12" hidden="false" customHeight="false" outlineLevel="0" collapsed="false">
      <c r="E1016" s="409"/>
      <c r="F1016" s="409"/>
      <c r="G1016" s="409"/>
      <c r="H1016" s="614"/>
      <c r="I1016" s="409"/>
      <c r="J1016" s="409"/>
      <c r="K1016" s="409"/>
      <c r="L1016" s="409"/>
      <c r="M1016" s="409"/>
      <c r="N1016" s="409"/>
      <c r="O1016" s="409"/>
      <c r="P1016" s="409"/>
      <c r="Q1016" s="409"/>
      <c r="R1016" s="409"/>
      <c r="S1016" s="409"/>
      <c r="T1016" s="409"/>
      <c r="U1016" s="409"/>
      <c r="V1016" s="409"/>
      <c r="W1016" s="409"/>
      <c r="X1016" s="409"/>
      <c r="Y1016" s="409"/>
      <c r="Z1016" s="409"/>
      <c r="AA1016" s="409"/>
      <c r="AB1016" s="409"/>
      <c r="AC1016" s="409"/>
    </row>
    <row r="1017" customFormat="false" ht="11.25" hidden="false" customHeight="false" outlineLevel="0" collapsed="false">
      <c r="A1017" s="35" t="str">
        <f aca="false">A109</f>
        <v>Preferred Dividends</v>
      </c>
      <c r="E1017" s="409" t="str">
        <f aca="false">IF(ISERR(+E109/E$69),"NA",E109/E$69)</f>
        <v>NA</v>
      </c>
      <c r="F1017" s="409" t="str">
        <f aca="false">IF(ISERR(+F109/F$69),"NA",F109/F$69)</f>
        <v>NA</v>
      </c>
      <c r="G1017" s="409" t="str">
        <f aca="false">IF(ISERR(+G109/G$69),"NA",G109/G$69)</f>
        <v>NA</v>
      </c>
      <c r="H1017" s="614" t="str">
        <f aca="false">IF(ISERR(+H109/H$69),"NA",H109/H$69)</f>
        <v>NA</v>
      </c>
      <c r="I1017" s="409" t="n">
        <f aca="false">IF(ISERR(+I109/I$69),"NA",I109/I$69)</f>
        <v>-0</v>
      </c>
      <c r="J1017" s="409" t="n">
        <f aca="false">IF(ISERR(+J109/J$69),"NA",J109/J$69)</f>
        <v>-0</v>
      </c>
      <c r="K1017" s="409" t="n">
        <f aca="false">IF(ISERR(+K109/K$69),"NA",K109/K$69)</f>
        <v>-0</v>
      </c>
      <c r="L1017" s="409" t="n">
        <f aca="false">IF(ISERR(+L109/L$69),"NA",L109/L$69)</f>
        <v>-0</v>
      </c>
      <c r="M1017" s="409" t="n">
        <f aca="false">IF(ISERR(+M109/M$69),"NA",M109/M$69)</f>
        <v>-0</v>
      </c>
      <c r="N1017" s="409" t="n">
        <f aca="false">IF(ISERR(+N109/N$69),"NA",N109/N$69)</f>
        <v>-0</v>
      </c>
      <c r="O1017" s="409" t="n">
        <f aca="false">IF(ISERR(+O109/O$69),"NA",O109/O$69)</f>
        <v>-0</v>
      </c>
      <c r="P1017" s="409" t="n">
        <f aca="false">IF(ISERR(+P109/P$69),"NA",P109/P$69)</f>
        <v>-0</v>
      </c>
      <c r="Q1017" s="409" t="n">
        <f aca="false">IF(ISERR(+Q109/Q$69),"NA",Q109/Q$69)</f>
        <v>-0</v>
      </c>
      <c r="R1017" s="409" t="n">
        <f aca="false">IF(ISERR(+R109/R$69),"NA",R109/R$69)</f>
        <v>-0</v>
      </c>
      <c r="S1017" s="409" t="n">
        <f aca="false">IF(ISERR(+S109/S$69),"NA",S109/S$69)</f>
        <v>-0</v>
      </c>
      <c r="T1017" s="409" t="n">
        <f aca="false">IF(ISERR(+T109/T$69),"NA",T109/T$69)</f>
        <v>-0</v>
      </c>
      <c r="U1017" s="409" t="n">
        <f aca="false">IF(ISERR(+U109/U$69),"NA",U109/U$69)</f>
        <v>-0</v>
      </c>
      <c r="V1017" s="409" t="n">
        <f aca="false">IF(ISERR(+V109/V$69),"NA",V109/V$69)</f>
        <v>-0</v>
      </c>
      <c r="W1017" s="409" t="n">
        <f aca="false">IF(ISERR(+W109/W$69),"NA",W109/W$69)</f>
        <v>-0</v>
      </c>
      <c r="X1017" s="409" t="n">
        <f aca="false">IF(ISERR(+X109/X$69),"NA",X109/X$69)</f>
        <v>-0</v>
      </c>
      <c r="Y1017" s="409" t="n">
        <f aca="false">IF(ISERR(+Y109/Y$69),"NA",Y109/Y$69)</f>
        <v>-0</v>
      </c>
      <c r="Z1017" s="409" t="n">
        <f aca="false">IF(ISERR(+Z109/Z$69),"NA",Z109/Z$69)</f>
        <v>-0</v>
      </c>
      <c r="AA1017" s="409" t="n">
        <f aca="false">IF(ISERR(+AA109/AA$69),"NA",AA109/AA$69)</f>
        <v>-0</v>
      </c>
      <c r="AB1017" s="409" t="n">
        <f aca="false">IF(ISERR(+AB109/AB$69),"NA",AB109/AB$69)</f>
        <v>-0</v>
      </c>
      <c r="AC1017" s="409" t="n">
        <f aca="false">IF(ISERR(+AC109/AC$69),"NA",AC109/AC$69)</f>
        <v>-0</v>
      </c>
    </row>
    <row r="1018" customFormat="false" ht="12" hidden="false" customHeight="false" outlineLevel="0" collapsed="false">
      <c r="A1018" s="168" t="str">
        <f aca="false">A110</f>
        <v>Net Income Available to Common</v>
      </c>
      <c r="E1018" s="617" t="str">
        <f aca="false">IF(ISERR(+E110/E$69),"NA",E110/E$69)</f>
        <v>NA</v>
      </c>
      <c r="F1018" s="617" t="str">
        <f aca="false">IF(ISERR(+F110/F$69),"NA",F110/F$69)</f>
        <v>NA</v>
      </c>
      <c r="G1018" s="617" t="str">
        <f aca="false">IF(ISERR(+G110/G$69),"NA",G110/G$69)</f>
        <v>NA</v>
      </c>
      <c r="H1018" s="618" t="str">
        <f aca="false">IF(ISERR(+H110/H$69),"NA",H110/H$69)</f>
        <v>NA</v>
      </c>
      <c r="I1018" s="617" t="str">
        <f aca="false">IF(ISERR(+I110/I$69),"NA",I110/I$69)</f>
        <v>NA</v>
      </c>
      <c r="J1018" s="617" t="str">
        <f aca="false">IF(ISERR(+J110/J$69),"NA",J110/J$69)</f>
        <v>NA</v>
      </c>
      <c r="K1018" s="617" t="str">
        <f aca="false">IF(ISERR(+K110/K$69),"NA",K110/K$69)</f>
        <v>NA</v>
      </c>
      <c r="L1018" s="617" t="str">
        <f aca="false">IF(ISERR(+L110/L$69),"NA",L110/L$69)</f>
        <v>NA</v>
      </c>
      <c r="M1018" s="617" t="str">
        <f aca="false">IF(ISERR(+M110/M$69),"NA",M110/M$69)</f>
        <v>NA</v>
      </c>
      <c r="N1018" s="617" t="str">
        <f aca="false">IF(ISERR(+N110/N$69),"NA",N110/N$69)</f>
        <v>NA</v>
      </c>
      <c r="O1018" s="617" t="str">
        <f aca="false">IF(ISERR(+O110/O$69),"NA",O110/O$69)</f>
        <v>NA</v>
      </c>
      <c r="P1018" s="617" t="str">
        <f aca="false">IF(ISERR(+P110/P$69),"NA",P110/P$69)</f>
        <v>NA</v>
      </c>
      <c r="Q1018" s="617" t="str">
        <f aca="false">IF(ISERR(+Q110/Q$69),"NA",Q110/Q$69)</f>
        <v>NA</v>
      </c>
      <c r="R1018" s="617" t="str">
        <f aca="false">IF(ISERR(+R110/R$69),"NA",R110/R$69)</f>
        <v>NA</v>
      </c>
      <c r="S1018" s="617" t="str">
        <f aca="false">IF(ISERR(+S110/S$69),"NA",S110/S$69)</f>
        <v>NA</v>
      </c>
      <c r="T1018" s="617" t="str">
        <f aca="false">IF(ISERR(+T110/T$69),"NA",T110/T$69)</f>
        <v>NA</v>
      </c>
      <c r="U1018" s="617" t="str">
        <f aca="false">IF(ISERR(+U110/U$69),"NA",U110/U$69)</f>
        <v>NA</v>
      </c>
      <c r="V1018" s="617" t="str">
        <f aca="false">IF(ISERR(+V110/V$69),"NA",V110/V$69)</f>
        <v>NA</v>
      </c>
      <c r="W1018" s="617" t="str">
        <f aca="false">IF(ISERR(+W110/W$69),"NA",W110/W$69)</f>
        <v>NA</v>
      </c>
      <c r="X1018" s="617" t="str">
        <f aca="false">IF(ISERR(+X110/X$69),"NA",X110/X$69)</f>
        <v>NA</v>
      </c>
      <c r="Y1018" s="617" t="str">
        <f aca="false">IF(ISERR(+Y110/Y$69),"NA",Y110/Y$69)</f>
        <v>NA</v>
      </c>
      <c r="Z1018" s="617" t="str">
        <f aca="false">IF(ISERR(+Z110/Z$69),"NA",Z110/Z$69)</f>
        <v>NA</v>
      </c>
      <c r="AA1018" s="617" t="str">
        <f aca="false">IF(ISERR(+AA110/AA$69),"NA",AA110/AA$69)</f>
        <v>NA</v>
      </c>
      <c r="AB1018" s="617" t="str">
        <f aca="false">IF(ISERR(+AB110/AB$69),"NA",AB110/AB$69)</f>
        <v>NA</v>
      </c>
      <c r="AC1018" s="617" t="str">
        <f aca="false">IF(ISERR(+AC110/AC$69),"NA",AC110/AC$69)</f>
        <v>NA</v>
      </c>
    </row>
    <row r="1019" customFormat="false" ht="12" hidden="false" customHeight="false" outlineLevel="0" collapsed="false">
      <c r="E1019" s="409"/>
      <c r="F1019" s="409"/>
      <c r="G1019" s="409"/>
      <c r="H1019" s="614"/>
      <c r="I1019" s="409"/>
      <c r="J1019" s="409"/>
      <c r="K1019" s="409"/>
      <c r="L1019" s="409"/>
      <c r="M1019" s="409"/>
      <c r="N1019" s="409"/>
      <c r="O1019" s="409"/>
      <c r="P1019" s="409"/>
      <c r="Q1019" s="409"/>
      <c r="R1019" s="409"/>
      <c r="S1019" s="409"/>
      <c r="T1019" s="409"/>
      <c r="U1019" s="409"/>
      <c r="V1019" s="409"/>
      <c r="W1019" s="409"/>
      <c r="X1019" s="409"/>
      <c r="Y1019" s="409"/>
      <c r="Z1019" s="409"/>
      <c r="AA1019" s="409"/>
      <c r="AB1019" s="409"/>
      <c r="AC1019" s="409"/>
    </row>
    <row r="1020" customFormat="false" ht="11.25" hidden="false" customHeight="false" outlineLevel="0" collapsed="false">
      <c r="A1020" s="35" t="str">
        <f aca="false">A112</f>
        <v>Common Dividends</v>
      </c>
      <c r="E1020" s="409" t="str">
        <f aca="false">IF(ISERR(+E112/E$69),"NA",E112/E$69)</f>
        <v>NA</v>
      </c>
      <c r="F1020" s="409" t="str">
        <f aca="false">IF(ISERR(+F112/F$69),"NA",F112/F$69)</f>
        <v>NA</v>
      </c>
      <c r="G1020" s="409" t="str">
        <f aca="false">IF(ISERR(+G112/G$69),"NA",G112/G$69)</f>
        <v>NA</v>
      </c>
      <c r="H1020" s="614" t="str">
        <f aca="false">IF(ISERR(+H112/H$69),"NA",H112/H$69)</f>
        <v>NA</v>
      </c>
      <c r="I1020" s="409" t="str">
        <f aca="false">IF(ISERR(+I112/I$69),"NA",I112/I$69)</f>
        <v>NA</v>
      </c>
      <c r="J1020" s="409" t="str">
        <f aca="false">IF(ISERR(+J112/J$69),"NA",J112/J$69)</f>
        <v>NA</v>
      </c>
      <c r="K1020" s="409" t="str">
        <f aca="false">IF(ISERR(+K112/K$69),"NA",K112/K$69)</f>
        <v>NA</v>
      </c>
      <c r="L1020" s="409" t="str">
        <f aca="false">IF(ISERR(+L112/L$69),"NA",L112/L$69)</f>
        <v>NA</v>
      </c>
      <c r="M1020" s="409" t="str">
        <f aca="false">IF(ISERR(+M112/M$69),"NA",M112/M$69)</f>
        <v>NA</v>
      </c>
      <c r="N1020" s="409" t="str">
        <f aca="false">IF(ISERR(+N112/N$69),"NA",N112/N$69)</f>
        <v>NA</v>
      </c>
      <c r="O1020" s="409" t="str">
        <f aca="false">IF(ISERR(+O112/O$69),"NA",O112/O$69)</f>
        <v>NA</v>
      </c>
      <c r="P1020" s="409" t="str">
        <f aca="false">IF(ISERR(+P112/P$69),"NA",P112/P$69)</f>
        <v>NA</v>
      </c>
      <c r="Q1020" s="409" t="str">
        <f aca="false">IF(ISERR(+Q112/Q$69),"NA",Q112/Q$69)</f>
        <v>NA</v>
      </c>
      <c r="R1020" s="409" t="str">
        <f aca="false">IF(ISERR(+R112/R$69),"NA",R112/R$69)</f>
        <v>NA</v>
      </c>
      <c r="S1020" s="409" t="str">
        <f aca="false">IF(ISERR(+S112/S$69),"NA",S112/S$69)</f>
        <v>NA</v>
      </c>
      <c r="T1020" s="409" t="str">
        <f aca="false">IF(ISERR(+T112/T$69),"NA",T112/T$69)</f>
        <v>NA</v>
      </c>
      <c r="U1020" s="409" t="str">
        <f aca="false">IF(ISERR(+U112/U$69),"NA",U112/U$69)</f>
        <v>NA</v>
      </c>
      <c r="V1020" s="409" t="str">
        <f aca="false">IF(ISERR(+V112/V$69),"NA",V112/V$69)</f>
        <v>NA</v>
      </c>
      <c r="W1020" s="409" t="str">
        <f aca="false">IF(ISERR(+W112/W$69),"NA",W112/W$69)</f>
        <v>NA</v>
      </c>
      <c r="X1020" s="409" t="str">
        <f aca="false">IF(ISERR(+X112/X$69),"NA",X112/X$69)</f>
        <v>NA</v>
      </c>
      <c r="Y1020" s="409" t="str">
        <f aca="false">IF(ISERR(+Y112/Y$69),"NA",Y112/Y$69)</f>
        <v>NA</v>
      </c>
      <c r="Z1020" s="409" t="str">
        <f aca="false">IF(ISERR(+Z112/Z$69),"NA",Z112/Z$69)</f>
        <v>NA</v>
      </c>
      <c r="AA1020" s="409" t="str">
        <f aca="false">IF(ISERR(+AA112/AA$69),"NA",AA112/AA$69)</f>
        <v>NA</v>
      </c>
      <c r="AB1020" s="409" t="str">
        <f aca="false">IF(ISERR(+AB112/AB$69),"NA",AB112/AB$69)</f>
        <v>NA</v>
      </c>
      <c r="AC1020" s="409" t="str">
        <f aca="false">IF(ISERR(+AC112/AC$69),"NA",AC112/AC$69)</f>
        <v>NA</v>
      </c>
    </row>
    <row r="1022" customFormat="false" ht="12" hidden="false" customHeight="false" outlineLevel="0" collapsed="false"/>
    <row r="1023" customFormat="false" ht="12.75" hidden="false" customHeight="false" outlineLevel="0" collapsed="false">
      <c r="A1023" s="153" t="s">
        <v>1124</v>
      </c>
      <c r="E1023" s="395" t="n">
        <f aca="false">E580</f>
        <v>1996</v>
      </c>
      <c r="F1023" s="395" t="n">
        <f aca="false">F580</f>
        <v>1997</v>
      </c>
      <c r="G1023" s="395" t="n">
        <f aca="false">G580</f>
        <v>1998</v>
      </c>
      <c r="H1023" s="81" t="str">
        <f aca="false">$H$579&amp;"/"&amp;TEXT($H$580,"0")</f>
        <v>6 M/1999</v>
      </c>
      <c r="I1023" s="81" t="str">
        <f aca="false">$I$579&amp;"/"&amp;TEXT($I$580,"0")</f>
        <v>6 M/1999</v>
      </c>
      <c r="J1023" s="81" t="n">
        <f aca="false">J580</f>
        <v>2000</v>
      </c>
      <c r="K1023" s="81" t="n">
        <f aca="false">K580</f>
        <v>2001</v>
      </c>
      <c r="L1023" s="81" t="n">
        <f aca="false">L580</f>
        <v>2002</v>
      </c>
      <c r="M1023" s="81" t="n">
        <f aca="false">M580</f>
        <v>2003</v>
      </c>
      <c r="N1023" s="81" t="n">
        <f aca="false">N580</f>
        <v>2004</v>
      </c>
      <c r="O1023" s="81" t="n">
        <f aca="false">O580</f>
        <v>2005</v>
      </c>
      <c r="P1023" s="81" t="n">
        <f aca="false">P580</f>
        <v>2006</v>
      </c>
      <c r="Q1023" s="81" t="n">
        <f aca="false">Q580</f>
        <v>2007</v>
      </c>
      <c r="R1023" s="81" t="n">
        <f aca="false">R580</f>
        <v>2008</v>
      </c>
      <c r="S1023" s="81" t="n">
        <f aca="false">S580</f>
        <v>2009</v>
      </c>
      <c r="T1023" s="81" t="n">
        <f aca="false">T580</f>
        <v>2010</v>
      </c>
      <c r="U1023" s="81" t="n">
        <f aca="false">U580</f>
        <v>2011</v>
      </c>
      <c r="V1023" s="81" t="n">
        <f aca="false">V580</f>
        <v>2012</v>
      </c>
      <c r="W1023" s="81" t="n">
        <f aca="false">W580</f>
        <v>2013</v>
      </c>
      <c r="X1023" s="81" t="n">
        <f aca="false">X580</f>
        <v>2014</v>
      </c>
      <c r="Y1023" s="81" t="n">
        <f aca="false">Y580</f>
        <v>2015</v>
      </c>
      <c r="Z1023" s="81" t="n">
        <f aca="false">Z580</f>
        <v>2016</v>
      </c>
      <c r="AA1023" s="81" t="n">
        <f aca="false">AA580</f>
        <v>2017</v>
      </c>
      <c r="AB1023" s="81" t="n">
        <f aca="false">AB580</f>
        <v>2018</v>
      </c>
      <c r="AC1023" s="81" t="n">
        <f aca="false">AC580</f>
        <v>2019</v>
      </c>
    </row>
    <row r="1024" customFormat="false" ht="12" hidden="false" customHeight="false" outlineLevel="0" collapsed="false">
      <c r="A1024" s="554" t="s">
        <v>1125</v>
      </c>
      <c r="J1024" s="396"/>
    </row>
    <row r="1025" customFormat="false" ht="11.25" hidden="false" customHeight="false" outlineLevel="0" collapsed="false">
      <c r="A1025" s="43"/>
      <c r="B1025" s="43" t="s">
        <v>671</v>
      </c>
      <c r="C1025" s="67"/>
      <c r="I1025" s="35" t="e">
        <f aca="false">I118</f>
        <v>#VALUE!</v>
      </c>
      <c r="J1025" s="396" t="e">
        <f aca="false">J118</f>
        <v>#VALUE!</v>
      </c>
      <c r="K1025" s="35" t="e">
        <f aca="false">K118</f>
        <v>#VALUE!</v>
      </c>
      <c r="L1025" s="35" t="e">
        <f aca="false">L118</f>
        <v>#VALUE!</v>
      </c>
      <c r="M1025" s="35" t="e">
        <f aca="false">M118</f>
        <v>#VALUE!</v>
      </c>
      <c r="N1025" s="35" t="e">
        <f aca="false">N118</f>
        <v>#VALUE!</v>
      </c>
      <c r="O1025" s="35" t="e">
        <f aca="false">O118</f>
        <v>#VALUE!</v>
      </c>
      <c r="P1025" s="35" t="e">
        <f aca="false">P118</f>
        <v>#VALUE!</v>
      </c>
      <c r="Q1025" s="35" t="e">
        <f aca="false">Q118</f>
        <v>#VALUE!</v>
      </c>
      <c r="R1025" s="35" t="e">
        <f aca="false">R118</f>
        <v>#VALUE!</v>
      </c>
      <c r="S1025" s="35" t="e">
        <f aca="false">S118</f>
        <v>#VALUE!</v>
      </c>
      <c r="T1025" s="35" t="e">
        <f aca="false">T118</f>
        <v>#VALUE!</v>
      </c>
      <c r="U1025" s="35" t="e">
        <f aca="false">U118</f>
        <v>#VALUE!</v>
      </c>
      <c r="V1025" s="35" t="e">
        <f aca="false">V118</f>
        <v>#VALUE!</v>
      </c>
      <c r="W1025" s="35" t="e">
        <f aca="false">W118</f>
        <v>#VALUE!</v>
      </c>
      <c r="X1025" s="35" t="e">
        <f aca="false">X118</f>
        <v>#VALUE!</v>
      </c>
      <c r="Y1025" s="35" t="e">
        <f aca="false">Y118</f>
        <v>#VALUE!</v>
      </c>
      <c r="Z1025" s="35" t="e">
        <f aca="false">Z118</f>
        <v>#VALUE!</v>
      </c>
      <c r="AA1025" s="35" t="e">
        <f aca="false">AA118</f>
        <v>#VALUE!</v>
      </c>
      <c r="AB1025" s="35" t="e">
        <f aca="false">AB118</f>
        <v>#VALUE!</v>
      </c>
      <c r="AC1025" s="35" t="e">
        <f aca="false">AC118</f>
        <v>#VALUE!</v>
      </c>
    </row>
    <row r="1026" customFormat="false" ht="11.25" hidden="false" customHeight="false" outlineLevel="0" collapsed="false">
      <c r="A1026" s="43"/>
      <c r="B1026" s="43"/>
      <c r="C1026" s="67"/>
      <c r="J1026" s="396"/>
    </row>
    <row r="1027" customFormat="false" ht="11.25" hidden="false" customHeight="false" outlineLevel="0" collapsed="false">
      <c r="A1027" s="307" t="s">
        <v>924</v>
      </c>
      <c r="B1027" s="35" t="str">
        <f aca="false">A119</f>
        <v>Depreciation &amp; Amortization</v>
      </c>
      <c r="C1027" s="67"/>
      <c r="I1027" s="35" t="n">
        <f aca="false">I119</f>
        <v>0</v>
      </c>
      <c r="J1027" s="396" t="n">
        <f aca="false">J119</f>
        <v>0</v>
      </c>
      <c r="K1027" s="35" t="n">
        <f aca="false">K119</f>
        <v>0</v>
      </c>
      <c r="L1027" s="35" t="n">
        <f aca="false">L119</f>
        <v>0</v>
      </c>
      <c r="M1027" s="35" t="n">
        <f aca="false">M119</f>
        <v>0</v>
      </c>
      <c r="N1027" s="35" t="n">
        <f aca="false">N119</f>
        <v>0</v>
      </c>
      <c r="O1027" s="35" t="n">
        <f aca="false">O119</f>
        <v>4.37940610692124</v>
      </c>
      <c r="P1027" s="35" t="n">
        <f aca="false">P119</f>
        <v>4.73479130132525</v>
      </c>
      <c r="Q1027" s="35" t="n">
        <f aca="false">Q119</f>
        <v>7.10183406065871</v>
      </c>
      <c r="R1027" s="35" t="n">
        <f aca="false">R119</f>
        <v>6.06029350365411</v>
      </c>
      <c r="S1027" s="35" t="n">
        <f aca="false">S119</f>
        <v>5.13462160166333</v>
      </c>
      <c r="T1027" s="35" t="n">
        <f aca="false">T119</f>
        <v>4.31369340045704</v>
      </c>
      <c r="U1027" s="35" t="n">
        <f aca="false">U119</f>
        <v>3.61604708594512</v>
      </c>
      <c r="V1027" s="35" t="n">
        <f aca="false">V119</f>
        <v>2.96902765639283</v>
      </c>
      <c r="W1027" s="35" t="n">
        <f aca="false">W119</f>
        <v>2.43484435655219</v>
      </c>
      <c r="X1027" s="35" t="n">
        <f aca="false">X119</f>
        <v>1.9752031273748</v>
      </c>
      <c r="Y1027" s="35" t="n">
        <f aca="false">Y119</f>
        <v>1.55663930896327</v>
      </c>
      <c r="Z1027" s="35" t="n">
        <f aca="false">Z119</f>
        <v>1.14351365103143</v>
      </c>
      <c r="AA1027" s="35" t="n">
        <f aca="false">AA119</f>
        <v>0.874427280159617</v>
      </c>
      <c r="AB1027" s="35" t="n">
        <f aca="false">AB119</f>
        <v>0.672671998471635</v>
      </c>
      <c r="AC1027" s="35" t="n">
        <f aca="false">AC119</f>
        <v>0.555985560429433</v>
      </c>
    </row>
    <row r="1028" customFormat="false" ht="11.25" hidden="false" customHeight="false" outlineLevel="0" collapsed="false">
      <c r="A1028" s="43"/>
      <c r="B1028" s="35" t="s">
        <v>1126</v>
      </c>
      <c r="C1028" s="67"/>
      <c r="I1028" s="35" t="n">
        <f aca="false">-I132</f>
        <v>-0</v>
      </c>
      <c r="J1028" s="396" t="n">
        <f aca="false">-J132</f>
        <v>-0</v>
      </c>
      <c r="K1028" s="35" t="n">
        <f aca="false">-K132</f>
        <v>-0</v>
      </c>
      <c r="L1028" s="35" t="n">
        <f aca="false">-L132</f>
        <v>-0</v>
      </c>
      <c r="M1028" s="35" t="n">
        <f aca="false">-M132</f>
        <v>-0</v>
      </c>
      <c r="N1028" s="35" t="n">
        <f aca="false">-N132</f>
        <v>-0</v>
      </c>
      <c r="O1028" s="35" t="n">
        <f aca="false">-O132</f>
        <v>-0</v>
      </c>
      <c r="P1028" s="35" t="n">
        <f aca="false">-P132</f>
        <v>-0</v>
      </c>
      <c r="Q1028" s="35" t="n">
        <f aca="false">-Q132</f>
        <v>-0</v>
      </c>
      <c r="R1028" s="35" t="n">
        <f aca="false">-R132</f>
        <v>-0</v>
      </c>
      <c r="S1028" s="35" t="n">
        <f aca="false">-S132</f>
        <v>-0</v>
      </c>
      <c r="T1028" s="35" t="n">
        <f aca="false">-T132</f>
        <v>-0</v>
      </c>
      <c r="U1028" s="35" t="n">
        <f aca="false">-U132</f>
        <v>-0</v>
      </c>
      <c r="V1028" s="35" t="n">
        <f aca="false">-V132</f>
        <v>-0</v>
      </c>
      <c r="W1028" s="35" t="n">
        <f aca="false">-W132</f>
        <v>-0</v>
      </c>
      <c r="X1028" s="35" t="n">
        <f aca="false">-X132</f>
        <v>-0</v>
      </c>
      <c r="Y1028" s="35" t="n">
        <f aca="false">-Y132</f>
        <v>-0</v>
      </c>
      <c r="Z1028" s="35" t="n">
        <f aca="false">-Z132</f>
        <v>-0</v>
      </c>
      <c r="AA1028" s="35" t="n">
        <f aca="false">-AA132</f>
        <v>-0</v>
      </c>
      <c r="AB1028" s="35" t="n">
        <f aca="false">-AB132</f>
        <v>-0</v>
      </c>
      <c r="AC1028" s="35" t="n">
        <f aca="false">-AC132</f>
        <v>-0</v>
      </c>
    </row>
    <row r="1029" customFormat="false" ht="11.25" hidden="false" customHeight="false" outlineLevel="0" collapsed="false">
      <c r="A1029" s="43"/>
      <c r="B1029" s="35" t="str">
        <f aca="false">A121</f>
        <v>Deferred Income Taxes</v>
      </c>
      <c r="C1029" s="67"/>
      <c r="I1029" s="35" t="e">
        <f aca="false">I121</f>
        <v>#VALUE!</v>
      </c>
      <c r="J1029" s="396" t="e">
        <f aca="false">J121</f>
        <v>#VALUE!</v>
      </c>
      <c r="K1029" s="35" t="e">
        <f aca="false">K121</f>
        <v>#VALUE!</v>
      </c>
      <c r="L1029" s="35" t="e">
        <f aca="false">L121</f>
        <v>#VALUE!</v>
      </c>
      <c r="M1029" s="35" t="e">
        <f aca="false">M121</f>
        <v>#VALUE!</v>
      </c>
      <c r="N1029" s="35" t="e">
        <f aca="false">N121</f>
        <v>#VALUE!</v>
      </c>
      <c r="O1029" s="35" t="e">
        <f aca="false">O121</f>
        <v>#VALUE!</v>
      </c>
      <c r="P1029" s="35" t="e">
        <f aca="false">P121</f>
        <v>#VALUE!</v>
      </c>
      <c r="Q1029" s="35" t="e">
        <f aca="false">Q121</f>
        <v>#VALUE!</v>
      </c>
      <c r="R1029" s="35" t="e">
        <f aca="false">R121</f>
        <v>#VALUE!</v>
      </c>
      <c r="S1029" s="35" t="e">
        <f aca="false">S121</f>
        <v>#VALUE!</v>
      </c>
      <c r="T1029" s="35" t="e">
        <f aca="false">T121</f>
        <v>#VALUE!</v>
      </c>
      <c r="U1029" s="35" t="e">
        <f aca="false">U121</f>
        <v>#VALUE!</v>
      </c>
      <c r="V1029" s="35" t="e">
        <f aca="false">V121</f>
        <v>#VALUE!</v>
      </c>
      <c r="W1029" s="35" t="e">
        <f aca="false">W121</f>
        <v>#VALUE!</v>
      </c>
      <c r="X1029" s="35" t="e">
        <f aca="false">X121</f>
        <v>#VALUE!</v>
      </c>
      <c r="Y1029" s="35" t="n">
        <f aca="false">Y121</f>
        <v>0</v>
      </c>
      <c r="Z1029" s="35" t="e">
        <f aca="false">Z121</f>
        <v>#VALUE!</v>
      </c>
      <c r="AA1029" s="35" t="e">
        <f aca="false">AA121</f>
        <v>#VALUE!</v>
      </c>
      <c r="AB1029" s="35" t="e">
        <f aca="false">AB121</f>
        <v>#VALUE!</v>
      </c>
      <c r="AC1029" s="35" t="e">
        <f aca="false">AC121</f>
        <v>#VALUE!</v>
      </c>
    </row>
    <row r="1030" customFormat="false" ht="11.25" hidden="false" customHeight="false" outlineLevel="0" collapsed="false">
      <c r="A1030" s="43"/>
      <c r="B1030" s="35" t="str">
        <f aca="false">A120</f>
        <v>Contribution from ESOP</v>
      </c>
      <c r="C1030" s="67"/>
      <c r="I1030" s="35" t="n">
        <f aca="false">I120</f>
        <v>0</v>
      </c>
      <c r="J1030" s="396" t="n">
        <f aca="false">J120</f>
        <v>0</v>
      </c>
      <c r="K1030" s="35" t="n">
        <f aca="false">K120</f>
        <v>0</v>
      </c>
      <c r="L1030" s="35" t="n">
        <f aca="false">L120</f>
        <v>0</v>
      </c>
      <c r="M1030" s="35" t="n">
        <f aca="false">M120</f>
        <v>0</v>
      </c>
      <c r="N1030" s="35" t="n">
        <f aca="false">N120</f>
        <v>0</v>
      </c>
      <c r="O1030" s="35" t="n">
        <f aca="false">O120</f>
        <v>0</v>
      </c>
      <c r="P1030" s="35" t="n">
        <f aca="false">P120</f>
        <v>0</v>
      </c>
      <c r="Q1030" s="35" t="n">
        <f aca="false">Q120</f>
        <v>0</v>
      </c>
      <c r="R1030" s="35" t="n">
        <f aca="false">R120</f>
        <v>0</v>
      </c>
      <c r="S1030" s="35" t="n">
        <f aca="false">S120</f>
        <v>0</v>
      </c>
      <c r="T1030" s="35" t="n">
        <f aca="false">T120</f>
        <v>0</v>
      </c>
      <c r="U1030" s="35" t="n">
        <f aca="false">U120</f>
        <v>0</v>
      </c>
      <c r="V1030" s="35" t="n">
        <f aca="false">V120</f>
        <v>0</v>
      </c>
      <c r="W1030" s="35" t="n">
        <f aca="false">W120</f>
        <v>0</v>
      </c>
      <c r="X1030" s="35" t="n">
        <f aca="false">X120</f>
        <v>0</v>
      </c>
      <c r="Y1030" s="35" t="n">
        <f aca="false">Y120</f>
        <v>0</v>
      </c>
      <c r="Z1030" s="35" t="n">
        <f aca="false">Z120</f>
        <v>0</v>
      </c>
      <c r="AA1030" s="35" t="n">
        <f aca="false">AA120</f>
        <v>0</v>
      </c>
      <c r="AB1030" s="35" t="n">
        <f aca="false">AB120</f>
        <v>0</v>
      </c>
      <c r="AC1030" s="35" t="n">
        <f aca="false">AC120</f>
        <v>0</v>
      </c>
    </row>
    <row r="1031" customFormat="false" ht="11.25" hidden="false" customHeight="false" outlineLevel="0" collapsed="false">
      <c r="A1031" s="43"/>
      <c r="B1031" s="35" t="str">
        <f aca="false">A122</f>
        <v>Non-Cash Interest and Dividends</v>
      </c>
      <c r="C1031" s="67"/>
      <c r="I1031" s="35" t="n">
        <f aca="false">I122</f>
        <v>0</v>
      </c>
      <c r="J1031" s="396" t="n">
        <f aca="false">J122</f>
        <v>0</v>
      </c>
      <c r="K1031" s="35" t="n">
        <f aca="false">K122</f>
        <v>0</v>
      </c>
      <c r="L1031" s="35" t="n">
        <f aca="false">L122</f>
        <v>0</v>
      </c>
      <c r="M1031" s="35" t="n">
        <f aca="false">M122</f>
        <v>0</v>
      </c>
      <c r="N1031" s="35" t="n">
        <f aca="false">N122</f>
        <v>0</v>
      </c>
      <c r="O1031" s="35" t="n">
        <f aca="false">O122</f>
        <v>0</v>
      </c>
      <c r="P1031" s="35" t="n">
        <f aca="false">P122</f>
        <v>0</v>
      </c>
      <c r="Q1031" s="35" t="n">
        <f aca="false">Q122</f>
        <v>0</v>
      </c>
      <c r="R1031" s="35" t="n">
        <f aca="false">R122</f>
        <v>0</v>
      </c>
      <c r="S1031" s="35" t="n">
        <f aca="false">S122</f>
        <v>0</v>
      </c>
      <c r="T1031" s="35" t="n">
        <f aca="false">T122</f>
        <v>0</v>
      </c>
      <c r="U1031" s="35" t="n">
        <f aca="false">U122</f>
        <v>0</v>
      </c>
      <c r="V1031" s="35" t="n">
        <f aca="false">V122</f>
        <v>0</v>
      </c>
      <c r="W1031" s="35" t="n">
        <f aca="false">W122</f>
        <v>0</v>
      </c>
      <c r="X1031" s="35" t="n">
        <f aca="false">X122</f>
        <v>0</v>
      </c>
      <c r="Y1031" s="35" t="n">
        <f aca="false">Y122</f>
        <v>0</v>
      </c>
      <c r="Z1031" s="35" t="n">
        <f aca="false">Z122</f>
        <v>0</v>
      </c>
      <c r="AA1031" s="35" t="n">
        <f aca="false">AA122</f>
        <v>0</v>
      </c>
      <c r="AB1031" s="35" t="n">
        <f aca="false">AB122</f>
        <v>0</v>
      </c>
      <c r="AC1031" s="35" t="n">
        <f aca="false">AC122</f>
        <v>0</v>
      </c>
    </row>
    <row r="1032" customFormat="false" ht="11.25" hidden="false" customHeight="false" outlineLevel="0" collapsed="false">
      <c r="A1032" s="43"/>
      <c r="B1032" s="43" t="s">
        <v>1127</v>
      </c>
      <c r="C1032" s="67"/>
      <c r="I1032" s="35" t="n">
        <f aca="false">-I606</f>
        <v>-0</v>
      </c>
      <c r="J1032" s="396" t="n">
        <f aca="false">-J606</f>
        <v>-0</v>
      </c>
      <c r="K1032" s="35" t="n">
        <f aca="false">-K606</f>
        <v>-0</v>
      </c>
      <c r="L1032" s="35" t="n">
        <f aca="false">-L606</f>
        <v>-0</v>
      </c>
      <c r="M1032" s="35" t="n">
        <f aca="false">-M606</f>
        <v>-0</v>
      </c>
      <c r="N1032" s="35" t="n">
        <f aca="false">-N606</f>
        <v>-0</v>
      </c>
      <c r="O1032" s="35" t="n">
        <f aca="false">-O606</f>
        <v>-0</v>
      </c>
      <c r="P1032" s="35" t="n">
        <f aca="false">-P606</f>
        <v>-0</v>
      </c>
      <c r="Q1032" s="35" t="n">
        <f aca="false">-Q606</f>
        <v>-0</v>
      </c>
      <c r="R1032" s="35" t="n">
        <f aca="false">-R606</f>
        <v>-0</v>
      </c>
      <c r="S1032" s="35" t="n">
        <f aca="false">-S606</f>
        <v>-0</v>
      </c>
      <c r="T1032" s="35" t="n">
        <f aca="false">-T606</f>
        <v>-0</v>
      </c>
      <c r="U1032" s="35" t="n">
        <f aca="false">-U606</f>
        <v>-0</v>
      </c>
      <c r="V1032" s="35" t="n">
        <f aca="false">-V606</f>
        <v>-0</v>
      </c>
      <c r="W1032" s="35" t="n">
        <f aca="false">-W606</f>
        <v>-0</v>
      </c>
      <c r="X1032" s="35" t="n">
        <f aca="false">-X606</f>
        <v>-0</v>
      </c>
      <c r="Y1032" s="35" t="n">
        <f aca="false">-Y606</f>
        <v>-0</v>
      </c>
      <c r="Z1032" s="35" t="n">
        <f aca="false">-Z606</f>
        <v>-0</v>
      </c>
      <c r="AA1032" s="35" t="n">
        <f aca="false">-AA606</f>
        <v>-0</v>
      </c>
      <c r="AB1032" s="35" t="n">
        <f aca="false">-AB606</f>
        <v>-0</v>
      </c>
      <c r="AC1032" s="35" t="n">
        <f aca="false">-AC606</f>
        <v>-0</v>
      </c>
    </row>
    <row r="1033" customFormat="false" ht="11.25" hidden="false" customHeight="false" outlineLevel="0" collapsed="false">
      <c r="A1033" s="43"/>
      <c r="J1033" s="396"/>
    </row>
    <row r="1034" customFormat="false" ht="11.25" hidden="false" customHeight="false" outlineLevel="0" collapsed="false">
      <c r="A1034" s="307" t="s">
        <v>1128</v>
      </c>
      <c r="B1034" s="35" t="str">
        <f aca="false">A451</f>
        <v>Accounts Receivable</v>
      </c>
      <c r="I1034" s="35" t="n">
        <f aca="false">-I451+H451</f>
        <v>0</v>
      </c>
      <c r="J1034" s="396" t="n">
        <f aca="false">-J451+I451</f>
        <v>0</v>
      </c>
      <c r="K1034" s="35" t="n">
        <f aca="false">-K451+J451</f>
        <v>0</v>
      </c>
      <c r="L1034" s="35" t="n">
        <f aca="false">-L451+K451</f>
        <v>0</v>
      </c>
      <c r="M1034" s="35" t="n">
        <f aca="false">-M451+L451</f>
        <v>0</v>
      </c>
      <c r="N1034" s="35" t="n">
        <f aca="false">-N451+M451</f>
        <v>0</v>
      </c>
      <c r="O1034" s="35" t="n">
        <f aca="false">-O451+N451</f>
        <v>0</v>
      </c>
      <c r="P1034" s="35" t="n">
        <f aca="false">-P451+O451</f>
        <v>0</v>
      </c>
      <c r="Q1034" s="35" t="n">
        <f aca="false">-Q451+P451</f>
        <v>0</v>
      </c>
      <c r="R1034" s="35" t="n">
        <f aca="false">-R451+Q451</f>
        <v>0</v>
      </c>
      <c r="S1034" s="35" t="n">
        <f aca="false">-S451+R451</f>
        <v>0</v>
      </c>
      <c r="T1034" s="35" t="n">
        <f aca="false">-T451+S451</f>
        <v>0</v>
      </c>
      <c r="U1034" s="35" t="n">
        <f aca="false">-U451+T451</f>
        <v>0</v>
      </c>
      <c r="V1034" s="35" t="n">
        <f aca="false">-V451+U451</f>
        <v>0</v>
      </c>
      <c r="W1034" s="35" t="n">
        <f aca="false">-W451+V451</f>
        <v>0</v>
      </c>
      <c r="X1034" s="35" t="n">
        <f aca="false">-X451+W451</f>
        <v>0</v>
      </c>
      <c r="Y1034" s="35" t="n">
        <f aca="false">-Y451+X451</f>
        <v>0</v>
      </c>
      <c r="Z1034" s="35" t="n">
        <f aca="false">-Z451+Y451</f>
        <v>0</v>
      </c>
      <c r="AA1034" s="35" t="n">
        <f aca="false">-AA451+Z451</f>
        <v>0</v>
      </c>
      <c r="AB1034" s="35" t="n">
        <f aca="false">-AB451+AA451</f>
        <v>0</v>
      </c>
      <c r="AC1034" s="35" t="n">
        <f aca="false">-AC451+AB451</f>
        <v>0</v>
      </c>
    </row>
    <row r="1035" customFormat="false" ht="11.25" hidden="false" customHeight="false" outlineLevel="0" collapsed="false">
      <c r="A1035" s="307" t="s">
        <v>1129</v>
      </c>
      <c r="B1035" s="35" t="str">
        <f aca="false">A452</f>
        <v>Inventories</v>
      </c>
      <c r="I1035" s="35" t="n">
        <f aca="false">-I452+H452</f>
        <v>0</v>
      </c>
      <c r="J1035" s="396" t="n">
        <f aca="false">-J452+I452</f>
        <v>0</v>
      </c>
      <c r="K1035" s="35" t="n">
        <f aca="false">-K452+J452</f>
        <v>0</v>
      </c>
      <c r="L1035" s="35" t="n">
        <f aca="false">-L452+K452</f>
        <v>0</v>
      </c>
      <c r="M1035" s="35" t="n">
        <f aca="false">-M452+L452</f>
        <v>0</v>
      </c>
      <c r="N1035" s="35" t="n">
        <f aca="false">-N452+M452</f>
        <v>0</v>
      </c>
      <c r="O1035" s="35" t="n">
        <f aca="false">-O452+N452</f>
        <v>0</v>
      </c>
      <c r="P1035" s="35" t="n">
        <f aca="false">-P452+O452</f>
        <v>0</v>
      </c>
      <c r="Q1035" s="35" t="n">
        <f aca="false">-Q452+P452</f>
        <v>0</v>
      </c>
      <c r="R1035" s="35" t="n">
        <f aca="false">-R452+Q452</f>
        <v>0</v>
      </c>
      <c r="S1035" s="35" t="n">
        <f aca="false">-S452+R452</f>
        <v>0</v>
      </c>
      <c r="T1035" s="35" t="n">
        <f aca="false">-T452+S452</f>
        <v>0</v>
      </c>
      <c r="U1035" s="35" t="n">
        <f aca="false">-U452+T452</f>
        <v>0</v>
      </c>
      <c r="V1035" s="35" t="n">
        <f aca="false">-V452+U452</f>
        <v>0</v>
      </c>
      <c r="W1035" s="35" t="n">
        <f aca="false">-W452+V452</f>
        <v>0</v>
      </c>
      <c r="X1035" s="35" t="n">
        <f aca="false">-X452+W452</f>
        <v>0</v>
      </c>
      <c r="Y1035" s="35" t="n">
        <f aca="false">-Y452+X452</f>
        <v>0</v>
      </c>
      <c r="Z1035" s="35" t="n">
        <f aca="false">-Z452+Y452</f>
        <v>0</v>
      </c>
      <c r="AA1035" s="35" t="n">
        <f aca="false">-AA452+Z452</f>
        <v>0</v>
      </c>
      <c r="AB1035" s="35" t="n">
        <f aca="false">-AB452+AA452</f>
        <v>0</v>
      </c>
      <c r="AC1035" s="35" t="n">
        <f aca="false">-AC452+AB452</f>
        <v>0</v>
      </c>
    </row>
    <row r="1036" customFormat="false" ht="11.25" hidden="false" customHeight="false" outlineLevel="0" collapsed="false">
      <c r="A1036" s="307" t="s">
        <v>1130</v>
      </c>
      <c r="B1036" s="35" t="str">
        <f aca="false">A453</f>
        <v>Other Current Assets</v>
      </c>
      <c r="I1036" s="35" t="n">
        <f aca="false">-I453+H453</f>
        <v>0</v>
      </c>
      <c r="J1036" s="396" t="n">
        <f aca="false">-J453+I453</f>
        <v>0</v>
      </c>
      <c r="K1036" s="35" t="n">
        <f aca="false">-K453+J453</f>
        <v>0</v>
      </c>
      <c r="L1036" s="35" t="n">
        <f aca="false">-L453+K453</f>
        <v>0</v>
      </c>
      <c r="M1036" s="35" t="n">
        <f aca="false">-M453+L453</f>
        <v>0</v>
      </c>
      <c r="N1036" s="35" t="n">
        <f aca="false">-N453+M453</f>
        <v>0</v>
      </c>
      <c r="O1036" s="35" t="n">
        <f aca="false">-O453+N453</f>
        <v>0</v>
      </c>
      <c r="P1036" s="35" t="n">
        <f aca="false">-P453+O453</f>
        <v>0</v>
      </c>
      <c r="Q1036" s="35" t="n">
        <f aca="false">-Q453+P453</f>
        <v>0</v>
      </c>
      <c r="R1036" s="35" t="n">
        <f aca="false">-R453+Q453</f>
        <v>0</v>
      </c>
      <c r="S1036" s="35" t="n">
        <f aca="false">-S453+R453</f>
        <v>0</v>
      </c>
      <c r="T1036" s="35" t="n">
        <f aca="false">-T453+S453</f>
        <v>0</v>
      </c>
      <c r="U1036" s="35" t="n">
        <f aca="false">-U453+T453</f>
        <v>0</v>
      </c>
      <c r="V1036" s="35" t="n">
        <f aca="false">-V453+U453</f>
        <v>0</v>
      </c>
      <c r="W1036" s="35" t="n">
        <f aca="false">-W453+V453</f>
        <v>0</v>
      </c>
      <c r="X1036" s="35" t="n">
        <f aca="false">-X453+W453</f>
        <v>0</v>
      </c>
      <c r="Y1036" s="35" t="n">
        <f aca="false">-Y453+X453</f>
        <v>0</v>
      </c>
      <c r="Z1036" s="35" t="n">
        <f aca="false">-Z453+Y453</f>
        <v>0</v>
      </c>
      <c r="AA1036" s="35" t="n">
        <f aca="false">-AA453+Z453</f>
        <v>0</v>
      </c>
      <c r="AB1036" s="35" t="n">
        <f aca="false">-AB453+AA453</f>
        <v>0</v>
      </c>
      <c r="AC1036" s="35" t="n">
        <f aca="false">-AC453+AB453</f>
        <v>0</v>
      </c>
    </row>
    <row r="1037" customFormat="false" ht="11.25" hidden="false" customHeight="false" outlineLevel="0" collapsed="false">
      <c r="A1037" s="43"/>
      <c r="B1037" s="35" t="str">
        <f aca="false">A454</f>
        <v>Accounts Payable</v>
      </c>
      <c r="I1037" s="35" t="n">
        <f aca="false">I454-H454</f>
        <v>-0</v>
      </c>
      <c r="J1037" s="396" t="n">
        <f aca="false">J454-I454</f>
        <v>0</v>
      </c>
      <c r="K1037" s="35" t="n">
        <f aca="false">K454-J454</f>
        <v>0</v>
      </c>
      <c r="L1037" s="35" t="n">
        <f aca="false">L454-K454</f>
        <v>0</v>
      </c>
      <c r="M1037" s="35" t="n">
        <f aca="false">M454-L454</f>
        <v>0</v>
      </c>
      <c r="N1037" s="35" t="n">
        <f aca="false">N454-M454</f>
        <v>0</v>
      </c>
      <c r="O1037" s="35" t="n">
        <f aca="false">O454-N454</f>
        <v>0</v>
      </c>
      <c r="P1037" s="35" t="n">
        <f aca="false">P454-O454</f>
        <v>0</v>
      </c>
      <c r="Q1037" s="35" t="n">
        <f aca="false">Q454-P454</f>
        <v>0</v>
      </c>
      <c r="R1037" s="35" t="n">
        <f aca="false">R454-Q454</f>
        <v>0</v>
      </c>
      <c r="S1037" s="35" t="n">
        <f aca="false">S454-R454</f>
        <v>0</v>
      </c>
      <c r="T1037" s="35" t="n">
        <f aca="false">T454-S454</f>
        <v>0</v>
      </c>
      <c r="U1037" s="35" t="n">
        <f aca="false">U454-T454</f>
        <v>0</v>
      </c>
      <c r="V1037" s="35" t="n">
        <f aca="false">V454-U454</f>
        <v>0</v>
      </c>
      <c r="W1037" s="35" t="n">
        <f aca="false">W454-V454</f>
        <v>0</v>
      </c>
      <c r="X1037" s="35" t="n">
        <f aca="false">X454-W454</f>
        <v>0</v>
      </c>
      <c r="Y1037" s="35" t="n">
        <f aca="false">Y454-X454</f>
        <v>-0</v>
      </c>
      <c r="Z1037" s="35" t="n">
        <f aca="false">Z454-Y454</f>
        <v>0</v>
      </c>
      <c r="AA1037" s="35" t="n">
        <f aca="false">AA454-Z454</f>
        <v>0</v>
      </c>
      <c r="AB1037" s="35" t="n">
        <f aca="false">AB454-AA454</f>
        <v>0</v>
      </c>
      <c r="AC1037" s="35" t="n">
        <f aca="false">AC454-AB454</f>
        <v>0</v>
      </c>
    </row>
    <row r="1038" customFormat="false" ht="11.25" hidden="false" customHeight="false" outlineLevel="0" collapsed="false">
      <c r="A1038" s="43"/>
      <c r="B1038" s="35" t="str">
        <f aca="false">A455</f>
        <v>Accrued Liabilities</v>
      </c>
      <c r="I1038" s="35" t="n">
        <f aca="false">I455-H455</f>
        <v>-0</v>
      </c>
      <c r="J1038" s="396" t="n">
        <f aca="false">J455-I455</f>
        <v>0</v>
      </c>
      <c r="K1038" s="35" t="n">
        <f aca="false">K455-J455</f>
        <v>0</v>
      </c>
      <c r="L1038" s="35" t="n">
        <f aca="false">L455-K455</f>
        <v>0</v>
      </c>
      <c r="M1038" s="35" t="n">
        <f aca="false">M455-L455</f>
        <v>0</v>
      </c>
      <c r="N1038" s="35" t="n">
        <f aca="false">N455-M455</f>
        <v>0</v>
      </c>
      <c r="O1038" s="35" t="n">
        <f aca="false">O455-N455</f>
        <v>0</v>
      </c>
      <c r="P1038" s="35" t="n">
        <f aca="false">P455-O455</f>
        <v>0</v>
      </c>
      <c r="Q1038" s="35" t="n">
        <f aca="false">Q455-P455</f>
        <v>0</v>
      </c>
      <c r="R1038" s="35" t="n">
        <f aca="false">R455-Q455</f>
        <v>0</v>
      </c>
      <c r="S1038" s="35" t="n">
        <f aca="false">S455-R455</f>
        <v>0</v>
      </c>
      <c r="T1038" s="35" t="n">
        <f aca="false">T455-S455</f>
        <v>0</v>
      </c>
      <c r="U1038" s="35" t="n">
        <f aca="false">U455-T455</f>
        <v>0</v>
      </c>
      <c r="V1038" s="35" t="n">
        <f aca="false">V455-U455</f>
        <v>0</v>
      </c>
      <c r="W1038" s="35" t="n">
        <f aca="false">W455-V455</f>
        <v>0</v>
      </c>
      <c r="X1038" s="35" t="n">
        <f aca="false">X455-W455</f>
        <v>0</v>
      </c>
      <c r="Y1038" s="35" t="n">
        <f aca="false">Y455-X455</f>
        <v>0</v>
      </c>
      <c r="Z1038" s="35" t="n">
        <f aca="false">Z455-Y455</f>
        <v>0</v>
      </c>
      <c r="AA1038" s="35" t="n">
        <f aca="false">AA455-Z455</f>
        <v>0</v>
      </c>
      <c r="AB1038" s="35" t="n">
        <f aca="false">AB455-AA455</f>
        <v>0</v>
      </c>
      <c r="AC1038" s="35" t="n">
        <f aca="false">AC455-AB455</f>
        <v>0</v>
      </c>
    </row>
    <row r="1039" customFormat="false" ht="11.25" hidden="false" customHeight="false" outlineLevel="0" collapsed="false">
      <c r="A1039" s="43"/>
      <c r="B1039" s="35" t="str">
        <f aca="false">A456</f>
        <v>Other Payables</v>
      </c>
      <c r="I1039" s="35" t="n">
        <f aca="false">I456-H456</f>
        <v>0</v>
      </c>
      <c r="J1039" s="396" t="n">
        <f aca="false">J456-I456</f>
        <v>0</v>
      </c>
      <c r="K1039" s="35" t="n">
        <f aca="false">K456-J456</f>
        <v>0</v>
      </c>
      <c r="L1039" s="35" t="n">
        <f aca="false">L456-K456</f>
        <v>0</v>
      </c>
      <c r="M1039" s="35" t="n">
        <f aca="false">M456-L456</f>
        <v>0</v>
      </c>
      <c r="N1039" s="35" t="n">
        <f aca="false">N456-M456</f>
        <v>0</v>
      </c>
      <c r="O1039" s="35" t="n">
        <f aca="false">O456-N456</f>
        <v>0</v>
      </c>
      <c r="P1039" s="35" t="n">
        <f aca="false">P456-O456</f>
        <v>0</v>
      </c>
      <c r="Q1039" s="35" t="n">
        <f aca="false">Q456-P456</f>
        <v>0</v>
      </c>
      <c r="R1039" s="35" t="n">
        <f aca="false">R456-Q456</f>
        <v>0</v>
      </c>
      <c r="S1039" s="35" t="n">
        <f aca="false">S456-R456</f>
        <v>0</v>
      </c>
      <c r="T1039" s="35" t="n">
        <f aca="false">T456-S456</f>
        <v>0</v>
      </c>
      <c r="U1039" s="35" t="n">
        <f aca="false">U456-T456</f>
        <v>0</v>
      </c>
      <c r="V1039" s="35" t="n">
        <f aca="false">V456-U456</f>
        <v>0</v>
      </c>
      <c r="W1039" s="35" t="n">
        <f aca="false">W456-V456</f>
        <v>0</v>
      </c>
      <c r="X1039" s="35" t="n">
        <f aca="false">X456-W456</f>
        <v>0</v>
      </c>
      <c r="Y1039" s="35" t="n">
        <f aca="false">Y456-X456</f>
        <v>0</v>
      </c>
      <c r="Z1039" s="35" t="n">
        <f aca="false">Z456-Y456</f>
        <v>0</v>
      </c>
      <c r="AA1039" s="35" t="n">
        <f aca="false">AA456-Z456</f>
        <v>0</v>
      </c>
      <c r="AB1039" s="35" t="n">
        <f aca="false">AB456-AA456</f>
        <v>0</v>
      </c>
      <c r="AC1039" s="35" t="n">
        <f aca="false">AC456-AB456</f>
        <v>0</v>
      </c>
    </row>
    <row r="1040" customFormat="false" ht="11.25" hidden="false" customHeight="false" outlineLevel="0" collapsed="false">
      <c r="A1040" s="554" t="str">
        <f aca="false">A1024</f>
        <v>Cash Flow From Operating Activities:</v>
      </c>
      <c r="I1040" s="158" t="e">
        <f aca="false">SUM(I1025:I1039)</f>
        <v>#VALUE!</v>
      </c>
      <c r="J1040" s="619" t="e">
        <f aca="false">SUM(J1025:J1039)</f>
        <v>#VALUE!</v>
      </c>
      <c r="K1040" s="158" t="e">
        <f aca="false">SUM(K1025:K1039)</f>
        <v>#VALUE!</v>
      </c>
      <c r="L1040" s="158" t="e">
        <f aca="false">SUM(L1025:L1039)</f>
        <v>#VALUE!</v>
      </c>
      <c r="M1040" s="158" t="e">
        <f aca="false">SUM(M1025:M1039)</f>
        <v>#VALUE!</v>
      </c>
      <c r="N1040" s="158" t="e">
        <f aca="false">SUM(N1025:N1039)</f>
        <v>#VALUE!</v>
      </c>
      <c r="O1040" s="158" t="e">
        <f aca="false">SUM(O1025:O1039)</f>
        <v>#VALUE!</v>
      </c>
      <c r="P1040" s="158" t="e">
        <f aca="false">SUM(P1025:P1039)</f>
        <v>#VALUE!</v>
      </c>
      <c r="Q1040" s="158" t="e">
        <f aca="false">SUM(Q1025:Q1039)</f>
        <v>#VALUE!</v>
      </c>
      <c r="R1040" s="158" t="e">
        <f aca="false">SUM(R1025:R1039)</f>
        <v>#VALUE!</v>
      </c>
      <c r="S1040" s="158" t="e">
        <f aca="false">SUM(S1025:S1039)</f>
        <v>#VALUE!</v>
      </c>
      <c r="T1040" s="158" t="e">
        <f aca="false">SUM(T1025:T1039)</f>
        <v>#VALUE!</v>
      </c>
      <c r="U1040" s="158" t="e">
        <f aca="false">SUM(U1025:U1039)</f>
        <v>#VALUE!</v>
      </c>
      <c r="V1040" s="158" t="e">
        <f aca="false">SUM(V1025:V1039)</f>
        <v>#VALUE!</v>
      </c>
      <c r="W1040" s="158" t="e">
        <f aca="false">SUM(W1025:W1039)</f>
        <v>#VALUE!</v>
      </c>
      <c r="X1040" s="158" t="e">
        <f aca="false">SUM(X1025:X1039)</f>
        <v>#VALUE!</v>
      </c>
      <c r="Y1040" s="158" t="e">
        <f aca="false">SUM(Y1025:Y1039)</f>
        <v>#VALUE!</v>
      </c>
      <c r="Z1040" s="158" t="e">
        <f aca="false">SUM(Z1025:Z1039)</f>
        <v>#VALUE!</v>
      </c>
      <c r="AA1040" s="158" t="e">
        <f aca="false">SUM(AA1025:AA1039)</f>
        <v>#VALUE!</v>
      </c>
      <c r="AB1040" s="158" t="e">
        <f aca="false">SUM(AB1025:AB1039)</f>
        <v>#VALUE!</v>
      </c>
      <c r="AC1040" s="158" t="e">
        <f aca="false">SUM(AC1025:AC1039)</f>
        <v>#VALUE!</v>
      </c>
    </row>
    <row r="1041" customFormat="false" ht="11.25" hidden="false" customHeight="false" outlineLevel="0" collapsed="false">
      <c r="A1041" s="43"/>
      <c r="J1041" s="396"/>
    </row>
    <row r="1042" customFormat="false" ht="11.25" hidden="false" customHeight="false" outlineLevel="0" collapsed="false">
      <c r="A1042" s="43"/>
      <c r="J1042" s="396"/>
    </row>
    <row r="1043" customFormat="false" ht="11.25" hidden="false" customHeight="false" outlineLevel="0" collapsed="false">
      <c r="A1043" s="554" t="s">
        <v>1131</v>
      </c>
      <c r="J1043" s="396"/>
    </row>
    <row r="1044" customFormat="false" ht="11.25" hidden="false" customHeight="false" outlineLevel="0" collapsed="false">
      <c r="B1044" s="35" t="str">
        <f aca="false">A124</f>
        <v>Net Proceeds from Sale of Assets</v>
      </c>
      <c r="I1044" s="35" t="n">
        <f aca="false">I124</f>
        <v>0</v>
      </c>
      <c r="J1044" s="396" t="n">
        <f aca="false">J124</f>
        <v>0</v>
      </c>
      <c r="K1044" s="35" t="n">
        <f aca="false">K124</f>
        <v>0</v>
      </c>
      <c r="L1044" s="35" t="n">
        <f aca="false">L124</f>
        <v>0</v>
      </c>
      <c r="M1044" s="35" t="n">
        <f aca="false">M124</f>
        <v>0</v>
      </c>
      <c r="N1044" s="35" t="n">
        <f aca="false">N124</f>
        <v>0</v>
      </c>
      <c r="O1044" s="35" t="n">
        <f aca="false">O124</f>
        <v>0</v>
      </c>
      <c r="P1044" s="35" t="n">
        <f aca="false">P124</f>
        <v>0</v>
      </c>
      <c r="Q1044" s="35" t="n">
        <f aca="false">Q124</f>
        <v>0</v>
      </c>
      <c r="R1044" s="35" t="n">
        <f aca="false">R124</f>
        <v>0</v>
      </c>
      <c r="S1044" s="35" t="n">
        <f aca="false">S124</f>
        <v>0</v>
      </c>
      <c r="T1044" s="35" t="n">
        <f aca="false">T124</f>
        <v>0</v>
      </c>
      <c r="U1044" s="35" t="n">
        <f aca="false">U124</f>
        <v>0</v>
      </c>
      <c r="V1044" s="35" t="n">
        <f aca="false">V124</f>
        <v>0</v>
      </c>
      <c r="W1044" s="35" t="n">
        <f aca="false">W124</f>
        <v>0</v>
      </c>
      <c r="X1044" s="35" t="n">
        <f aca="false">X124</f>
        <v>0</v>
      </c>
      <c r="Y1044" s="35" t="n">
        <f aca="false">Y124</f>
        <v>0</v>
      </c>
      <c r="Z1044" s="35" t="n">
        <f aca="false">Z124</f>
        <v>0</v>
      </c>
      <c r="AA1044" s="35" t="n">
        <f aca="false">AA124</f>
        <v>0</v>
      </c>
      <c r="AB1044" s="35" t="n">
        <f aca="false">AB124</f>
        <v>0</v>
      </c>
      <c r="AC1044" s="35" t="n">
        <f aca="false">AC124</f>
        <v>0</v>
      </c>
    </row>
    <row r="1045" customFormat="false" ht="11.25" hidden="false" customHeight="false" outlineLevel="0" collapsed="false">
      <c r="B1045" s="35" t="str">
        <f aca="false">A128</f>
        <v>Total Capital Expenditures</v>
      </c>
      <c r="I1045" s="35" t="n">
        <f aca="false">-I128</f>
        <v>-0</v>
      </c>
      <c r="J1045" s="396" t="n">
        <f aca="false">-J128</f>
        <v>-0</v>
      </c>
      <c r="K1045" s="35" t="n">
        <f aca="false">-K128</f>
        <v>-0</v>
      </c>
      <c r="L1045" s="35" t="n">
        <f aca="false">-L128</f>
        <v>-0</v>
      </c>
      <c r="M1045" s="35" t="n">
        <f aca="false">-M128</f>
        <v>-0</v>
      </c>
      <c r="N1045" s="35" t="n">
        <f aca="false">-N128</f>
        <v>-0</v>
      </c>
      <c r="O1045" s="35" t="n">
        <f aca="false">-O128</f>
        <v>-25.811</v>
      </c>
      <c r="P1045" s="35" t="n">
        <f aca="false">-P128</f>
        <v>-5.512</v>
      </c>
      <c r="Q1045" s="35" t="n">
        <f aca="false">-Q128</f>
        <v>-16.2</v>
      </c>
      <c r="R1045" s="35" t="n">
        <f aca="false">-R128</f>
        <v>-0</v>
      </c>
      <c r="S1045" s="35" t="n">
        <f aca="false">-S128</f>
        <v>-0</v>
      </c>
      <c r="T1045" s="35" t="n">
        <f aca="false">-T128</f>
        <v>-0</v>
      </c>
      <c r="U1045" s="35" t="n">
        <f aca="false">-U128</f>
        <v>-0</v>
      </c>
      <c r="V1045" s="35" t="n">
        <f aca="false">-V128</f>
        <v>-0</v>
      </c>
      <c r="W1045" s="35" t="n">
        <f aca="false">-W128</f>
        <v>-0</v>
      </c>
      <c r="X1045" s="35" t="n">
        <f aca="false">-X128</f>
        <v>-0</v>
      </c>
      <c r="Y1045" s="35" t="n">
        <f aca="false">-Y128</f>
        <v>-0</v>
      </c>
      <c r="Z1045" s="35" t="n">
        <f aca="false">-Z128</f>
        <v>-0</v>
      </c>
      <c r="AA1045" s="35" t="n">
        <f aca="false">-AA128</f>
        <v>-0</v>
      </c>
      <c r="AB1045" s="35" t="n">
        <f aca="false">-AB128</f>
        <v>-0</v>
      </c>
      <c r="AC1045" s="35" t="n">
        <f aca="false">-AC128</f>
        <v>-0</v>
      </c>
    </row>
    <row r="1046" customFormat="false" ht="11.25" hidden="false" customHeight="false" outlineLevel="0" collapsed="false">
      <c r="B1046" s="35" t="str">
        <f aca="false">A123</f>
        <v>Increase/(Decrease) in Other Liabilities</v>
      </c>
      <c r="I1046" s="35" t="n">
        <f aca="false">I123</f>
        <v>0</v>
      </c>
      <c r="J1046" s="396" t="n">
        <f aca="false">J123</f>
        <v>0</v>
      </c>
      <c r="K1046" s="35" t="n">
        <f aca="false">K123</f>
        <v>0</v>
      </c>
      <c r="L1046" s="35" t="n">
        <f aca="false">L123</f>
        <v>0</v>
      </c>
      <c r="M1046" s="35" t="n">
        <f aca="false">M123</f>
        <v>0</v>
      </c>
      <c r="N1046" s="35" t="n">
        <f aca="false">N123</f>
        <v>0</v>
      </c>
      <c r="O1046" s="35" t="n">
        <f aca="false">O123</f>
        <v>0</v>
      </c>
      <c r="P1046" s="35" t="n">
        <f aca="false">P123</f>
        <v>0</v>
      </c>
      <c r="Q1046" s="35" t="n">
        <f aca="false">Q123</f>
        <v>0</v>
      </c>
      <c r="R1046" s="35" t="n">
        <f aca="false">R123</f>
        <v>0</v>
      </c>
      <c r="S1046" s="35" t="n">
        <f aca="false">S123</f>
        <v>0</v>
      </c>
      <c r="T1046" s="35" t="n">
        <f aca="false">T123</f>
        <v>0</v>
      </c>
      <c r="U1046" s="35" t="n">
        <f aca="false">U123</f>
        <v>0</v>
      </c>
      <c r="V1046" s="35" t="n">
        <f aca="false">V123</f>
        <v>0</v>
      </c>
      <c r="W1046" s="35" t="n">
        <f aca="false">W123</f>
        <v>0</v>
      </c>
      <c r="X1046" s="35" t="n">
        <f aca="false">X123</f>
        <v>0</v>
      </c>
      <c r="Y1046" s="35" t="n">
        <f aca="false">Y123</f>
        <v>0</v>
      </c>
      <c r="Z1046" s="35" t="n">
        <f aca="false">Z123</f>
        <v>0</v>
      </c>
      <c r="AA1046" s="35" t="n">
        <f aca="false">AA123</f>
        <v>0</v>
      </c>
      <c r="AB1046" s="35" t="n">
        <f aca="false">AB123</f>
        <v>0</v>
      </c>
      <c r="AC1046" s="35" t="n">
        <f aca="false">AC123</f>
        <v>0</v>
      </c>
    </row>
    <row r="1047" customFormat="false" ht="11.25" hidden="false" customHeight="false" outlineLevel="0" collapsed="false">
      <c r="B1047" s="35" t="str">
        <f aca="false">A131</f>
        <v>Increase/(Decrease) in Other Assets</v>
      </c>
      <c r="I1047" s="35" t="n">
        <f aca="false">-I131</f>
        <v>-0</v>
      </c>
      <c r="J1047" s="396" t="n">
        <f aca="false">-J131</f>
        <v>-0</v>
      </c>
      <c r="K1047" s="35" t="n">
        <f aca="false">-K131</f>
        <v>-0</v>
      </c>
      <c r="L1047" s="35" t="n">
        <f aca="false">-L131</f>
        <v>-0</v>
      </c>
      <c r="M1047" s="35" t="n">
        <f aca="false">-M131</f>
        <v>-0</v>
      </c>
      <c r="N1047" s="35" t="n">
        <f aca="false">-N131</f>
        <v>-0</v>
      </c>
      <c r="O1047" s="35" t="n">
        <f aca="false">-O131</f>
        <v>-0</v>
      </c>
      <c r="P1047" s="35" t="n">
        <f aca="false">-P131</f>
        <v>-0</v>
      </c>
      <c r="Q1047" s="35" t="n">
        <f aca="false">-Q131</f>
        <v>-0</v>
      </c>
      <c r="R1047" s="35" t="n">
        <f aca="false">-R131</f>
        <v>-0</v>
      </c>
      <c r="S1047" s="35" t="n">
        <f aca="false">-S131</f>
        <v>-0</v>
      </c>
      <c r="T1047" s="35" t="n">
        <f aca="false">-T131</f>
        <v>-0</v>
      </c>
      <c r="U1047" s="35" t="n">
        <f aca="false">-U131</f>
        <v>-0</v>
      </c>
      <c r="V1047" s="35" t="n">
        <f aca="false">-V131</f>
        <v>-0</v>
      </c>
      <c r="W1047" s="35" t="n">
        <f aca="false">-W131</f>
        <v>-0</v>
      </c>
      <c r="X1047" s="35" t="n">
        <f aca="false">-X131</f>
        <v>-0</v>
      </c>
      <c r="Y1047" s="35" t="n">
        <f aca="false">-Y131</f>
        <v>-0</v>
      </c>
      <c r="Z1047" s="35" t="n">
        <f aca="false">-Z131</f>
        <v>-0</v>
      </c>
      <c r="AA1047" s="35" t="n">
        <f aca="false">-AA131</f>
        <v>-0</v>
      </c>
      <c r="AB1047" s="35" t="n">
        <f aca="false">-AB131</f>
        <v>-0</v>
      </c>
      <c r="AC1047" s="35" t="n">
        <f aca="false">-AC131</f>
        <v>-0</v>
      </c>
    </row>
    <row r="1048" customFormat="false" ht="11.25" hidden="false" customHeight="false" outlineLevel="0" collapsed="false">
      <c r="A1048" s="620" t="str">
        <f aca="false">A1043</f>
        <v>Cash Flow From Investing Activities:</v>
      </c>
      <c r="I1048" s="158" t="n">
        <f aca="false">SUM(I1044:I1047)</f>
        <v>0</v>
      </c>
      <c r="J1048" s="619" t="n">
        <f aca="false">SUM(J1044:J1047)</f>
        <v>0</v>
      </c>
      <c r="K1048" s="158" t="n">
        <f aca="false">SUM(K1044:K1047)</f>
        <v>0</v>
      </c>
      <c r="L1048" s="158" t="n">
        <f aca="false">SUM(L1044:L1047)</f>
        <v>0</v>
      </c>
      <c r="M1048" s="158" t="n">
        <f aca="false">SUM(M1044:M1047)</f>
        <v>0</v>
      </c>
      <c r="N1048" s="158" t="n">
        <f aca="false">SUM(N1044:N1047)</f>
        <v>0</v>
      </c>
      <c r="O1048" s="158" t="n">
        <f aca="false">SUM(O1044:O1047)</f>
        <v>-25.811</v>
      </c>
      <c r="P1048" s="158" t="n">
        <f aca="false">SUM(P1044:P1047)</f>
        <v>-5.512</v>
      </c>
      <c r="Q1048" s="158" t="n">
        <f aca="false">SUM(Q1044:Q1047)</f>
        <v>-16.2</v>
      </c>
      <c r="R1048" s="158" t="n">
        <f aca="false">SUM(R1044:R1047)</f>
        <v>0</v>
      </c>
      <c r="S1048" s="158" t="n">
        <f aca="false">SUM(S1044:S1047)</f>
        <v>0</v>
      </c>
      <c r="T1048" s="158" t="n">
        <f aca="false">SUM(T1044:T1047)</f>
        <v>0</v>
      </c>
      <c r="U1048" s="158" t="n">
        <f aca="false">SUM(U1044:U1047)</f>
        <v>0</v>
      </c>
      <c r="V1048" s="158" t="n">
        <f aca="false">SUM(V1044:V1047)</f>
        <v>0</v>
      </c>
      <c r="W1048" s="158" t="n">
        <f aca="false">SUM(W1044:W1047)</f>
        <v>0</v>
      </c>
      <c r="X1048" s="158" t="n">
        <f aca="false">SUM(X1044:X1047)</f>
        <v>0</v>
      </c>
      <c r="Y1048" s="158" t="n">
        <f aca="false">SUM(Y1044:Y1047)</f>
        <v>0</v>
      </c>
      <c r="Z1048" s="158" t="n">
        <f aca="false">SUM(Z1044:Z1047)</f>
        <v>0</v>
      </c>
      <c r="AA1048" s="158" t="n">
        <f aca="false">SUM(AA1044:AA1047)</f>
        <v>0</v>
      </c>
      <c r="AB1048" s="158" t="n">
        <f aca="false">SUM(AB1044:AB1047)</f>
        <v>0</v>
      </c>
      <c r="AC1048" s="158" t="n">
        <f aca="false">SUM(AC1044:AC1047)</f>
        <v>0</v>
      </c>
    </row>
    <row r="1049" customFormat="false" ht="11.25" hidden="false" customHeight="false" outlineLevel="0" collapsed="false">
      <c r="J1049" s="396"/>
    </row>
    <row r="1050" customFormat="false" ht="11.25" hidden="false" customHeight="false" outlineLevel="0" collapsed="false">
      <c r="A1050" s="554" t="s">
        <v>1132</v>
      </c>
      <c r="J1050" s="396"/>
    </row>
    <row r="1051" customFormat="false" ht="11.25" hidden="false" customHeight="false" outlineLevel="0" collapsed="false">
      <c r="B1051" s="43" t="s">
        <v>1133</v>
      </c>
      <c r="I1051" s="35" t="e">
        <f aca="false">-I139</f>
        <v>#VALUE!</v>
      </c>
      <c r="J1051" s="396" t="e">
        <f aca="false">-J139</f>
        <v>#VALUE!</v>
      </c>
      <c r="K1051" s="35" t="e">
        <f aca="false">-K139</f>
        <v>#VALUE!</v>
      </c>
      <c r="L1051" s="35" t="e">
        <f aca="false">-L139</f>
        <v>#VALUE!</v>
      </c>
      <c r="M1051" s="35" t="e">
        <f aca="false">-M139</f>
        <v>#VALUE!</v>
      </c>
      <c r="N1051" s="35" t="e">
        <f aca="false">-N139</f>
        <v>#VALUE!</v>
      </c>
      <c r="O1051" s="35" t="e">
        <f aca="false">-O139</f>
        <v>#VALUE!</v>
      </c>
      <c r="P1051" s="35" t="e">
        <f aca="false">-P139</f>
        <v>#VALUE!</v>
      </c>
      <c r="Q1051" s="35" t="e">
        <f aca="false">-Q139</f>
        <v>#VALUE!</v>
      </c>
      <c r="R1051" s="35" t="e">
        <f aca="false">-R139</f>
        <v>#VALUE!</v>
      </c>
      <c r="S1051" s="35" t="e">
        <f aca="false">-S139</f>
        <v>#VALUE!</v>
      </c>
      <c r="T1051" s="35" t="e">
        <f aca="false">-T139</f>
        <v>#VALUE!</v>
      </c>
      <c r="U1051" s="35" t="e">
        <f aca="false">-U139</f>
        <v>#VALUE!</v>
      </c>
      <c r="V1051" s="35" t="e">
        <f aca="false">-V139</f>
        <v>#VALUE!</v>
      </c>
      <c r="W1051" s="35" t="e">
        <f aca="false">-W139</f>
        <v>#VALUE!</v>
      </c>
      <c r="X1051" s="35" t="e">
        <f aca="false">-X139</f>
        <v>#VALUE!</v>
      </c>
      <c r="Y1051" s="35" t="e">
        <f aca="false">-Y139</f>
        <v>#VALUE!</v>
      </c>
      <c r="Z1051" s="35" t="e">
        <f aca="false">-Z139</f>
        <v>#VALUE!</v>
      </c>
      <c r="AA1051" s="35" t="e">
        <f aca="false">-AA139</f>
        <v>#VALUE!</v>
      </c>
      <c r="AB1051" s="35" t="e">
        <f aca="false">-AB139</f>
        <v>#VALUE!</v>
      </c>
      <c r="AC1051" s="35" t="e">
        <f aca="false">-AC139</f>
        <v>#VALUE!</v>
      </c>
    </row>
    <row r="1052" customFormat="false" ht="11.25" hidden="false" customHeight="false" outlineLevel="0" collapsed="false">
      <c r="B1052" s="43" t="s">
        <v>1134</v>
      </c>
      <c r="I1052" s="35" t="e">
        <f aca="false">-SUM(I133:I138)</f>
        <v>#N/A</v>
      </c>
      <c r="J1052" s="396" t="e">
        <f aca="false">-SUM(J133:J138)</f>
        <v>#N/A</v>
      </c>
      <c r="K1052" s="35" t="e">
        <f aca="false">-SUM(K133:K138)</f>
        <v>#N/A</v>
      </c>
      <c r="L1052" s="35" t="e">
        <f aca="false">-SUM(L133:L138)</f>
        <v>#N/A</v>
      </c>
      <c r="M1052" s="35" t="e">
        <f aca="false">-SUM(M133:M138)</f>
        <v>#N/A</v>
      </c>
      <c r="N1052" s="35" t="e">
        <f aca="false">-SUM(N133:N138)</f>
        <v>#N/A</v>
      </c>
      <c r="O1052" s="35" t="e">
        <f aca="false">-SUM(O133:O138)</f>
        <v>#N/A</v>
      </c>
      <c r="P1052" s="35" t="e">
        <f aca="false">-SUM(P133:P138)</f>
        <v>#N/A</v>
      </c>
      <c r="Q1052" s="35" t="e">
        <f aca="false">-SUM(Q133:Q138)</f>
        <v>#N/A</v>
      </c>
      <c r="R1052" s="35" t="e">
        <f aca="false">-SUM(R133:R138)</f>
        <v>#N/A</v>
      </c>
      <c r="S1052" s="35" t="e">
        <f aca="false">-SUM(S133:S138)</f>
        <v>#N/A</v>
      </c>
      <c r="T1052" s="35" t="e">
        <f aca="false">-SUM(T133:T138)</f>
        <v>#N/A</v>
      </c>
      <c r="U1052" s="35" t="e">
        <f aca="false">-SUM(U133:U138)</f>
        <v>#N/A</v>
      </c>
      <c r="V1052" s="35" t="e">
        <f aca="false">-SUM(V133:V138)</f>
        <v>#N/A</v>
      </c>
      <c r="W1052" s="35" t="e">
        <f aca="false">-SUM(W133:W138)</f>
        <v>#N/A</v>
      </c>
      <c r="X1052" s="35" t="e">
        <f aca="false">-SUM(X133:X138)</f>
        <v>#N/A</v>
      </c>
      <c r="Y1052" s="35" t="e">
        <f aca="false">-SUM(Y133:Y138)</f>
        <v>#N/A</v>
      </c>
      <c r="Z1052" s="35" t="e">
        <f aca="false">-SUM(Z133:Z138)</f>
        <v>#N/A</v>
      </c>
      <c r="AA1052" s="35" t="e">
        <f aca="false">-SUM(AA133:AA138)</f>
        <v>#N/A</v>
      </c>
      <c r="AB1052" s="35" t="e">
        <f aca="false">-SUM(AB133:AB138)</f>
        <v>#N/A</v>
      </c>
      <c r="AC1052" s="35" t="e">
        <f aca="false">-SUM(AC133:AC138)</f>
        <v>#N/A</v>
      </c>
    </row>
    <row r="1053" customFormat="false" ht="11.25" hidden="false" customHeight="false" outlineLevel="0" collapsed="false">
      <c r="B1053" s="43" t="s">
        <v>1135</v>
      </c>
      <c r="I1053" s="35" t="n">
        <f aca="false">SUM(I145:I153)</f>
        <v>0</v>
      </c>
      <c r="J1053" s="396" t="n">
        <f aca="false">SUM(J145:J153)</f>
        <v>0</v>
      </c>
      <c r="K1053" s="35" t="n">
        <f aca="false">SUM(K145:K153)</f>
        <v>0</v>
      </c>
      <c r="L1053" s="35" t="n">
        <f aca="false">SUM(L145:L153)</f>
        <v>0</v>
      </c>
      <c r="M1053" s="35" t="n">
        <f aca="false">SUM(M145:M153)</f>
        <v>0</v>
      </c>
      <c r="N1053" s="35" t="n">
        <f aca="false">SUM(N145:N153)</f>
        <v>0</v>
      </c>
      <c r="O1053" s="35" t="n">
        <f aca="false">SUM(O145:O153)</f>
        <v>0</v>
      </c>
      <c r="P1053" s="35" t="n">
        <f aca="false">SUM(P145:P153)</f>
        <v>0</v>
      </c>
      <c r="Q1053" s="35" t="n">
        <f aca="false">SUM(Q145:Q153)</f>
        <v>0</v>
      </c>
      <c r="R1053" s="35" t="n">
        <f aca="false">SUM(R145:R153)</f>
        <v>0</v>
      </c>
      <c r="S1053" s="35" t="n">
        <f aca="false">SUM(S145:S153)</f>
        <v>0</v>
      </c>
      <c r="T1053" s="35" t="n">
        <f aca="false">SUM(T145:T153)</f>
        <v>0</v>
      </c>
      <c r="U1053" s="35" t="n">
        <f aca="false">SUM(U145:U153)</f>
        <v>0</v>
      </c>
      <c r="V1053" s="35" t="n">
        <f aca="false">SUM(V145:V153)</f>
        <v>0</v>
      </c>
      <c r="W1053" s="35" t="n">
        <f aca="false">SUM(W145:W153)</f>
        <v>0</v>
      </c>
      <c r="X1053" s="35" t="n">
        <f aca="false">SUM(X145:X153)</f>
        <v>0</v>
      </c>
      <c r="Y1053" s="35" t="n">
        <f aca="false">SUM(Y145:Y153)</f>
        <v>0</v>
      </c>
      <c r="Z1053" s="35" t="n">
        <f aca="false">SUM(Z145:Z153)</f>
        <v>0</v>
      </c>
      <c r="AA1053" s="35" t="n">
        <f aca="false">SUM(AA145:AA153)</f>
        <v>0</v>
      </c>
      <c r="AB1053" s="35" t="n">
        <f aca="false">SUM(AB145:AB153)</f>
        <v>0</v>
      </c>
      <c r="AC1053" s="35" t="n">
        <f aca="false">SUM(AC145:AC153)</f>
        <v>0</v>
      </c>
    </row>
    <row r="1054" customFormat="false" ht="11.25" hidden="false" customHeight="false" outlineLevel="0" collapsed="false">
      <c r="B1054" s="43" t="s">
        <v>1136</v>
      </c>
      <c r="I1054" s="35" t="e">
        <f aca="false">I156</f>
        <v>#VALUE!</v>
      </c>
      <c r="J1054" s="396" t="e">
        <f aca="false">J156</f>
        <v>#N/A</v>
      </c>
      <c r="K1054" s="35" t="e">
        <f aca="false">K156</f>
        <v>#N/A</v>
      </c>
      <c r="L1054" s="35" t="e">
        <f aca="false">L156</f>
        <v>#N/A</v>
      </c>
      <c r="M1054" s="35" t="e">
        <f aca="false">M156</f>
        <v>#N/A</v>
      </c>
      <c r="N1054" s="35" t="e">
        <f aca="false">N156</f>
        <v>#N/A</v>
      </c>
      <c r="O1054" s="35" t="e">
        <f aca="false">O156</f>
        <v>#N/A</v>
      </c>
      <c r="P1054" s="35" t="e">
        <f aca="false">P156</f>
        <v>#N/A</v>
      </c>
      <c r="Q1054" s="35" t="e">
        <f aca="false">Q156</f>
        <v>#N/A</v>
      </c>
      <c r="R1054" s="35" t="e">
        <f aca="false">R156</f>
        <v>#N/A</v>
      </c>
      <c r="S1054" s="35" t="e">
        <f aca="false">S156</f>
        <v>#N/A</v>
      </c>
      <c r="T1054" s="35" t="e">
        <f aca="false">T156</f>
        <v>#N/A</v>
      </c>
      <c r="U1054" s="35" t="e">
        <f aca="false">U156</f>
        <v>#N/A</v>
      </c>
      <c r="V1054" s="35" t="e">
        <f aca="false">V156</f>
        <v>#N/A</v>
      </c>
      <c r="W1054" s="35" t="e">
        <f aca="false">W156</f>
        <v>#N/A</v>
      </c>
      <c r="X1054" s="35" t="e">
        <f aca="false">X156</f>
        <v>#N/A</v>
      </c>
      <c r="Y1054" s="35" t="e">
        <f aca="false">Y156</f>
        <v>#N/A</v>
      </c>
      <c r="Z1054" s="35" t="e">
        <f aca="false">Z156</f>
        <v>#N/A</v>
      </c>
      <c r="AA1054" s="35" t="e">
        <f aca="false">AA156</f>
        <v>#N/A</v>
      </c>
      <c r="AB1054" s="35" t="e">
        <f aca="false">AB156</f>
        <v>#N/A</v>
      </c>
      <c r="AC1054" s="35" t="e">
        <f aca="false">AC156</f>
        <v>#N/A</v>
      </c>
    </row>
    <row r="1055" customFormat="false" ht="11.25" hidden="false" customHeight="false" outlineLevel="0" collapsed="false">
      <c r="B1055" s="43" t="s">
        <v>1137</v>
      </c>
      <c r="I1055" s="35" t="e">
        <f aca="false">I157</f>
        <v>#VALUE!</v>
      </c>
      <c r="J1055" s="396" t="e">
        <f aca="false">J157</f>
        <v>#N/A</v>
      </c>
      <c r="K1055" s="35" t="e">
        <f aca="false">K157</f>
        <v>#N/A</v>
      </c>
      <c r="L1055" s="35" t="e">
        <f aca="false">L157</f>
        <v>#N/A</v>
      </c>
      <c r="M1055" s="35" t="e">
        <f aca="false">M157</f>
        <v>#N/A</v>
      </c>
      <c r="N1055" s="35" t="e">
        <f aca="false">N157</f>
        <v>#N/A</v>
      </c>
      <c r="O1055" s="35" t="e">
        <f aca="false">O157</f>
        <v>#N/A</v>
      </c>
      <c r="P1055" s="35" t="e">
        <f aca="false">P157</f>
        <v>#N/A</v>
      </c>
      <c r="Q1055" s="35" t="e">
        <f aca="false">Q157</f>
        <v>#N/A</v>
      </c>
      <c r="R1055" s="35" t="e">
        <f aca="false">R157</f>
        <v>#N/A</v>
      </c>
      <c r="S1055" s="35" t="e">
        <f aca="false">S157</f>
        <v>#N/A</v>
      </c>
      <c r="T1055" s="35" t="e">
        <f aca="false">T157</f>
        <v>#N/A</v>
      </c>
      <c r="U1055" s="35" t="e">
        <f aca="false">U157</f>
        <v>#N/A</v>
      </c>
      <c r="V1055" s="35" t="e">
        <f aca="false">V157</f>
        <v>#N/A</v>
      </c>
      <c r="W1055" s="35" t="e">
        <f aca="false">W157</f>
        <v>#N/A</v>
      </c>
      <c r="X1055" s="35" t="e">
        <f aca="false">X157</f>
        <v>#N/A</v>
      </c>
      <c r="Y1055" s="35" t="e">
        <f aca="false">Y157</f>
        <v>#N/A</v>
      </c>
      <c r="Z1055" s="35" t="e">
        <f aca="false">Z157</f>
        <v>#N/A</v>
      </c>
      <c r="AA1055" s="35" t="e">
        <f aca="false">AA157</f>
        <v>#N/A</v>
      </c>
      <c r="AB1055" s="35" t="e">
        <f aca="false">AB157</f>
        <v>#N/A</v>
      </c>
      <c r="AC1055" s="35" t="e">
        <f aca="false">AC157</f>
        <v>#N/A</v>
      </c>
    </row>
    <row r="1056" customFormat="false" ht="11.25" hidden="false" customHeight="false" outlineLevel="0" collapsed="false">
      <c r="A1056" s="620" t="str">
        <f aca="false">A1050</f>
        <v>Cash Flow From Financing Activities:</v>
      </c>
      <c r="I1056" s="158" t="e">
        <f aca="false">SUM(I1051:I1055)</f>
        <v>#VALUE!</v>
      </c>
      <c r="J1056" s="619" t="e">
        <f aca="false">SUM(J1051:J1055)</f>
        <v>#VALUE!</v>
      </c>
      <c r="K1056" s="158" t="e">
        <f aca="false">SUM(K1051:K1055)</f>
        <v>#VALUE!</v>
      </c>
      <c r="L1056" s="158" t="e">
        <f aca="false">SUM(L1051:L1055)</f>
        <v>#VALUE!</v>
      </c>
      <c r="M1056" s="158" t="e">
        <f aca="false">SUM(M1051:M1055)</f>
        <v>#VALUE!</v>
      </c>
      <c r="N1056" s="158" t="e">
        <f aca="false">SUM(N1051:N1055)</f>
        <v>#VALUE!</v>
      </c>
      <c r="O1056" s="158" t="e">
        <f aca="false">SUM(O1051:O1055)</f>
        <v>#VALUE!</v>
      </c>
      <c r="P1056" s="158" t="e">
        <f aca="false">SUM(P1051:P1055)</f>
        <v>#VALUE!</v>
      </c>
      <c r="Q1056" s="158" t="e">
        <f aca="false">SUM(Q1051:Q1055)</f>
        <v>#VALUE!</v>
      </c>
      <c r="R1056" s="158" t="e">
        <f aca="false">SUM(R1051:R1055)</f>
        <v>#VALUE!</v>
      </c>
      <c r="S1056" s="158" t="e">
        <f aca="false">SUM(S1051:S1055)</f>
        <v>#VALUE!</v>
      </c>
      <c r="T1056" s="158" t="e">
        <f aca="false">SUM(T1051:T1055)</f>
        <v>#VALUE!</v>
      </c>
      <c r="U1056" s="158" t="e">
        <f aca="false">SUM(U1051:U1055)</f>
        <v>#VALUE!</v>
      </c>
      <c r="V1056" s="158" t="e">
        <f aca="false">SUM(V1051:V1055)</f>
        <v>#VALUE!</v>
      </c>
      <c r="W1056" s="158" t="e">
        <f aca="false">SUM(W1051:W1055)</f>
        <v>#VALUE!</v>
      </c>
      <c r="X1056" s="158" t="e">
        <f aca="false">SUM(X1051:X1055)</f>
        <v>#VALUE!</v>
      </c>
      <c r="Y1056" s="158" t="e">
        <f aca="false">SUM(Y1051:Y1055)</f>
        <v>#VALUE!</v>
      </c>
      <c r="Z1056" s="158" t="e">
        <f aca="false">SUM(Z1051:Z1055)</f>
        <v>#VALUE!</v>
      </c>
      <c r="AA1056" s="158" t="e">
        <f aca="false">SUM(AA1051:AA1055)</f>
        <v>#VALUE!</v>
      </c>
      <c r="AB1056" s="158" t="e">
        <f aca="false">SUM(AB1051:AB1055)</f>
        <v>#VALUE!</v>
      </c>
      <c r="AC1056" s="158" t="e">
        <f aca="false">SUM(AC1051:AC1055)</f>
        <v>#VALUE!</v>
      </c>
    </row>
    <row r="1057" customFormat="false" ht="11.25" hidden="false" customHeight="false" outlineLevel="0" collapsed="false">
      <c r="J1057" s="396"/>
    </row>
    <row r="1058" customFormat="false" ht="12" hidden="false" customHeight="false" outlineLevel="0" collapsed="false">
      <c r="A1058" s="554" t="s">
        <v>1138</v>
      </c>
      <c r="I1058" s="385" t="e">
        <f aca="false">I1056+I1048+I1040</f>
        <v>#VALUE!</v>
      </c>
      <c r="J1058" s="621" t="e">
        <f aca="false">J1056+J1048+J1040</f>
        <v>#VALUE!</v>
      </c>
      <c r="K1058" s="385" t="e">
        <f aca="false">K1056+K1048+K1040</f>
        <v>#VALUE!</v>
      </c>
      <c r="L1058" s="385" t="e">
        <f aca="false">L1056+L1048+L1040</f>
        <v>#VALUE!</v>
      </c>
      <c r="M1058" s="385" t="e">
        <f aca="false">M1056+M1048+M1040</f>
        <v>#VALUE!</v>
      </c>
      <c r="N1058" s="385" t="e">
        <f aca="false">N1056+N1048+N1040</f>
        <v>#VALUE!</v>
      </c>
      <c r="O1058" s="385" t="e">
        <f aca="false">O1056+O1048+O1040</f>
        <v>#VALUE!</v>
      </c>
      <c r="P1058" s="385" t="e">
        <f aca="false">P1056+P1048+P1040</f>
        <v>#VALUE!</v>
      </c>
      <c r="Q1058" s="385" t="e">
        <f aca="false">Q1056+Q1048+Q1040</f>
        <v>#VALUE!</v>
      </c>
      <c r="R1058" s="385" t="e">
        <f aca="false">R1056+R1048+R1040</f>
        <v>#VALUE!</v>
      </c>
      <c r="S1058" s="385" t="e">
        <f aca="false">S1056+S1048+S1040</f>
        <v>#VALUE!</v>
      </c>
      <c r="T1058" s="385" t="e">
        <f aca="false">T1056+T1048+T1040</f>
        <v>#VALUE!</v>
      </c>
      <c r="U1058" s="385" t="e">
        <f aca="false">U1056+U1048+U1040</f>
        <v>#VALUE!</v>
      </c>
      <c r="V1058" s="385" t="e">
        <f aca="false">V1056+V1048+V1040</f>
        <v>#VALUE!</v>
      </c>
      <c r="W1058" s="385" t="e">
        <f aca="false">W1056+W1048+W1040</f>
        <v>#VALUE!</v>
      </c>
      <c r="X1058" s="385" t="e">
        <f aca="false">X1056+X1048+X1040</f>
        <v>#VALUE!</v>
      </c>
      <c r="Y1058" s="385" t="e">
        <f aca="false">Y1056+Y1048+Y1040</f>
        <v>#VALUE!</v>
      </c>
      <c r="Z1058" s="385" t="e">
        <f aca="false">Z1056+Z1048+Z1040</f>
        <v>#VALUE!</v>
      </c>
      <c r="AA1058" s="385" t="e">
        <f aca="false">AA1056+AA1048+AA1040</f>
        <v>#VALUE!</v>
      </c>
      <c r="AB1058" s="385" t="e">
        <f aca="false">AB1056+AB1048+AB1040</f>
        <v>#VALUE!</v>
      </c>
      <c r="AC1058" s="385" t="e">
        <f aca="false">AC1056+AC1048+AC1040</f>
        <v>#VALUE!</v>
      </c>
    </row>
    <row r="1059" customFormat="false" ht="12" hidden="false" customHeight="false" outlineLevel="0" collapsed="false"/>
  </sheetData>
  <mergeCells count="13">
    <mergeCell ref="A8:H8"/>
    <mergeCell ref="A9:C9"/>
    <mergeCell ref="E9:H9"/>
    <mergeCell ref="G368:H368"/>
    <mergeCell ref="G369:H369"/>
    <mergeCell ref="P388:Q388"/>
    <mergeCell ref="P389:Q389"/>
    <mergeCell ref="P390:Q390"/>
    <mergeCell ref="P408:Q408"/>
    <mergeCell ref="R408:S408"/>
    <mergeCell ref="P409:Q409"/>
    <mergeCell ref="R409:S409"/>
    <mergeCell ref="E902:H902"/>
  </mergeCells>
  <printOptions headings="false" gridLines="false" gridLinesSet="true" horizontalCentered="true" verticalCentered="false"/>
  <pageMargins left="0.25" right="0.25" top="0.4" bottom="0.75" header="0.511811023622047" footer="0.5"/>
  <pageSetup paperSize="1" scale="100" fitToWidth="1" fitToHeight="8" pageOrder="downThenOver" orientation="landscape" blackAndWhite="false" draft="false" cellComments="none" firstPageNumber="1" useFirstPageNumber="true" horizontalDpi="300" verticalDpi="300" copies="1"/>
  <headerFooter differentFirst="false" differentOddEven="false">
    <oddHeader/>
    <oddFooter>&amp;LFile:  G:\COMMON\FROM_LRF\LYCO1013.XLS&amp;CPage 21&amp;RUpdated by:  Frazier, Lamar</oddFooter>
  </headerFooter>
  <rowBreaks count="9" manualBreakCount="9">
    <brk id="53" man="true" max="16383" min="0"/>
    <brk id="108" man="true" max="16383" min="0"/>
    <brk id="160" man="true" max="16383" min="0"/>
    <brk id="212" man="true" max="16383" min="0"/>
    <brk id="476" man="true" max="16383" min="0"/>
    <brk id="488" man="true" max="16383" min="0"/>
    <brk id="517" man="true" max="16383" min="0"/>
    <brk id="650" man="true" max="16383" min="0"/>
    <brk id="751" man="true" max="16383" min="0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4" name="Button 15">
              <controlPr defaultSize="0" print="false" autoFill="0" autoPict="0" macro="xls.Module1.prt">
                <anchor moveWithCells="true" sizeWithCells="false">
                  <from>
                    <xdr:col>0</xdr:col>
                    <xdr:colOff>0</xdr:colOff>
                    <xdr:row>0</xdr:row>
                    <xdr:rowOff>0</xdr:rowOff>
                  </from>
                  <to>
                    <xdr:col>1</xdr:col>
                    <xdr:colOff>9720</xdr:colOff>
                    <xdr:row>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5" name="Button 35">
              <controlPr defaultSize="0" print="false" autoFill="0" autoPict="0" macro="xls.Module1.go">
                <anchor moveWithCells="true" sizeWithCells="false">
                  <from>
                    <xdr:col>1</xdr:col>
                    <xdr:colOff>9000</xdr:colOff>
                    <xdr:row>0</xdr:row>
                    <xdr:rowOff>0</xdr:rowOff>
                  </from>
                  <to>
                    <xdr:col>2</xdr:col>
                    <xdr:colOff>360</xdr:colOff>
                    <xdr:row>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3" r:id="rId6" name="Button 37">
              <controlPr defaultSize="0" print="false" autoFill="0" autoPict="0">
                <anchor moveWithCells="true" sizeWithCells="false">
                  <from>
                    <xdr:col>1</xdr:col>
                    <xdr:colOff>9000</xdr:colOff>
                    <xdr:row>1</xdr:row>
                    <xdr:rowOff>0</xdr:rowOff>
                  </from>
                  <to>
                    <xdr:col>2</xdr:col>
                    <xdr:colOff>360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4" r:id="rId7" name="Button 38">
              <controlPr defaultSize="0" print="false" autoFill="0" autoPict="0" macro="xls.Module1.setcalc">
                <anchor moveWithCells="true" sizeWithCells="false">
                  <from>
                    <xdr:col>0</xdr:col>
                    <xdr:colOff>0</xdr:colOff>
                    <xdr:row>1</xdr:row>
                    <xdr:rowOff>0</xdr:rowOff>
                  </from>
                  <to>
                    <xdr:col>1</xdr:col>
                    <xdr:colOff>9720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5" r:id="rId8" name="Button 53">
              <controlPr defaultSize="0" print="false" autoFill="0" autoPict="0">
                <anchor moveWithCells="true" sizeWithCells="false">
                  <from>
                    <xdr:col>2</xdr:col>
                    <xdr:colOff>460800</xdr:colOff>
                    <xdr:row>872</xdr:row>
                    <xdr:rowOff>123840</xdr:rowOff>
                  </from>
                  <to>
                    <xdr:col>4</xdr:col>
                    <xdr:colOff>9720</xdr:colOff>
                    <xdr:row>874</xdr:row>
                    <xdr:rowOff>133200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6" r:id="rId9" name="Button 54">
              <controlPr defaultSize="0" print="false" autoFill="0" autoPict="0">
                <anchor moveWithCells="true" sizeWithCells="false">
                  <from>
                    <xdr:col>11</xdr:col>
                    <xdr:colOff>0</xdr:colOff>
                    <xdr:row>873</xdr:row>
                    <xdr:rowOff>0</xdr:rowOff>
                  </from>
                  <to>
                    <xdr:col>12</xdr:col>
                    <xdr:colOff>360</xdr:colOff>
                    <xdr:row>875</xdr:row>
                    <xdr:rowOff>9360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7" r:id="rId10" name="Button 59">
              <controlPr defaultSize="0" print="false" autoFill="0" autoPict="0" macro="xls.Module1.Clear">
                <anchor moveWithCells="true" sizeWithCells="false">
                  <from>
                    <xdr:col>0</xdr:col>
                    <xdr:colOff>0</xdr:colOff>
                    <xdr:row>2</xdr:row>
                    <xdr:rowOff>0</xdr:rowOff>
                  </from>
                  <to>
                    <xdr:col>1</xdr:col>
                    <xdr:colOff>9720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8" r:id="rId11" name="Button 61">
              <controlPr defaultSize="0" print="false" autoFill="0" autoPict="0" macro="xls.Module1.inp">
                <anchor moveWithCells="true" sizeWithCells="false">
                  <from>
                    <xdr:col>2</xdr:col>
                    <xdr:colOff>0</xdr:colOff>
                    <xdr:row>0</xdr:row>
                    <xdr:rowOff>0</xdr:rowOff>
                  </from>
                  <to>
                    <xdr:col>3</xdr:col>
                    <xdr:colOff>720</xdr:colOff>
                    <xdr:row>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9" r:id="rId12" name="Button 63">
              <controlPr defaultSize="0" print="false" autoFill="0" autoPict="0">
                <anchor moveWithCells="true" sizeWithCells="false">
                  <from>
                    <xdr:col>3</xdr:col>
                    <xdr:colOff>329400</xdr:colOff>
                    <xdr:row>775</xdr:row>
                    <xdr:rowOff>9360</xdr:rowOff>
                  </from>
                  <to>
                    <xdr:col>4</xdr:col>
                    <xdr:colOff>423720</xdr:colOff>
                    <xdr:row>776</xdr:row>
                    <xdr:rowOff>114480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0" r:id="rId13" name="Button 66">
              <controlPr defaultSize="0" print="false" autoFill="0" autoPict="0">
                <anchor moveWithCells="true" sizeWithCells="false">
                  <from>
                    <xdr:col>3</xdr:col>
                    <xdr:colOff>329400</xdr:colOff>
                    <xdr:row>775</xdr:row>
                    <xdr:rowOff>9360</xdr:rowOff>
                  </from>
                  <to>
                    <xdr:col>4</xdr:col>
                    <xdr:colOff>423720</xdr:colOff>
                    <xdr:row>776</xdr:row>
                    <xdr:rowOff>114480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M47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H32" activeCellId="0" sqref="H32"/>
    </sheetView>
  </sheetViews>
  <sheetFormatPr defaultColWidth="9.28515625" defaultRowHeight="11.25" customHeight="true" zeroHeight="false" outlineLevelRow="0" outlineLevelCol="0"/>
  <cols>
    <col collapsed="false" customWidth="true" hidden="false" outlineLevel="0" max="3" min="3" style="67" width="14.65"/>
  </cols>
  <sheetData>
    <row r="1" customFormat="false" ht="12.75" hidden="false" customHeight="false" outlineLevel="0" collapsed="false">
      <c r="A1" s="622" t="s">
        <v>1139</v>
      </c>
      <c r="B1" s="623" t="s">
        <v>1140</v>
      </c>
      <c r="C1" s="622" t="s">
        <v>1141</v>
      </c>
      <c r="D1" s="622"/>
      <c r="E1" s="622"/>
      <c r="F1" s="43" t="s">
        <v>1142</v>
      </c>
    </row>
    <row r="2" customFormat="false" ht="12.75" hidden="false" customHeight="false" outlineLevel="0" collapsed="false">
      <c r="A2" s="622" t="e">
        <f aca="false">#NAME!()</f>
        <v>#NAME?</v>
      </c>
      <c r="B2" s="622" t="e">
        <f aca="false">#NAME!()</f>
        <v>#NAME?</v>
      </c>
      <c r="C2" s="622" t="e">
        <f aca="false">IF(ABS(PPTEST)&gt;0.001,TRUE())</f>
        <v>#VALUE!</v>
      </c>
      <c r="D2" s="622"/>
      <c r="E2" s="622"/>
      <c r="G2" s="67" t="s">
        <v>1143</v>
      </c>
    </row>
    <row r="3" customFormat="false" ht="12.75" hidden="false" customHeight="false" outlineLevel="0" collapsed="false">
      <c r="A3" s="622" t="e">
        <f aca="false">#NAME!()</f>
        <v>#NAME?</v>
      </c>
      <c r="B3" s="622" t="e">
        <f aca="false">#NAME!()</f>
        <v>#NAME?</v>
      </c>
      <c r="C3" s="622" t="e">
        <f aca="false">#NAME!()</f>
        <v>#NAME?</v>
      </c>
      <c r="D3" s="622"/>
      <c r="E3" s="5"/>
      <c r="G3" s="67" t="s">
        <v>1144</v>
      </c>
    </row>
    <row r="4" customFormat="false" ht="12.75" hidden="false" customHeight="false" outlineLevel="0" collapsed="false">
      <c r="A4" s="622" t="e">
        <f aca="false">#NAME!()</f>
        <v>#NAME?</v>
      </c>
      <c r="B4" s="622" t="e">
        <f aca="false">#NAME!()</f>
        <v>#NAME?</v>
      </c>
      <c r="C4" s="622" t="e">
        <f aca="false">#NAME!()</f>
        <v>#NAME?</v>
      </c>
      <c r="D4" s="622"/>
      <c r="E4" s="622" t="e">
        <f aca="false">IF(ABS(PPTEST)&gt;0.001,TRUE())</f>
        <v>#VALUE!</v>
      </c>
      <c r="G4" s="43" t="s">
        <v>1145</v>
      </c>
    </row>
    <row r="5" customFormat="false" ht="12.75" hidden="false" customHeight="false" outlineLevel="0" collapsed="false">
      <c r="A5" s="622"/>
      <c r="B5" s="622" t="e">
        <f aca="false">#NAME!()</f>
        <v>#NAME?</v>
      </c>
      <c r="C5" s="622" t="e">
        <f aca="false">#NAME!()</f>
        <v>#NAME?</v>
      </c>
      <c r="D5" s="622"/>
      <c r="E5" s="622" t="e">
        <f aca="false">#NAME!()</f>
        <v>#NAME?</v>
      </c>
      <c r="G5" s="67" t="s">
        <v>1146</v>
      </c>
    </row>
    <row r="6" customFormat="false" ht="12.75" hidden="false" customHeight="false" outlineLevel="0" collapsed="false">
      <c r="A6" s="622"/>
      <c r="B6" s="622" t="e">
        <f aca="false">#NAME!()</f>
        <v>#NAME?</v>
      </c>
      <c r="C6" s="622" t="e">
        <f aca="false">#NAME!()</f>
        <v>#NAME?</v>
      </c>
      <c r="D6" s="622"/>
      <c r="E6" s="622" t="e">
        <f aca="false">#NAME!()</f>
        <v>#NAME?</v>
      </c>
    </row>
    <row r="7" customFormat="false" ht="12.75" hidden="false" customHeight="false" outlineLevel="0" collapsed="false">
      <c r="A7" s="622"/>
      <c r="B7" s="5"/>
      <c r="C7" s="622" t="e">
        <f aca="false">#NAME!()</f>
        <v>#NAME?</v>
      </c>
      <c r="D7" s="622"/>
      <c r="E7" s="622"/>
    </row>
    <row r="8" customFormat="false" ht="11.25" hidden="false" customHeight="false" outlineLevel="0" collapsed="false">
      <c r="E8" s="67" t="s">
        <v>1147</v>
      </c>
    </row>
    <row r="9" customFormat="false" ht="11.25" hidden="false" customHeight="false" outlineLevel="0" collapsed="false">
      <c r="E9" s="67" t="e">
        <f aca="false">#NAME!()</f>
        <v>#NAME?</v>
      </c>
    </row>
    <row r="10" customFormat="false" ht="11.25" hidden="false" customHeight="false" outlineLevel="0" collapsed="false">
      <c r="A10" s="67" t="s">
        <v>1148</v>
      </c>
      <c r="E10" s="67" t="e">
        <f aca="false">#NAME!()</f>
        <v>#NAME?</v>
      </c>
    </row>
    <row r="11" customFormat="false" ht="11.25" hidden="false" customHeight="false" outlineLevel="0" collapsed="false">
      <c r="A11" s="67" t="e">
        <f aca="false">#NAME!()</f>
        <v>#NAME?</v>
      </c>
    </row>
    <row r="12" customFormat="false" ht="11.25" hidden="false" customHeight="false" outlineLevel="0" collapsed="false">
      <c r="A12" s="67" t="e">
        <f aca="false">IF(A11=FALSE(),#NAME!())</f>
        <v>#NAME?</v>
      </c>
      <c r="E12" s="43" t="s">
        <v>1149</v>
      </c>
    </row>
    <row r="13" customFormat="false" ht="11.25" hidden="false" customHeight="false" outlineLevel="0" collapsed="false">
      <c r="A13" s="67" t="e">
        <f aca="false">VLOOKUP(A11,A38:D47,3)</f>
        <v>#NAME?</v>
      </c>
      <c r="E13" s="67" t="e">
        <f aca="false">#NAME!()</f>
        <v>#NAME?</v>
      </c>
    </row>
    <row r="14" customFormat="false" ht="11.25" hidden="false" customHeight="false" outlineLevel="0" collapsed="false">
      <c r="A14" s="67" t="e">
        <f aca="false">VLOOKUP(A11,A38:D47,4)</f>
        <v>#NAME?</v>
      </c>
      <c r="E14" s="67" t="e">
        <f aca="false">#NAME!()</f>
        <v>#NAME?</v>
      </c>
    </row>
    <row r="15" customFormat="false" ht="11.25" hidden="false" customHeight="false" outlineLevel="0" collapsed="false">
      <c r="A15" s="67" t="e">
        <f aca="false">IF(A13=0,#NAME!())</f>
        <v>#NAME?</v>
      </c>
    </row>
    <row r="16" customFormat="false" ht="11.25" hidden="false" customHeight="false" outlineLevel="0" collapsed="false">
      <c r="A16" s="67" t="e">
        <f aca="false">#NAME!()</f>
        <v>#NAME?</v>
      </c>
    </row>
    <row r="17" customFormat="false" ht="11.25" hidden="false" customHeight="false" outlineLevel="0" collapsed="false">
      <c r="A17" s="67" t="e">
        <f aca="false">#NAME!()</f>
        <v>#NAME?</v>
      </c>
    </row>
    <row r="18" customFormat="false" ht="11.25" hidden="false" customHeight="false" outlineLevel="0" collapsed="false">
      <c r="A18" s="67" t="e">
        <f aca="false">#NAME!()</f>
        <v>#NAME?</v>
      </c>
    </row>
    <row r="23" customFormat="false" ht="11.25" hidden="false" customHeight="false" outlineLevel="0" collapsed="false">
      <c r="A23" s="624" t="s">
        <v>1150</v>
      </c>
      <c r="B23" s="380"/>
      <c r="C23" s="380"/>
      <c r="D23" s="380"/>
      <c r="E23" s="380"/>
      <c r="F23" s="380"/>
      <c r="G23" s="625"/>
    </row>
    <row r="24" customFormat="false" ht="11.25" hidden="false" customHeight="false" outlineLevel="0" collapsed="false">
      <c r="A24" s="626"/>
      <c r="B24" s="68" t="n">
        <v>160</v>
      </c>
      <c r="C24" s="68" t="n">
        <v>25</v>
      </c>
      <c r="D24" s="68" t="n">
        <v>300</v>
      </c>
      <c r="E24" s="68" t="n">
        <v>260</v>
      </c>
      <c r="F24" s="68" t="s">
        <v>1151</v>
      </c>
      <c r="G24" s="627"/>
    </row>
    <row r="25" customFormat="false" ht="11.25" hidden="false" customHeight="false" outlineLevel="0" collapsed="false">
      <c r="A25" s="205" t="n">
        <v>3</v>
      </c>
      <c r="B25" s="80" t="n">
        <v>50</v>
      </c>
      <c r="C25" s="80" t="n">
        <v>5</v>
      </c>
      <c r="D25" s="80" t="n">
        <v>200</v>
      </c>
      <c r="E25" s="80"/>
      <c r="F25" s="80" t="s">
        <v>1152</v>
      </c>
      <c r="G25" s="206"/>
    </row>
    <row r="26" customFormat="false" ht="11.25" hidden="false" customHeight="false" outlineLevel="0" collapsed="false">
      <c r="A26" s="205" t="n">
        <v>3</v>
      </c>
      <c r="B26" s="80" t="n">
        <v>50</v>
      </c>
      <c r="C26" s="80" t="n">
        <v>30</v>
      </c>
      <c r="D26" s="80" t="n">
        <v>200</v>
      </c>
      <c r="E26" s="80"/>
      <c r="F26" s="80" t="s">
        <v>1153</v>
      </c>
      <c r="G26" s="206"/>
    </row>
    <row r="27" customFormat="false" ht="11.25" hidden="false" customHeight="false" outlineLevel="0" collapsed="false">
      <c r="A27" s="205" t="n">
        <v>3</v>
      </c>
      <c r="B27" s="80" t="n">
        <v>50</v>
      </c>
      <c r="C27" s="80" t="n">
        <v>55</v>
      </c>
      <c r="D27" s="80" t="n">
        <v>200</v>
      </c>
      <c r="E27" s="80"/>
      <c r="F27" s="80" t="s">
        <v>1154</v>
      </c>
      <c r="G27" s="206"/>
    </row>
    <row r="28" customFormat="false" ht="11.25" hidden="false" customHeight="false" outlineLevel="0" collapsed="false">
      <c r="A28" s="205" t="n">
        <v>3</v>
      </c>
      <c r="B28" s="80" t="n">
        <v>50</v>
      </c>
      <c r="C28" s="80" t="n">
        <v>80</v>
      </c>
      <c r="D28" s="80" t="n">
        <v>200</v>
      </c>
      <c r="E28" s="80"/>
      <c r="F28" s="80" t="s">
        <v>1155</v>
      </c>
      <c r="G28" s="206"/>
    </row>
    <row r="29" customFormat="false" ht="11.25" hidden="false" customHeight="false" outlineLevel="0" collapsed="false">
      <c r="A29" s="205" t="n">
        <v>3</v>
      </c>
      <c r="B29" s="80" t="n">
        <v>50</v>
      </c>
      <c r="C29" s="80" t="n">
        <v>105</v>
      </c>
      <c r="D29" s="80" t="n">
        <v>200</v>
      </c>
      <c r="E29" s="80"/>
      <c r="F29" s="80" t="s">
        <v>1156</v>
      </c>
      <c r="G29" s="206"/>
    </row>
    <row r="30" customFormat="false" ht="11.25" hidden="false" customHeight="false" outlineLevel="0" collapsed="false">
      <c r="A30" s="205" t="n">
        <v>3</v>
      </c>
      <c r="B30" s="80" t="n">
        <v>50</v>
      </c>
      <c r="C30" s="80" t="n">
        <v>130</v>
      </c>
      <c r="D30" s="80" t="n">
        <v>200</v>
      </c>
      <c r="E30" s="80"/>
      <c r="F30" s="80" t="s">
        <v>1157</v>
      </c>
      <c r="G30" s="206"/>
    </row>
    <row r="31" customFormat="false" ht="11.25" hidden="false" customHeight="false" outlineLevel="0" collapsed="false">
      <c r="A31" s="205" t="n">
        <v>3</v>
      </c>
      <c r="B31" s="80" t="n">
        <v>50</v>
      </c>
      <c r="C31" s="80" t="n">
        <v>155</v>
      </c>
      <c r="D31" s="80" t="n">
        <v>200</v>
      </c>
      <c r="E31" s="80"/>
      <c r="F31" s="80" t="s">
        <v>1158</v>
      </c>
      <c r="G31" s="206"/>
    </row>
    <row r="32" customFormat="false" ht="11.25" hidden="false" customHeight="false" outlineLevel="0" collapsed="false">
      <c r="A32" s="205" t="n">
        <v>3</v>
      </c>
      <c r="B32" s="80" t="n">
        <v>50</v>
      </c>
      <c r="C32" s="80" t="n">
        <v>180</v>
      </c>
      <c r="D32" s="80" t="n">
        <v>200</v>
      </c>
      <c r="E32" s="80"/>
      <c r="F32" s="80" t="s">
        <v>1159</v>
      </c>
      <c r="G32" s="206"/>
    </row>
    <row r="33" customFormat="false" ht="12.75" hidden="false" customHeight="false" outlineLevel="0" collapsed="false">
      <c r="A33" s="205" t="n">
        <v>3</v>
      </c>
      <c r="B33" s="80" t="n">
        <v>50</v>
      </c>
      <c r="C33" s="80" t="n">
        <v>205</v>
      </c>
      <c r="D33" s="80" t="n">
        <v>200</v>
      </c>
      <c r="E33" s="80"/>
      <c r="F33" s="628" t="s">
        <v>1160</v>
      </c>
      <c r="G33" s="206"/>
    </row>
    <row r="34" customFormat="false" ht="12.75" hidden="false" customHeight="false" outlineLevel="0" collapsed="false">
      <c r="A34" s="222" t="n">
        <v>3</v>
      </c>
      <c r="B34" s="166" t="n">
        <v>100</v>
      </c>
      <c r="C34" s="166" t="n">
        <v>230</v>
      </c>
      <c r="D34" s="166" t="n">
        <v>100</v>
      </c>
      <c r="E34" s="166"/>
      <c r="F34" s="629" t="str">
        <f aca="false">B47</f>
        <v>Cancel</v>
      </c>
      <c r="G34" s="223"/>
    </row>
    <row r="37" customFormat="false" ht="11.25" hidden="false" customHeight="false" outlineLevel="0" collapsed="false">
      <c r="A37" s="624" t="s">
        <v>1161</v>
      </c>
      <c r="B37" s="380"/>
      <c r="C37" s="380"/>
      <c r="D37" s="625"/>
    </row>
    <row r="38" customFormat="false" ht="11.25" hidden="false" customHeight="false" outlineLevel="0" collapsed="false">
      <c r="A38" s="626" t="n">
        <v>1</v>
      </c>
      <c r="B38" s="80" t="str">
        <f aca="false">F25</f>
        <v>Overview</v>
      </c>
      <c r="C38" s="80" t="n">
        <f aca="false">ROW(CFMODEL!A6:S66)</f>
        <v>6</v>
      </c>
      <c r="D38" s="627" t="n">
        <v>3</v>
      </c>
    </row>
    <row r="39" customFormat="false" ht="11.25" hidden="false" customHeight="false" outlineLevel="0" collapsed="false">
      <c r="A39" s="205" t="n">
        <v>2</v>
      </c>
      <c r="B39" s="80" t="str">
        <f aca="false">F26</f>
        <v>Income Statement</v>
      </c>
      <c r="C39" s="80" t="n">
        <f aca="false">ROW(CFMODEL!A68:S112)</f>
        <v>68</v>
      </c>
      <c r="D39" s="206" t="n">
        <v>3</v>
      </c>
    </row>
    <row r="40" customFormat="false" ht="11.25" hidden="false" customHeight="false" outlineLevel="0" collapsed="false">
      <c r="A40" s="205" t="n">
        <v>3</v>
      </c>
      <c r="B40" s="80" t="str">
        <f aca="false">F27</f>
        <v>Common Sized Statement</v>
      </c>
      <c r="C40" s="80" t="n">
        <f aca="false">ROW(CFMODEL!A115:S115)</f>
        <v>115</v>
      </c>
      <c r="D40" s="206" t="n">
        <v>3</v>
      </c>
    </row>
    <row r="41" customFormat="false" ht="11.25" hidden="false" customHeight="false" outlineLevel="0" collapsed="false">
      <c r="A41" s="205" t="n">
        <v>4</v>
      </c>
      <c r="B41" s="80" t="str">
        <f aca="false">F28</f>
        <v>Sources/Uses</v>
      </c>
      <c r="C41" s="80" t="n">
        <f aca="false">ROW(CFMODEL!A116:S170)</f>
        <v>116</v>
      </c>
      <c r="D41" s="206" t="n">
        <v>3</v>
      </c>
    </row>
    <row r="42" customFormat="false" ht="11.25" hidden="false" customHeight="false" outlineLevel="0" collapsed="false">
      <c r="A42" s="205" t="n">
        <v>5</v>
      </c>
      <c r="B42" s="80" t="str">
        <f aca="false">F29</f>
        <v>Balance Sheet</v>
      </c>
      <c r="C42" s="80" t="n">
        <f aca="false">ROW(CFMODEL!A171:S219)</f>
        <v>171</v>
      </c>
      <c r="D42" s="206" t="n">
        <v>3</v>
      </c>
    </row>
    <row r="43" customFormat="false" ht="11.25" hidden="false" customHeight="false" outlineLevel="0" collapsed="false">
      <c r="A43" s="205" t="n">
        <v>6</v>
      </c>
      <c r="B43" s="80" t="str">
        <f aca="false">F30</f>
        <v>Opening Balance Sheet</v>
      </c>
      <c r="C43" s="80" t="n">
        <f aca="false">ROW(CFMODEL!A387:S435)</f>
        <v>387</v>
      </c>
      <c r="D43" s="206" t="n">
        <v>3</v>
      </c>
    </row>
    <row r="44" customFormat="false" ht="11.25" hidden="false" customHeight="false" outlineLevel="0" collapsed="false">
      <c r="A44" s="205" t="n">
        <v>7</v>
      </c>
      <c r="B44" s="80" t="str">
        <f aca="false">F31</f>
        <v>Capitalization 1</v>
      </c>
      <c r="C44" s="80" t="n">
        <f aca="false">ROW(CFMODEL!A223:S272)</f>
        <v>223</v>
      </c>
      <c r="D44" s="206" t="n">
        <v>3</v>
      </c>
    </row>
    <row r="45" customFormat="false" ht="11.25" hidden="false" customHeight="false" outlineLevel="0" collapsed="false">
      <c r="A45" s="205" t="n">
        <v>8</v>
      </c>
      <c r="B45" s="80" t="str">
        <f aca="false">F32</f>
        <v>Capitalization 2</v>
      </c>
      <c r="C45" s="80" t="n">
        <f aca="false">ROW(CFMODEL!A275:S387)</f>
        <v>275</v>
      </c>
      <c r="D45" s="206" t="n">
        <v>3</v>
      </c>
    </row>
    <row r="46" customFormat="false" ht="11.25" hidden="false" customHeight="false" outlineLevel="0" collapsed="false">
      <c r="A46" s="205" t="n">
        <v>9</v>
      </c>
      <c r="B46" s="80" t="str">
        <f aca="false">F33</f>
        <v>Income Tax</v>
      </c>
      <c r="C46" s="80" t="n">
        <f aca="false">ROW(CFMODEL!A652:S760)</f>
        <v>652</v>
      </c>
      <c r="D46" s="206" t="n">
        <v>3</v>
      </c>
    </row>
    <row r="47" customFormat="false" ht="11.25" hidden="false" customHeight="false" outlineLevel="0" collapsed="false">
      <c r="A47" s="222" t="n">
        <v>10</v>
      </c>
      <c r="B47" s="166" t="s">
        <v>1162</v>
      </c>
      <c r="C47" s="166" t="n">
        <v>0</v>
      </c>
      <c r="D47" s="223" t="n">
        <v>0</v>
      </c>
    </row>
    <row r="52" customFormat="false" ht="12.75" hidden="false" customHeight="false" outlineLevel="0" collapsed="false">
      <c r="A52" s="630" t="s">
        <v>1163</v>
      </c>
    </row>
    <row r="53" customFormat="false" ht="11.25" hidden="false" customHeight="false" outlineLevel="0" collapsed="false">
      <c r="A53" s="67" t="s">
        <v>1164</v>
      </c>
      <c r="B53" s="67" t="s">
        <v>1165</v>
      </c>
      <c r="D53" s="67" t="s">
        <v>1166</v>
      </c>
    </row>
    <row r="54" customFormat="false" ht="11.25" hidden="false" customHeight="false" outlineLevel="0" collapsed="false">
      <c r="A54" s="67" t="s">
        <v>1167</v>
      </c>
      <c r="B54" s="67" t="s">
        <v>736</v>
      </c>
      <c r="D54" s="67" t="s">
        <v>1168</v>
      </c>
    </row>
    <row r="55" customFormat="false" ht="11.25" hidden="false" customHeight="false" outlineLevel="0" collapsed="false">
      <c r="A55" s="67" t="s">
        <v>1169</v>
      </c>
      <c r="B55" s="67" t="s">
        <v>1170</v>
      </c>
      <c r="D55" s="67" t="s">
        <v>1171</v>
      </c>
    </row>
    <row r="56" customFormat="false" ht="11.25" hidden="false" customHeight="false" outlineLevel="0" collapsed="false">
      <c r="A56" s="67" t="s">
        <v>1172</v>
      </c>
      <c r="B56" s="67" t="s">
        <v>1173</v>
      </c>
      <c r="D56" s="67" t="s">
        <v>1174</v>
      </c>
    </row>
    <row r="57" customFormat="false" ht="11.25" hidden="false" customHeight="false" outlineLevel="0" collapsed="false">
      <c r="A57" s="67" t="s">
        <v>1175</v>
      </c>
      <c r="B57" s="67" t="s">
        <v>369</v>
      </c>
      <c r="D57" s="67" t="s">
        <v>1176</v>
      </c>
    </row>
    <row r="58" customFormat="false" ht="11.25" hidden="false" customHeight="false" outlineLevel="0" collapsed="false">
      <c r="A58" s="67" t="s">
        <v>1177</v>
      </c>
      <c r="B58" s="67" t="s">
        <v>1178</v>
      </c>
      <c r="D58" s="67" t="s">
        <v>1179</v>
      </c>
    </row>
    <row r="59" customFormat="false" ht="11.25" hidden="false" customHeight="false" outlineLevel="0" collapsed="false">
      <c r="A59" s="67" t="s">
        <v>1180</v>
      </c>
      <c r="B59" s="67" t="s">
        <v>1181</v>
      </c>
      <c r="D59" s="67" t="s">
        <v>1182</v>
      </c>
    </row>
    <row r="61" customFormat="false" ht="11.25" hidden="false" customHeight="false" outlineLevel="0" collapsed="false">
      <c r="A61" s="67" t="e">
        <f aca="false">#NAME!()</f>
        <v>#NAME?</v>
      </c>
      <c r="C61" s="67" t="e">
        <f aca="false">#NAME!()</f>
        <v>#NAME?</v>
      </c>
    </row>
    <row r="62" customFormat="false" ht="11.25" hidden="false" customHeight="false" outlineLevel="0" collapsed="false">
      <c r="A62" s="67" t="e">
        <f aca="false">#NAME!()</f>
        <v>#NAME?</v>
      </c>
      <c r="C62" s="67" t="e">
        <f aca="false">#NAME!()</f>
        <v>#NAME?</v>
      </c>
    </row>
    <row r="64" customFormat="false" ht="11.25" hidden="false" customHeight="false" outlineLevel="0" collapsed="false">
      <c r="A64" s="67" t="s">
        <v>1183</v>
      </c>
      <c r="B64" s="67" t="e">
        <f aca="false">#NAME!()</f>
        <v>#NAME?</v>
      </c>
    </row>
    <row r="67" customFormat="false" ht="11.25" hidden="false" customHeight="false" outlineLevel="0" collapsed="false">
      <c r="A67" s="67" t="s">
        <v>1165</v>
      </c>
    </row>
    <row r="68" customFormat="false" ht="11.25" hidden="false" customHeight="false" outlineLevel="0" collapsed="false">
      <c r="A68" s="67" t="e">
        <f aca="false">#NAME!()</f>
        <v>#NAME?</v>
      </c>
    </row>
    <row r="69" customFormat="false" ht="11.25" hidden="false" customHeight="false" outlineLevel="0" collapsed="false">
      <c r="A69" s="67" t="e">
        <f aca="false">IF(A68=FALSE(),#NAME!())</f>
        <v>#NAME?</v>
      </c>
    </row>
    <row r="70" customFormat="false" ht="11.25" hidden="false" customHeight="false" outlineLevel="0" collapsed="false">
      <c r="A70" s="67" t="e">
        <f aca="false">#NAME!()</f>
        <v>#NAME?</v>
      </c>
    </row>
    <row r="71" customFormat="false" ht="11.25" hidden="false" customHeight="false" outlineLevel="0" collapsed="false">
      <c r="A71" s="67" t="e">
        <f aca="false">#NAME!()</f>
        <v>#NAME?</v>
      </c>
    </row>
    <row r="72" customFormat="false" ht="11.25" hidden="false" customHeight="false" outlineLevel="0" collapsed="false">
      <c r="A72" s="67" t="e">
        <f aca="false">#NAME!()</f>
        <v>#NAME?</v>
      </c>
    </row>
    <row r="73" customFormat="false" ht="11.25" hidden="false" customHeight="false" outlineLevel="0" collapsed="false">
      <c r="A73" s="631" t="str">
        <f aca="false">IF(G92=1,F93,IF(G92=2,F94,F95))</f>
        <v>Thousands</v>
      </c>
    </row>
    <row r="74" customFormat="false" ht="11.25" hidden="false" customHeight="false" outlineLevel="0" collapsed="false">
      <c r="A74" s="67" t="e">
        <f aca="false">#NAME!()</f>
        <v>#NAME?</v>
      </c>
    </row>
    <row r="75" customFormat="false" ht="11.25" hidden="false" customHeight="false" outlineLevel="0" collapsed="false">
      <c r="A75" s="67" t="e">
        <f aca="false">#NAME!()</f>
        <v>#NAME?</v>
      </c>
    </row>
    <row r="76" customFormat="false" ht="12.75" hidden="false" customHeight="false" outlineLevel="0" collapsed="false">
      <c r="A76" s="632" t="e">
        <f aca="false">#NAME!()</f>
        <v>#NAME?</v>
      </c>
    </row>
    <row r="77" customFormat="false" ht="11.25" hidden="false" customHeight="false" outlineLevel="0" collapsed="false">
      <c r="A77" s="67" t="e">
        <f aca="false">#NAME!()</f>
        <v>#NAME?</v>
      </c>
    </row>
    <row r="78" customFormat="false" ht="12.75" hidden="false" customHeight="false" outlineLevel="0" collapsed="false">
      <c r="A78" s="633" t="e">
        <f aca="false">#NAME!()</f>
        <v>#NAME?</v>
      </c>
    </row>
    <row r="79" customFormat="false" ht="11.25" hidden="false" customHeight="false" outlineLevel="0" collapsed="false">
      <c r="A79" s="67" t="e">
        <f aca="false">#NAME!()</f>
        <v>#NAME?</v>
      </c>
    </row>
    <row r="81" customFormat="false" ht="11.25" hidden="false" customHeight="false" outlineLevel="0" collapsed="false">
      <c r="A81" s="67" t="s">
        <v>1184</v>
      </c>
    </row>
    <row r="82" customFormat="false" ht="11.25" hidden="false" customHeight="false" outlineLevel="0" collapsed="false">
      <c r="D82" s="67" t="n">
        <v>416</v>
      </c>
      <c r="E82" s="67" t="n">
        <v>184</v>
      </c>
      <c r="F82" s="67" t="s">
        <v>1185</v>
      </c>
    </row>
    <row r="83" customFormat="false" ht="11.25" hidden="false" customHeight="false" outlineLevel="0" collapsed="false">
      <c r="A83" s="67" t="n">
        <v>1</v>
      </c>
      <c r="B83" s="67" t="n">
        <v>296</v>
      </c>
      <c r="C83" s="67" t="n">
        <v>103</v>
      </c>
      <c r="D83" s="67" t="n">
        <v>88</v>
      </c>
      <c r="F83" s="67" t="s">
        <v>1186</v>
      </c>
    </row>
    <row r="84" customFormat="false" ht="11.25" hidden="false" customHeight="false" outlineLevel="0" collapsed="false">
      <c r="A84" s="67" t="n">
        <v>2</v>
      </c>
      <c r="B84" s="67" t="n">
        <v>296</v>
      </c>
      <c r="C84" s="67" t="n">
        <v>126</v>
      </c>
      <c r="D84" s="67" t="n">
        <v>88</v>
      </c>
      <c r="F84" s="67" t="s">
        <v>1187</v>
      </c>
    </row>
    <row r="85" customFormat="false" ht="11.25" hidden="false" customHeight="false" outlineLevel="0" collapsed="false">
      <c r="A85" s="67" t="n">
        <v>5</v>
      </c>
      <c r="B85" s="67" t="n">
        <v>24</v>
      </c>
      <c r="C85" s="67" t="n">
        <v>15</v>
      </c>
      <c r="F85" s="67" t="s">
        <v>1188</v>
      </c>
    </row>
    <row r="86" customFormat="false" ht="11.25" hidden="false" customHeight="false" outlineLevel="0" collapsed="false">
      <c r="A86" s="67" t="n">
        <v>6</v>
      </c>
      <c r="B86" s="67" t="n">
        <v>167</v>
      </c>
      <c r="C86" s="67" t="n">
        <v>16</v>
      </c>
      <c r="D86" s="67" t="n">
        <v>218</v>
      </c>
      <c r="G86" s="4" t="s">
        <v>594</v>
      </c>
    </row>
    <row r="87" customFormat="false" ht="11.25" hidden="false" customHeight="false" outlineLevel="0" collapsed="false">
      <c r="A87" s="67" t="n">
        <v>5</v>
      </c>
      <c r="B87" s="67" t="n">
        <v>25</v>
      </c>
      <c r="C87" s="67" t="n">
        <v>41</v>
      </c>
      <c r="F87" s="67" t="s">
        <v>1189</v>
      </c>
    </row>
    <row r="88" customFormat="false" ht="11.25" hidden="false" customHeight="false" outlineLevel="0" collapsed="false">
      <c r="A88" s="67" t="n">
        <v>6</v>
      </c>
      <c r="B88" s="67" t="n">
        <v>166</v>
      </c>
      <c r="C88" s="67" t="n">
        <v>41</v>
      </c>
      <c r="D88" s="67" t="n">
        <v>219</v>
      </c>
      <c r="G88" s="340" t="s">
        <v>1190</v>
      </c>
    </row>
    <row r="89" customFormat="false" ht="11.25" hidden="false" customHeight="false" outlineLevel="0" collapsed="false">
      <c r="A89" s="67" t="n">
        <v>5</v>
      </c>
      <c r="B89" s="67" t="n">
        <v>254</v>
      </c>
      <c r="C89" s="67" t="n">
        <v>65</v>
      </c>
      <c r="F89" s="67" t="s">
        <v>1191</v>
      </c>
    </row>
    <row r="90" customFormat="false" ht="11.25" hidden="false" customHeight="false" outlineLevel="0" collapsed="false">
      <c r="A90" s="67" t="n">
        <v>8</v>
      </c>
      <c r="B90" s="67" t="n">
        <v>254</v>
      </c>
      <c r="C90" s="67" t="n">
        <v>81</v>
      </c>
      <c r="D90" s="67" t="n">
        <v>132</v>
      </c>
      <c r="G90" s="439" t="n">
        <v>35430</v>
      </c>
    </row>
    <row r="91" customFormat="false" ht="11.25" hidden="false" customHeight="false" outlineLevel="0" collapsed="false">
      <c r="A91" s="67" t="n">
        <v>14</v>
      </c>
      <c r="B91" s="67" t="n">
        <v>26</v>
      </c>
      <c r="C91" s="67" t="n">
        <v>76</v>
      </c>
      <c r="D91" s="67" t="n">
        <v>200</v>
      </c>
      <c r="E91" s="67" t="n">
        <v>72</v>
      </c>
      <c r="F91" s="67" t="s">
        <v>1192</v>
      </c>
    </row>
    <row r="92" customFormat="false" ht="11.25" hidden="false" customHeight="false" outlineLevel="0" collapsed="false">
      <c r="A92" s="67" t="n">
        <v>11</v>
      </c>
      <c r="G92" s="67" t="n">
        <v>1</v>
      </c>
    </row>
    <row r="93" customFormat="false" ht="11.25" hidden="false" customHeight="false" outlineLevel="0" collapsed="false">
      <c r="A93" s="67" t="n">
        <v>12</v>
      </c>
      <c r="F93" s="133" t="s">
        <v>598</v>
      </c>
    </row>
    <row r="94" customFormat="false" ht="11.25" hidden="false" customHeight="false" outlineLevel="0" collapsed="false">
      <c r="A94" s="67" t="n">
        <v>12</v>
      </c>
      <c r="F94" s="133" t="s">
        <v>1193</v>
      </c>
    </row>
    <row r="95" customFormat="false" ht="11.25" hidden="false" customHeight="false" outlineLevel="0" collapsed="false">
      <c r="A95" s="67" t="n">
        <v>12</v>
      </c>
      <c r="F95" s="133" t="s">
        <v>1194</v>
      </c>
    </row>
    <row r="97" customFormat="false" ht="11.25" hidden="false" customHeight="false" outlineLevel="0" collapsed="false">
      <c r="A97" s="67" t="s">
        <v>736</v>
      </c>
    </row>
    <row r="98" customFormat="false" ht="11.25" hidden="false" customHeight="false" outlineLevel="0" collapsed="false">
      <c r="A98" s="67" t="e">
        <f aca="false">#NAME!()</f>
        <v>#NAME?</v>
      </c>
      <c r="D98" s="67" t="s">
        <v>1195</v>
      </c>
      <c r="E98" s="67" t="s">
        <v>1196</v>
      </c>
    </row>
    <row r="99" customFormat="false" ht="11.25" hidden="false" customHeight="false" outlineLevel="0" collapsed="false">
      <c r="A99" s="67" t="e">
        <f aca="false">IF(A98=FALSE(),#NAME!())</f>
        <v>#NAME?</v>
      </c>
      <c r="D99" s="67" t="s">
        <v>1197</v>
      </c>
      <c r="E99" s="67" t="s">
        <v>1198</v>
      </c>
    </row>
    <row r="100" customFormat="false" ht="11.25" hidden="false" customHeight="false" outlineLevel="0" collapsed="false">
      <c r="A100" s="67" t="e">
        <f aca="false">IF(A108,#NAME!())</f>
        <v>#REF!</v>
      </c>
      <c r="D100" s="67" t="e">
        <f aca="false">#NAME!()</f>
        <v>#NAME?</v>
      </c>
      <c r="E100" s="67" t="e">
        <f aca="false">#NAME!()</f>
        <v>#NAME?</v>
      </c>
    </row>
    <row r="101" customFormat="false" ht="11.25" hidden="false" customHeight="false" outlineLevel="0" collapsed="false">
      <c r="A101" s="67" t="e">
        <f aca="false">#NAME!()</f>
        <v>#NAME?</v>
      </c>
      <c r="D101" s="67" t="e">
        <f aca="false">#NAME!()</f>
        <v>#NAME?</v>
      </c>
      <c r="E101" s="67" t="e">
        <f aca="false">#NAME!()</f>
        <v>#NAME?</v>
      </c>
    </row>
    <row r="102" customFormat="false" ht="11.25" hidden="false" customHeight="false" outlineLevel="0" collapsed="false">
      <c r="A102" s="67" t="e">
        <f aca="false">#NAME!()</f>
        <v>#NAME?</v>
      </c>
      <c r="D102" s="67" t="e">
        <f aca="false">#NAME!()</f>
        <v>#NAME?</v>
      </c>
      <c r="E102" s="67" t="e">
        <f aca="false">#NAME!()</f>
        <v>#NAME?</v>
      </c>
    </row>
    <row r="103" customFormat="false" ht="11.25" hidden="false" customHeight="false" outlineLevel="0" collapsed="false">
      <c r="A103" s="67" t="e">
        <f aca="false">#NAME!()</f>
        <v>#NAME?</v>
      </c>
      <c r="D103" s="67" t="e">
        <f aca="false">#NAME!()</f>
        <v>#NAME?</v>
      </c>
      <c r="E103" s="67" t="e">
        <f aca="false">#NAME!()</f>
        <v>#NAME?</v>
      </c>
    </row>
    <row r="104" customFormat="false" ht="11.25" hidden="false" customHeight="false" outlineLevel="0" collapsed="false">
      <c r="A104" s="67" t="e">
        <f aca="false">#NAME!()</f>
        <v>#NAME?</v>
      </c>
      <c r="D104" s="67" t="e">
        <f aca="false">#NAME!()</f>
        <v>#NAME?</v>
      </c>
      <c r="E104" s="67" t="e">
        <f aca="false">#NAME!()</f>
        <v>#NAME?</v>
      </c>
    </row>
    <row r="105" customFormat="false" ht="11.25" hidden="false" customHeight="false" outlineLevel="0" collapsed="false">
      <c r="A105" s="67" t="e">
        <f aca="false">#NAME!()</f>
        <v>#NAME?</v>
      </c>
    </row>
    <row r="106" customFormat="false" ht="11.25" hidden="false" customHeight="false" outlineLevel="0" collapsed="false">
      <c r="A106" s="67" t="e">
        <f aca="false">IF(A98=4,#NAME!())</f>
        <v>#NAME?</v>
      </c>
    </row>
    <row r="107" customFormat="false" ht="11.25" hidden="false" customHeight="false" outlineLevel="0" collapsed="false">
      <c r="A107" s="67" t="e">
        <f aca="false">IF(#NAME!(),E99,#NAME!())</f>
        <v>#NAME?</v>
      </c>
    </row>
    <row r="108" customFormat="false" ht="11.25" hidden="false" customHeight="false" outlineLevel="0" collapsed="false">
      <c r="A108" s="67" t="e">
        <f aca="false">IF(#REF!,#NAME!())</f>
        <v>#REF!</v>
      </c>
    </row>
    <row r="109" customFormat="false" ht="11.25" hidden="false" customHeight="false" outlineLevel="0" collapsed="false">
      <c r="A109" s="67" t="e">
        <f aca="false">IF(CFMODEL!$A$368,#NAME!())</f>
        <v>#VALUE!</v>
      </c>
    </row>
    <row r="110" customFormat="false" ht="11.25" hidden="false" customHeight="false" outlineLevel="0" collapsed="false">
      <c r="A110" s="67" t="e">
        <f aca="false">IF(CFMODEL!$A$334,#NAME!())</f>
        <v>#VALUE!</v>
      </c>
    </row>
    <row r="111" customFormat="false" ht="11.25" hidden="false" customHeight="false" outlineLevel="0" collapsed="false">
      <c r="A111" s="67" t="e">
        <f aca="false">#NAME!()</f>
        <v>#NAME?</v>
      </c>
    </row>
    <row r="114" customFormat="false" ht="11.25" hidden="false" customHeight="false" outlineLevel="0" collapsed="false">
      <c r="A114" s="67" t="s">
        <v>1199</v>
      </c>
    </row>
    <row r="115" customFormat="false" ht="11.25" hidden="false" customHeight="false" outlineLevel="0" collapsed="false">
      <c r="D115" s="67" t="n">
        <v>320</v>
      </c>
      <c r="E115" s="67" t="n">
        <v>112</v>
      </c>
      <c r="F115" s="67" t="s">
        <v>1200</v>
      </c>
    </row>
    <row r="116" customFormat="false" ht="11.25" hidden="false" customHeight="false" outlineLevel="0" collapsed="false">
      <c r="A116" s="67" t="n">
        <v>5</v>
      </c>
      <c r="B116" s="67" t="n">
        <v>65</v>
      </c>
      <c r="C116" s="67" t="n">
        <v>5</v>
      </c>
    </row>
    <row r="117" customFormat="false" ht="11.25" hidden="false" customHeight="false" outlineLevel="0" collapsed="false">
      <c r="A117" s="67" t="n">
        <v>5</v>
      </c>
      <c r="B117" s="67" t="n">
        <v>12</v>
      </c>
      <c r="C117" s="67" t="n">
        <v>58</v>
      </c>
      <c r="F117" s="67" t="s">
        <v>1201</v>
      </c>
    </row>
    <row r="118" customFormat="false" ht="11.25" hidden="false" customHeight="false" outlineLevel="0" collapsed="false">
      <c r="A118" s="67" t="n">
        <v>8</v>
      </c>
      <c r="B118" s="67" t="n">
        <v>13</v>
      </c>
      <c r="C118" s="67" t="n">
        <v>74</v>
      </c>
      <c r="D118" s="67" t="n">
        <v>160</v>
      </c>
      <c r="G118" s="439" t="n">
        <v>34972</v>
      </c>
    </row>
    <row r="119" customFormat="false" ht="11.25" hidden="false" customHeight="false" outlineLevel="0" collapsed="false">
      <c r="A119" s="67" t="n">
        <v>1</v>
      </c>
      <c r="B119" s="67" t="n">
        <v>225</v>
      </c>
      <c r="C119" s="67" t="n">
        <v>56</v>
      </c>
      <c r="D119" s="67" t="n">
        <v>88</v>
      </c>
      <c r="F119" s="67" t="s">
        <v>1186</v>
      </c>
    </row>
    <row r="120" customFormat="false" ht="11.25" hidden="false" customHeight="false" outlineLevel="0" collapsed="false">
      <c r="A120" s="67" t="n">
        <v>2</v>
      </c>
      <c r="B120" s="67" t="n">
        <v>226</v>
      </c>
      <c r="C120" s="67" t="n">
        <v>80</v>
      </c>
      <c r="D120" s="67" t="n">
        <v>88</v>
      </c>
      <c r="F120" s="67" t="s">
        <v>1187</v>
      </c>
    </row>
    <row r="121" customFormat="false" ht="11.25" hidden="false" customHeight="false" outlineLevel="0" collapsed="false">
      <c r="A121" s="67" t="n">
        <v>3</v>
      </c>
      <c r="B121" s="67" t="n">
        <v>12</v>
      </c>
      <c r="C121" s="67" t="n">
        <v>30</v>
      </c>
      <c r="D121" s="67" t="n">
        <v>200</v>
      </c>
      <c r="F121" s="67" t="s">
        <v>1202</v>
      </c>
    </row>
    <row r="122" customFormat="false" ht="11.25" hidden="false" customHeight="false" outlineLevel="0" collapsed="false">
      <c r="A122" s="67" t="n">
        <v>3</v>
      </c>
      <c r="B122" s="67" t="n">
        <v>12</v>
      </c>
      <c r="C122" s="67" t="n">
        <v>5</v>
      </c>
      <c r="D122" s="67" t="n">
        <v>300</v>
      </c>
      <c r="F122" s="67" t="s">
        <v>1203</v>
      </c>
    </row>
    <row r="126" customFormat="false" ht="11.25" hidden="false" customHeight="false" outlineLevel="0" collapsed="false">
      <c r="A126" s="67" t="s">
        <v>1170</v>
      </c>
    </row>
    <row r="127" customFormat="false" ht="11.25" hidden="false" customHeight="false" outlineLevel="0" collapsed="false">
      <c r="A127" s="67" t="e">
        <f aca="false">#NAME!()</f>
        <v>#NAME?</v>
      </c>
    </row>
    <row r="128" customFormat="false" ht="11.25" hidden="false" customHeight="false" outlineLevel="0" collapsed="false">
      <c r="A128" s="67" t="e">
        <f aca="false">IF(A127=FALSE(),#NAME!())</f>
        <v>#NAME?</v>
      </c>
    </row>
    <row r="129" customFormat="false" ht="11.25" hidden="false" customHeight="false" outlineLevel="0" collapsed="false">
      <c r="A129" s="67" t="e">
        <f aca="false">#NAME!()</f>
        <v>#NAME?</v>
      </c>
    </row>
    <row r="130" customFormat="false" ht="11.25" hidden="false" customHeight="false" outlineLevel="0" collapsed="false">
      <c r="A130" s="67" t="e">
        <f aca="false">IF(CFMODEL!$A$636,#NAME!(),IF(A127=3,CFMODEL!$A$600,IF(#NAME!(),A127=4,IF(CFMODEL!$A$621,#NAME!(),#NAME!()))))</f>
        <v>#VALUE!</v>
      </c>
    </row>
    <row r="131" customFormat="false" ht="11.25" hidden="false" customHeight="false" outlineLevel="0" collapsed="false">
      <c r="A131" s="67" t="e">
        <f aca="false">#NAME!()</f>
        <v>#NAME?</v>
      </c>
    </row>
    <row r="136" customFormat="false" ht="11.25" hidden="false" customHeight="false" outlineLevel="0" collapsed="false">
      <c r="A136" s="67" t="s">
        <v>1204</v>
      </c>
    </row>
    <row r="137" customFormat="false" ht="11.25" hidden="false" customHeight="false" outlineLevel="0" collapsed="false">
      <c r="D137" s="67" t="n">
        <v>320</v>
      </c>
      <c r="E137" s="67" t="n">
        <v>100</v>
      </c>
      <c r="F137" s="67" t="s">
        <v>1205</v>
      </c>
    </row>
    <row r="138" customFormat="false" ht="11.25" hidden="false" customHeight="false" outlineLevel="0" collapsed="false">
      <c r="A138" s="67" t="n">
        <v>3</v>
      </c>
      <c r="B138" s="67" t="n">
        <v>14</v>
      </c>
      <c r="C138" s="67" t="n">
        <v>10</v>
      </c>
      <c r="D138" s="67" t="n">
        <v>136</v>
      </c>
      <c r="F138" s="67" t="s">
        <v>1206</v>
      </c>
    </row>
    <row r="139" customFormat="false" ht="11.25" hidden="false" customHeight="false" outlineLevel="0" collapsed="false">
      <c r="A139" s="67" t="n">
        <v>3</v>
      </c>
      <c r="B139" s="67" t="n">
        <v>14</v>
      </c>
      <c r="C139" s="67" t="n">
        <v>40</v>
      </c>
      <c r="D139" s="67" t="n">
        <v>136</v>
      </c>
      <c r="F139" s="67" t="s">
        <v>1207</v>
      </c>
    </row>
    <row r="140" customFormat="false" ht="11.25" hidden="false" customHeight="false" outlineLevel="0" collapsed="false">
      <c r="A140" s="67" t="n">
        <v>1</v>
      </c>
      <c r="B140" s="67" t="n">
        <v>170</v>
      </c>
      <c r="C140" s="67" t="n">
        <v>10</v>
      </c>
      <c r="D140" s="67" t="n">
        <v>136</v>
      </c>
      <c r="F140" s="67" t="s">
        <v>1208</v>
      </c>
    </row>
    <row r="141" customFormat="false" ht="11.25" hidden="false" customHeight="false" outlineLevel="0" collapsed="false">
      <c r="A141" s="67" t="n">
        <v>3</v>
      </c>
      <c r="B141" s="67" t="n">
        <v>170</v>
      </c>
      <c r="C141" s="67" t="n">
        <v>40</v>
      </c>
      <c r="D141" s="67" t="n">
        <v>136</v>
      </c>
      <c r="F141" s="67" t="s">
        <v>1209</v>
      </c>
    </row>
    <row r="142" customFormat="false" ht="11.25" hidden="false" customHeight="false" outlineLevel="0" collapsed="false">
      <c r="A142" s="67" t="n">
        <v>2</v>
      </c>
      <c r="B142" s="67" t="n">
        <v>120</v>
      </c>
      <c r="C142" s="67" t="n">
        <v>70</v>
      </c>
      <c r="D142" s="67" t="n">
        <v>88</v>
      </c>
      <c r="F142" s="67" t="s">
        <v>1187</v>
      </c>
    </row>
    <row r="143" customFormat="false" ht="11.25" hidden="false" customHeight="false" outlineLevel="0" collapsed="false">
      <c r="A143" s="67" t="n">
        <v>5</v>
      </c>
      <c r="B143" s="67" t="n">
        <v>85</v>
      </c>
      <c r="C143" s="67" t="n">
        <v>14</v>
      </c>
    </row>
    <row r="146" customFormat="false" ht="11.25" hidden="false" customHeight="false" outlineLevel="0" collapsed="false">
      <c r="A146" s="67" t="s">
        <v>1173</v>
      </c>
    </row>
    <row r="147" customFormat="false" ht="11.25" hidden="false" customHeight="false" outlineLevel="0" collapsed="false">
      <c r="A147" s="67" t="e">
        <f aca="false">#NAME!()</f>
        <v>#NAME?</v>
      </c>
    </row>
    <row r="148" customFormat="false" ht="11.25" hidden="false" customHeight="false" outlineLevel="0" collapsed="false">
      <c r="A148" s="67" t="e">
        <f aca="false">IF(A147=FALSE(),#NAME!())</f>
        <v>#NAME?</v>
      </c>
    </row>
    <row r="149" customFormat="false" ht="11.25" hidden="false" customHeight="false" outlineLevel="0" collapsed="false">
      <c r="A149" s="67" t="e">
        <f aca="false">#NAME!()</f>
        <v>#NAME?</v>
      </c>
    </row>
    <row r="150" customFormat="false" ht="11.25" hidden="false" customHeight="false" outlineLevel="0" collapsed="false">
      <c r="A150" s="67" t="e">
        <f aca="false">IF(CFMODEL!$A$439,#NAME!(),IF(A147=3,CFMODEL!$A$468,IF(#NAME!(),A147=4,IF(CFMODEL!$A$6,#NAME!(),#NAME!()))))</f>
        <v>#VALUE!</v>
      </c>
    </row>
    <row r="151" customFormat="false" ht="11.25" hidden="false" customHeight="false" outlineLevel="0" collapsed="false">
      <c r="A151" s="67" t="e">
        <f aca="false">#NAME!()</f>
        <v>#NAME?</v>
      </c>
    </row>
    <row r="155" customFormat="false" ht="11.25" hidden="false" customHeight="false" outlineLevel="0" collapsed="false">
      <c r="A155" s="67" t="s">
        <v>1210</v>
      </c>
    </row>
    <row r="156" customFormat="false" ht="11.25" hidden="false" customHeight="false" outlineLevel="0" collapsed="false">
      <c r="D156" s="67" t="n">
        <v>320</v>
      </c>
      <c r="E156" s="67" t="n">
        <v>100</v>
      </c>
      <c r="F156" s="67" t="s">
        <v>1211</v>
      </c>
    </row>
    <row r="157" customFormat="false" ht="11.25" hidden="false" customHeight="false" outlineLevel="0" collapsed="false">
      <c r="A157" s="67" t="n">
        <v>3</v>
      </c>
      <c r="B157" s="67" t="n">
        <v>14</v>
      </c>
      <c r="C157" s="67" t="n">
        <v>10</v>
      </c>
      <c r="D157" s="67" t="n">
        <v>136</v>
      </c>
      <c r="F157" s="67" t="s">
        <v>1212</v>
      </c>
    </row>
    <row r="158" customFormat="false" ht="11.25" hidden="false" customHeight="false" outlineLevel="0" collapsed="false">
      <c r="A158" s="67" t="n">
        <v>3</v>
      </c>
      <c r="B158" s="67" t="n">
        <v>14</v>
      </c>
      <c r="C158" s="67" t="n">
        <v>40</v>
      </c>
      <c r="D158" s="67" t="n">
        <v>136</v>
      </c>
      <c r="F158" s="67" t="s">
        <v>1213</v>
      </c>
    </row>
    <row r="159" customFormat="false" ht="11.25" hidden="false" customHeight="false" outlineLevel="0" collapsed="false">
      <c r="A159" s="67" t="n">
        <v>3</v>
      </c>
      <c r="B159" s="67" t="n">
        <v>170</v>
      </c>
      <c r="C159" s="67" t="n">
        <v>10</v>
      </c>
      <c r="D159" s="67" t="n">
        <v>136</v>
      </c>
      <c r="F159" s="67" t="s">
        <v>1214</v>
      </c>
    </row>
    <row r="160" customFormat="false" ht="11.25" hidden="false" customHeight="false" outlineLevel="0" collapsed="false">
      <c r="A160" s="67" t="n">
        <v>3</v>
      </c>
      <c r="B160" s="67" t="n">
        <v>170</v>
      </c>
      <c r="C160" s="67" t="n">
        <v>40</v>
      </c>
      <c r="D160" s="67" t="n">
        <v>136</v>
      </c>
      <c r="F160" s="67" t="s">
        <v>1215</v>
      </c>
    </row>
    <row r="161" customFormat="false" ht="11.25" hidden="false" customHeight="false" outlineLevel="0" collapsed="false">
      <c r="A161" s="67" t="n">
        <v>2</v>
      </c>
      <c r="B161" s="67" t="n">
        <v>120</v>
      </c>
      <c r="C161" s="67" t="n">
        <v>70</v>
      </c>
      <c r="D161" s="67" t="n">
        <v>88</v>
      </c>
      <c r="F161" s="67" t="s">
        <v>1187</v>
      </c>
    </row>
    <row r="162" customFormat="false" ht="11.25" hidden="false" customHeight="false" outlineLevel="0" collapsed="false">
      <c r="A162" s="67" t="n">
        <v>5</v>
      </c>
      <c r="B162" s="67" t="n">
        <v>85</v>
      </c>
      <c r="C162" s="67" t="n">
        <v>14</v>
      </c>
    </row>
    <row r="165" customFormat="false" ht="11.25" hidden="false" customHeight="false" outlineLevel="0" collapsed="false">
      <c r="A165" s="67" t="s">
        <v>369</v>
      </c>
    </row>
    <row r="166" customFormat="false" ht="11.25" hidden="false" customHeight="false" outlineLevel="0" collapsed="false">
      <c r="A166" s="67" t="e">
        <f aca="false">#NAME!()</f>
        <v>#NAME?</v>
      </c>
    </row>
    <row r="167" customFormat="false" ht="11.25" hidden="false" customHeight="false" outlineLevel="0" collapsed="false">
      <c r="A167" s="67" t="e">
        <f aca="false">IF(A166=FALSE(),#NAME!())</f>
        <v>#NAME?</v>
      </c>
    </row>
    <row r="168" customFormat="false" ht="11.25" hidden="false" customHeight="false" outlineLevel="0" collapsed="false">
      <c r="A168" s="67" t="e">
        <f aca="false">#NAME!()</f>
        <v>#NAME?</v>
      </c>
    </row>
    <row r="169" customFormat="false" ht="11.25" hidden="false" customHeight="false" outlineLevel="0" collapsed="false">
      <c r="A169" s="67" t="e">
        <f aca="false">IF(CFMODEL!$A$551,#NAME!(),IF(A166=3,CFMODEL!A6:S61,IF(#NAME!(),A166=4,IF(CFMODEL!$A$6,#NAME!(),#NAME!()))))</f>
        <v>#VALUE!</v>
      </c>
    </row>
    <row r="170" customFormat="false" ht="11.25" hidden="false" customHeight="false" outlineLevel="0" collapsed="false">
      <c r="A170" s="67" t="e">
        <f aca="false">#NAME!()</f>
        <v>#NAME?</v>
      </c>
    </row>
    <row r="174" customFormat="false" ht="11.25" hidden="false" customHeight="false" outlineLevel="0" collapsed="false">
      <c r="A174" s="67" t="s">
        <v>1216</v>
      </c>
    </row>
    <row r="175" customFormat="false" ht="11.25" hidden="false" customHeight="false" outlineLevel="0" collapsed="false">
      <c r="D175" s="67" t="n">
        <v>320</v>
      </c>
      <c r="E175" s="67" t="n">
        <v>100</v>
      </c>
      <c r="F175" s="67" t="s">
        <v>1217</v>
      </c>
    </row>
    <row r="176" customFormat="false" ht="11.25" hidden="false" customHeight="false" outlineLevel="0" collapsed="false">
      <c r="A176" s="67" t="n">
        <v>3</v>
      </c>
      <c r="B176" s="67" t="n">
        <v>10</v>
      </c>
      <c r="C176" s="67" t="n">
        <v>10</v>
      </c>
      <c r="D176" s="67" t="n">
        <v>140</v>
      </c>
      <c r="F176" s="67" t="s">
        <v>1218</v>
      </c>
    </row>
    <row r="177" customFormat="false" ht="11.25" hidden="false" customHeight="false" outlineLevel="0" collapsed="false">
      <c r="A177" s="67" t="n">
        <v>3</v>
      </c>
      <c r="B177" s="67" t="n">
        <v>10</v>
      </c>
      <c r="C177" s="67" t="n">
        <v>40</v>
      </c>
      <c r="D177" s="67" t="n">
        <v>140</v>
      </c>
      <c r="F177" s="67" t="s">
        <v>1219</v>
      </c>
    </row>
    <row r="178" customFormat="false" ht="11.25" hidden="false" customHeight="false" outlineLevel="0" collapsed="false">
      <c r="A178" s="67" t="n">
        <v>3</v>
      </c>
      <c r="B178" s="67" t="n">
        <v>170</v>
      </c>
      <c r="C178" s="67" t="n">
        <v>10</v>
      </c>
      <c r="D178" s="67" t="n">
        <v>140</v>
      </c>
      <c r="F178" s="67" t="s">
        <v>1215</v>
      </c>
    </row>
    <row r="179" customFormat="false" ht="11.25" hidden="false" customHeight="false" outlineLevel="0" collapsed="false">
      <c r="A179" s="67" t="n">
        <v>3</v>
      </c>
      <c r="B179" s="67" t="n">
        <v>170</v>
      </c>
      <c r="C179" s="67" t="n">
        <v>40</v>
      </c>
      <c r="D179" s="67" t="n">
        <v>140</v>
      </c>
      <c r="F179" s="67" t="s">
        <v>1215</v>
      </c>
    </row>
    <row r="180" customFormat="false" ht="11.25" hidden="false" customHeight="false" outlineLevel="0" collapsed="false">
      <c r="A180" s="67" t="n">
        <v>2</v>
      </c>
      <c r="B180" s="67" t="n">
        <v>120</v>
      </c>
      <c r="C180" s="67" t="n">
        <v>70</v>
      </c>
      <c r="D180" s="67" t="n">
        <v>88</v>
      </c>
      <c r="F180" s="67" t="s">
        <v>1187</v>
      </c>
    </row>
    <row r="181" customFormat="false" ht="11.25" hidden="false" customHeight="false" outlineLevel="0" collapsed="false">
      <c r="A181" s="67" t="n">
        <v>5</v>
      </c>
      <c r="B181" s="67" t="n">
        <v>85</v>
      </c>
      <c r="C181" s="67" t="n">
        <v>14</v>
      </c>
    </row>
    <row r="187" customFormat="false" ht="12.75" hidden="false" customHeight="false" outlineLevel="0" collapsed="false">
      <c r="A187" s="67" t="s">
        <v>1220</v>
      </c>
      <c r="C187" s="67" t="s">
        <v>1221</v>
      </c>
      <c r="E187" s="67" t="s">
        <v>1222</v>
      </c>
      <c r="G187" s="67" t="s">
        <v>1223</v>
      </c>
      <c r="I187" s="630" t="s">
        <v>1224</v>
      </c>
    </row>
    <row r="188" customFormat="false" ht="11.25" hidden="false" customHeight="false" outlineLevel="0" collapsed="false">
      <c r="A188" s="67" t="e">
        <f aca="false">#NAME!()</f>
        <v>#NAME?</v>
      </c>
      <c r="C188" s="67" t="e">
        <f aca="false">#NAME!()</f>
        <v>#NAME?</v>
      </c>
      <c r="E188" s="67" t="e">
        <f aca="false">#NAME!()</f>
        <v>#NAME?</v>
      </c>
      <c r="G188" s="67" t="e">
        <f aca="false">#NAME!()</f>
        <v>#NAME?</v>
      </c>
      <c r="I188" s="67" t="e">
        <f aca="false">#NAME!()</f>
        <v>#NAME?</v>
      </c>
    </row>
    <row r="189" customFormat="false" ht="11.25" hidden="false" customHeight="false" outlineLevel="0" collapsed="false">
      <c r="A189" s="67" t="e">
        <f aca="false">IF(A188=FALSE(),#NAME!())</f>
        <v>#NAME?</v>
      </c>
      <c r="C189" s="67" t="e">
        <f aca="false">IF(C188=FALSE(),#NAME!())</f>
        <v>#NAME?</v>
      </c>
      <c r="E189" s="67" t="e">
        <f aca="false">IF(E188=FALSE(),#NAME!())</f>
        <v>#NAME?</v>
      </c>
      <c r="G189" s="67" t="e">
        <f aca="false">IF(G188=FALSE(),#NAME!())</f>
        <v>#NAME?</v>
      </c>
      <c r="I189" s="67" t="e">
        <f aca="false">#NAME!()</f>
        <v>#NAME?</v>
      </c>
    </row>
    <row r="190" customFormat="false" ht="11.25" hidden="false" customHeight="false" outlineLevel="0" collapsed="false">
      <c r="A190" s="67" t="e">
        <f aca="false">#NAME!()</f>
        <v>#NAME?</v>
      </c>
      <c r="C190" s="67" t="e">
        <f aca="false">#NAME!()</f>
        <v>#NAME?</v>
      </c>
      <c r="E190" s="67" t="e">
        <f aca="false">#NAME!()</f>
        <v>#NAME?</v>
      </c>
      <c r="G190" s="67" t="e">
        <f aca="false">#NAME!()</f>
        <v>#NAME?</v>
      </c>
      <c r="I190" s="67" t="e">
        <f aca="false">#NAME!()</f>
        <v>#NAME?</v>
      </c>
    </row>
    <row r="191" customFormat="false" ht="11.25" hidden="false" customHeight="false" outlineLevel="0" collapsed="false">
      <c r="A191" s="67" t="e">
        <f aca="false">#NAME!()</f>
        <v>#NAME?</v>
      </c>
      <c r="C191" s="67" t="e">
        <f aca="false">IF(CFMODEL!A6:S61,#NAME!())</f>
        <v>#VALUE!</v>
      </c>
      <c r="E191" s="67" t="e">
        <f aca="false">IF(CFMODEL!A783:S884,#NAME!())</f>
        <v>#VALUE!</v>
      </c>
      <c r="G191" s="67" t="e">
        <f aca="false">IF(#REF!,#NAME!())</f>
        <v>#REF!</v>
      </c>
      <c r="I191" s="67" t="e">
        <f aca="false">#NAME!()</f>
        <v>#NAME?</v>
      </c>
    </row>
    <row r="192" customFormat="false" ht="11.25" hidden="false" customHeight="false" outlineLevel="0" collapsed="false">
      <c r="A192" s="67" t="e">
        <f aca="false">#NAME!()</f>
        <v>#NAME?</v>
      </c>
      <c r="C192" s="67" t="e">
        <f aca="false">IF(CFMODEL!A67:S112,#NAME!())</f>
        <v>#VALUE!</v>
      </c>
      <c r="E192" s="67" t="e">
        <f aca="false">IF(CFMODEL!A888:S932,#NAME!())</f>
        <v>#VALUE!</v>
      </c>
      <c r="G192" s="67" t="e">
        <f aca="false">IF(CFMODEL!A321:S349,#NAME!())</f>
        <v>#VALUE!</v>
      </c>
      <c r="I192" s="67" t="e">
        <f aca="false">#NAME!()</f>
        <v>#NAME?</v>
      </c>
    </row>
    <row r="193" customFormat="false" ht="11.25" hidden="false" customHeight="false" outlineLevel="0" collapsed="false">
      <c r="A193" s="67" t="e">
        <f aca="false">#NAME!()</f>
        <v>#NAME?</v>
      </c>
      <c r="C193" s="67" t="e">
        <f aca="false">IF(CFMODEL!A116:S170,#NAME!())</f>
        <v>#VALUE!</v>
      </c>
      <c r="E193" s="67" t="e">
        <f aca="false">IF(CFMODEL!A449:S932,#NAME!())</f>
        <v>#VALUE!</v>
      </c>
      <c r="G193" s="67" t="e">
        <f aca="false">IF(CFMODEL!A478:S547,#NAME!())</f>
        <v>#VALUE!</v>
      </c>
      <c r="I193" s="67" t="e">
        <f aca="false">#NAME!()</f>
        <v>#NAME?</v>
      </c>
    </row>
    <row r="194" customFormat="false" ht="11.25" hidden="false" customHeight="false" outlineLevel="0" collapsed="false">
      <c r="A194" s="67" t="e">
        <f aca="false">IF(A188=3,#REF!,IF(#NAME!(),A188=5,IF(CFMODEL!A378:S749,#NAME!())))</f>
        <v>#NAME?</v>
      </c>
      <c r="C194" s="67" t="n">
        <f aca="false">IF(CFMODEL!A171:S219,#NAME!())</f>
        <v>0</v>
      </c>
      <c r="E194" s="67" t="e">
        <f aca="false">IF(CFMODEL!A6:S66,#NAME!())</f>
        <v>#VALUE!</v>
      </c>
      <c r="G194" s="67" t="e">
        <f aca="false">IF(CFMODEL!A550:S576,#NAME!())</f>
        <v>#VALUE!</v>
      </c>
      <c r="I194" s="67" t="e">
        <f aca="false">#NAME!()</f>
        <v>#NAME?</v>
      </c>
    </row>
    <row r="195" customFormat="false" ht="11.25" hidden="false" customHeight="false" outlineLevel="0" collapsed="false">
      <c r="A195" s="67" t="e">
        <f aca="false">IF(A198,#NAME!())</f>
        <v>#VALUE!</v>
      </c>
      <c r="C195" s="67" t="e">
        <f aca="false">IF(CFMODEL!A387:S435,#NAME!())</f>
        <v>#VALUE!</v>
      </c>
      <c r="E195" s="67" t="e">
        <f aca="false">IF(CFMODEL!A1023:S1059,#NAME!())</f>
        <v>#VALUE!</v>
      </c>
      <c r="G195" s="67" t="n">
        <f aca="false">IF(CFMODEL!A599:S599,#NAME!())</f>
        <v>0</v>
      </c>
      <c r="I195" s="67" t="e">
        <f aca="false">#NAME!()</f>
        <v>#NAME?</v>
      </c>
    </row>
    <row r="196" customFormat="false" ht="11.25" hidden="false" customHeight="false" outlineLevel="0" collapsed="false">
      <c r="A196" s="67" t="e">
        <f aca="false">#NAME!()</f>
        <v>#NAME?</v>
      </c>
      <c r="C196" s="67" t="e">
        <f aca="false">IF(CFMODEL!A222:S272,#NAME!())</f>
        <v>#VALUE!</v>
      </c>
      <c r="E196" s="67" t="e">
        <f aca="false">IF(CFMODEL!A6:S66,#NAME!())</f>
        <v>#VALUE!</v>
      </c>
      <c r="G196" s="67" t="e">
        <f aca="false">IF(CFMODEL!A468:S474,#NAME!())</f>
        <v>#VALUE!</v>
      </c>
      <c r="I196" s="67" t="e">
        <f aca="false">#NAME!()</f>
        <v>#NAME?</v>
      </c>
    </row>
    <row r="197" customFormat="false" ht="11.25" hidden="false" customHeight="false" outlineLevel="0" collapsed="false">
      <c r="A197" s="67" t="e">
        <f aca="false">#NAME!()</f>
        <v>#NAME?</v>
      </c>
      <c r="C197" s="67" t="e">
        <f aca="false">IF(CFMODEL!A274:S387,#NAME!())</f>
        <v>#VALUE!</v>
      </c>
      <c r="E197" s="67" t="e">
        <f aca="false">IF(CFMODEL!A6:S66,#NAME!())</f>
        <v>#VALUE!</v>
      </c>
      <c r="G197" s="67" t="e">
        <f aca="false">IF(CFMODEL!A636:S649,#NAME!())</f>
        <v>#VALUE!</v>
      </c>
      <c r="I197" s="67" t="e">
        <f aca="false">#NAME!()</f>
        <v>#NAME?</v>
      </c>
    </row>
    <row r="198" customFormat="false" ht="11.25" hidden="false" customHeight="false" outlineLevel="0" collapsed="false">
      <c r="A198" s="67" t="e">
        <f aca="false">IF(C187,#NAME!())</f>
        <v>#VALUE!</v>
      </c>
      <c r="C198" s="67" t="e">
        <f aca="false">#NAME!()</f>
        <v>#NAME?</v>
      </c>
      <c r="E198" s="67" t="e">
        <f aca="false">#NAME!()</f>
        <v>#NAME?</v>
      </c>
      <c r="G198" s="67" t="e">
        <f aca="false">IF(#REF!,#NAME!())</f>
        <v>#REF!</v>
      </c>
      <c r="I198" s="67" t="e">
        <f aca="false">#NAME!()</f>
        <v>#NAME?</v>
      </c>
    </row>
    <row r="199" customFormat="false" ht="11.25" hidden="false" customHeight="false" outlineLevel="0" collapsed="false">
      <c r="A199" s="67" t="e">
        <f aca="false">IF(E187,#NAME!())</f>
        <v>#VALUE!</v>
      </c>
      <c r="C199" s="67" t="e">
        <f aca="false">#NAME!()</f>
        <v>#NAME?</v>
      </c>
      <c r="E199" s="67" t="e">
        <f aca="false">#NAME!()</f>
        <v>#NAME?</v>
      </c>
      <c r="G199" s="67" t="e">
        <f aca="false">IF(CFMODEL!A6:S66,#NAME!())</f>
        <v>#VALUE!</v>
      </c>
      <c r="I199" s="67" t="e">
        <f aca="false">#NAME!()</f>
        <v>#NAME?</v>
      </c>
    </row>
    <row r="200" customFormat="false" ht="11.25" hidden="false" customHeight="false" outlineLevel="0" collapsed="false">
      <c r="A200" s="67" t="e">
        <f aca="false">IF(I187,#NAME!())</f>
        <v>#VALUE!</v>
      </c>
      <c r="C200" s="67" t="e">
        <f aca="false">#NAME!()</f>
        <v>#NAME?</v>
      </c>
      <c r="E200" s="67" t="e">
        <f aca="false">#NAME!()</f>
        <v>#NAME?</v>
      </c>
      <c r="G200" s="67" t="e">
        <f aca="false">#NAME!()</f>
        <v>#NAME?</v>
      </c>
      <c r="I200" s="67" t="e">
        <f aca="false">#NAME!()</f>
        <v>#NAME?</v>
      </c>
    </row>
    <row r="201" customFormat="false" ht="11.25" hidden="false" customHeight="false" outlineLevel="0" collapsed="false">
      <c r="A201" s="67" t="e">
        <f aca="false">IF(G187,#NAME!())</f>
        <v>#VALUE!</v>
      </c>
      <c r="G201" s="67" t="e">
        <f aca="false">#NAME!()</f>
        <v>#NAME?</v>
      </c>
      <c r="I201" s="67" t="e">
        <f aca="false">#NAME!()</f>
        <v>#NAME?</v>
      </c>
    </row>
    <row r="202" customFormat="false" ht="11.25" hidden="false" customHeight="false" outlineLevel="0" collapsed="false">
      <c r="A202" s="67" t="e">
        <f aca="false">#NAME!()</f>
        <v>#NAME?</v>
      </c>
      <c r="B202" s="80"/>
      <c r="C202" s="80"/>
      <c r="D202" s="80"/>
      <c r="E202" s="80"/>
      <c r="G202" s="67" t="e">
        <f aca="false">#NAME!()</f>
        <v>#NAME?</v>
      </c>
      <c r="I202" s="67" t="e">
        <f aca="false">#NAME!()</f>
        <v>#NAME?</v>
      </c>
    </row>
    <row r="203" customFormat="false" ht="11.25" hidden="false" customHeight="false" outlineLevel="0" collapsed="false">
      <c r="I203" s="67" t="e">
        <f aca="false">#NAME!()</f>
        <v>#NAME?</v>
      </c>
    </row>
    <row r="204" customFormat="false" ht="11.25" hidden="false" customHeight="false" outlineLevel="0" collapsed="false">
      <c r="A204" s="67" t="s">
        <v>1225</v>
      </c>
      <c r="B204" s="80"/>
      <c r="C204" s="80"/>
      <c r="D204" s="80"/>
      <c r="E204" s="80"/>
    </row>
    <row r="205" customFormat="false" ht="11.25" hidden="false" customHeight="false" outlineLevel="0" collapsed="false">
      <c r="B205" s="80" t="n">
        <v>160</v>
      </c>
      <c r="C205" s="80" t="n">
        <v>25</v>
      </c>
      <c r="D205" s="80" t="n">
        <v>280</v>
      </c>
      <c r="E205" s="80" t="n">
        <v>250</v>
      </c>
      <c r="F205" s="67" t="s">
        <v>1226</v>
      </c>
    </row>
    <row r="206" customFormat="false" ht="11.25" hidden="false" customHeight="false" outlineLevel="0" collapsed="false">
      <c r="A206" s="67" t="n">
        <v>4</v>
      </c>
      <c r="B206" s="67" t="n">
        <v>86</v>
      </c>
      <c r="C206" s="67" t="n">
        <v>220</v>
      </c>
      <c r="D206" s="67" t="n">
        <v>88</v>
      </c>
      <c r="F206" s="67" t="s">
        <v>1162</v>
      </c>
      <c r="G206" s="67" t="n">
        <v>1</v>
      </c>
    </row>
    <row r="207" customFormat="false" ht="11.25" hidden="false" customHeight="false" outlineLevel="0" collapsed="false">
      <c r="A207" s="67" t="n">
        <v>3</v>
      </c>
      <c r="B207" s="67" t="n">
        <v>17.5</v>
      </c>
      <c r="C207" s="67" t="n">
        <v>10</v>
      </c>
      <c r="D207" s="67" t="n">
        <v>235</v>
      </c>
      <c r="F207" s="67" t="s">
        <v>1227</v>
      </c>
      <c r="G207" s="67" t="n">
        <v>2</v>
      </c>
    </row>
    <row r="208" customFormat="false" ht="11.25" hidden="false" customHeight="false" outlineLevel="0" collapsed="false">
      <c r="A208" s="67" t="n">
        <v>3</v>
      </c>
      <c r="B208" s="67" t="n">
        <v>17.5</v>
      </c>
      <c r="C208" s="67" t="n">
        <v>40</v>
      </c>
      <c r="D208" s="67" t="n">
        <v>235</v>
      </c>
      <c r="F208" s="67" t="s">
        <v>1228</v>
      </c>
      <c r="G208" s="67" t="n">
        <v>3</v>
      </c>
    </row>
    <row r="209" customFormat="false" ht="11.25" hidden="false" customHeight="false" outlineLevel="0" collapsed="false">
      <c r="A209" s="67" t="n">
        <v>3</v>
      </c>
      <c r="B209" s="67" t="n">
        <v>17.5</v>
      </c>
      <c r="C209" s="67" t="n">
        <v>70</v>
      </c>
      <c r="D209" s="67" t="n">
        <v>235</v>
      </c>
      <c r="F209" s="67" t="s">
        <v>1229</v>
      </c>
      <c r="G209" s="67" t="n">
        <v>4</v>
      </c>
    </row>
    <row r="210" customFormat="false" ht="11.25" hidden="false" customHeight="false" outlineLevel="0" collapsed="false">
      <c r="A210" s="67" t="n">
        <v>3</v>
      </c>
      <c r="B210" s="67" t="n">
        <v>40</v>
      </c>
      <c r="C210" s="67" t="n">
        <v>130</v>
      </c>
      <c r="D210" s="67" t="n">
        <v>180</v>
      </c>
      <c r="F210" s="67" t="s">
        <v>1230</v>
      </c>
      <c r="G210" s="67" t="n">
        <v>5</v>
      </c>
    </row>
    <row r="211" customFormat="false" ht="11.25" hidden="false" customHeight="false" outlineLevel="0" collapsed="false">
      <c r="A211" s="67" t="n">
        <v>3</v>
      </c>
      <c r="B211" s="67" t="n">
        <v>65</v>
      </c>
      <c r="C211" s="67" t="n">
        <v>100</v>
      </c>
      <c r="D211" s="67" t="n">
        <v>140</v>
      </c>
      <c r="F211" s="67" t="s">
        <v>1231</v>
      </c>
      <c r="G211" s="67" t="n">
        <v>6</v>
      </c>
    </row>
    <row r="212" customFormat="false" ht="12.75" hidden="false" customHeight="false" outlineLevel="0" collapsed="false">
      <c r="A212" s="622" t="n">
        <v>3</v>
      </c>
      <c r="B212" s="622" t="n">
        <v>65</v>
      </c>
      <c r="C212" s="622" t="n">
        <v>160</v>
      </c>
      <c r="D212" s="622" t="n">
        <v>140</v>
      </c>
      <c r="E212" s="622"/>
      <c r="F212" s="622" t="s">
        <v>1232</v>
      </c>
      <c r="G212" s="67" t="n">
        <v>7</v>
      </c>
    </row>
    <row r="213" customFormat="false" ht="11.25" hidden="false" customHeight="false" outlineLevel="0" collapsed="false">
      <c r="A213" s="67" t="n">
        <v>3</v>
      </c>
      <c r="B213" s="67" t="n">
        <v>17.5</v>
      </c>
      <c r="C213" s="67" t="n">
        <v>190</v>
      </c>
      <c r="D213" s="67" t="n">
        <v>235</v>
      </c>
      <c r="F213" s="67" t="s">
        <v>1233</v>
      </c>
      <c r="G213" s="67" t="n">
        <v>8</v>
      </c>
    </row>
    <row r="215" customFormat="false" ht="11.25" hidden="false" customHeight="false" outlineLevel="0" collapsed="false">
      <c r="A215" s="67" t="s">
        <v>1234</v>
      </c>
    </row>
    <row r="216" customFormat="false" ht="11.25" hidden="false" customHeight="false" outlineLevel="0" collapsed="false">
      <c r="B216" s="80" t="n">
        <v>160</v>
      </c>
      <c r="C216" s="80" t="n">
        <v>25</v>
      </c>
      <c r="D216" s="80" t="n">
        <v>260</v>
      </c>
      <c r="E216" s="80" t="n">
        <v>250</v>
      </c>
      <c r="F216" s="67" t="s">
        <v>1235</v>
      </c>
    </row>
    <row r="217" customFormat="false" ht="11.25" hidden="false" customHeight="false" outlineLevel="0" collapsed="false">
      <c r="A217" s="67" t="n">
        <v>3</v>
      </c>
      <c r="B217" s="67" t="n">
        <v>17.5</v>
      </c>
      <c r="C217" s="67" t="n">
        <v>10</v>
      </c>
      <c r="D217" s="67" t="n">
        <v>225</v>
      </c>
      <c r="F217" s="67" t="s">
        <v>1236</v>
      </c>
    </row>
    <row r="218" customFormat="false" ht="11.25" hidden="false" customHeight="false" outlineLevel="0" collapsed="false">
      <c r="A218" s="67" t="n">
        <v>3</v>
      </c>
      <c r="B218" s="67" t="n">
        <v>17.5</v>
      </c>
      <c r="C218" s="67" t="n">
        <v>40</v>
      </c>
      <c r="D218" s="67" t="n">
        <v>225</v>
      </c>
      <c r="F218" s="67" t="s">
        <v>1237</v>
      </c>
    </row>
    <row r="219" customFormat="false" ht="11.25" hidden="false" customHeight="false" outlineLevel="0" collapsed="false">
      <c r="A219" s="67" t="n">
        <v>3</v>
      </c>
      <c r="B219" s="67" t="n">
        <v>17.5</v>
      </c>
      <c r="C219" s="67" t="n">
        <v>70</v>
      </c>
      <c r="D219" s="67" t="n">
        <v>225</v>
      </c>
      <c r="F219" s="67" t="s">
        <v>1238</v>
      </c>
    </row>
    <row r="220" customFormat="false" ht="11.25" hidden="false" customHeight="false" outlineLevel="0" collapsed="false">
      <c r="A220" s="67" t="n">
        <v>3</v>
      </c>
      <c r="B220" s="67" t="n">
        <v>17.5</v>
      </c>
      <c r="C220" s="67" t="n">
        <v>100</v>
      </c>
      <c r="D220" s="67" t="n">
        <v>225</v>
      </c>
      <c r="F220" s="67" t="s">
        <v>1239</v>
      </c>
    </row>
    <row r="221" customFormat="false" ht="11.25" hidden="false" customHeight="false" outlineLevel="0" collapsed="false">
      <c r="A221" s="67" t="n">
        <v>3</v>
      </c>
      <c r="B221" s="67" t="n">
        <v>17.5</v>
      </c>
      <c r="C221" s="67" t="n">
        <v>130</v>
      </c>
      <c r="D221" s="67" t="n">
        <v>225</v>
      </c>
      <c r="F221" s="67" t="s">
        <v>1240</v>
      </c>
    </row>
    <row r="222" customFormat="false" ht="11.25" hidden="false" customHeight="false" outlineLevel="0" collapsed="false">
      <c r="A222" s="67" t="n">
        <v>3</v>
      </c>
      <c r="B222" s="67" t="n">
        <v>17.5</v>
      </c>
      <c r="C222" s="67" t="n">
        <v>160</v>
      </c>
      <c r="D222" s="67" t="n">
        <v>225</v>
      </c>
      <c r="F222" s="67" t="s">
        <v>1241</v>
      </c>
    </row>
    <row r="223" customFormat="false" ht="11.25" hidden="false" customHeight="false" outlineLevel="0" collapsed="false">
      <c r="A223" s="67" t="n">
        <v>3</v>
      </c>
      <c r="B223" s="67" t="n">
        <v>17.5</v>
      </c>
      <c r="C223" s="67" t="n">
        <v>190</v>
      </c>
      <c r="D223" s="67" t="n">
        <v>225</v>
      </c>
      <c r="F223" s="67" t="s">
        <v>1242</v>
      </c>
    </row>
    <row r="224" customFormat="false" ht="11.25" hidden="false" customHeight="false" outlineLevel="0" collapsed="false">
      <c r="A224" s="67" t="n">
        <v>4</v>
      </c>
      <c r="B224" s="67" t="n">
        <v>86</v>
      </c>
      <c r="C224" s="67" t="n">
        <v>220</v>
      </c>
      <c r="D224" s="67" t="n">
        <v>88</v>
      </c>
      <c r="F224" s="67" t="s">
        <v>1162</v>
      </c>
    </row>
    <row r="226" customFormat="false" ht="11.25" hidden="false" customHeight="false" outlineLevel="0" collapsed="false">
      <c r="A226" s="67" t="s">
        <v>1243</v>
      </c>
    </row>
    <row r="227" customFormat="false" ht="11.25" hidden="false" customHeight="false" outlineLevel="0" collapsed="false">
      <c r="B227" s="80" t="n">
        <v>160</v>
      </c>
      <c r="C227" s="80" t="n">
        <v>25</v>
      </c>
      <c r="D227" s="80" t="n">
        <v>260</v>
      </c>
      <c r="E227" s="80" t="n">
        <v>250</v>
      </c>
      <c r="F227" s="67" t="s">
        <v>1244</v>
      </c>
    </row>
    <row r="228" customFormat="false" ht="11.25" hidden="false" customHeight="false" outlineLevel="0" collapsed="false">
      <c r="A228" s="67" t="n">
        <v>3</v>
      </c>
      <c r="B228" s="67" t="n">
        <v>17.5</v>
      </c>
      <c r="C228" s="67" t="n">
        <v>10</v>
      </c>
      <c r="D228" s="67" t="n">
        <v>225</v>
      </c>
      <c r="F228" s="67" t="s">
        <v>1245</v>
      </c>
    </row>
    <row r="229" customFormat="false" ht="11.25" hidden="false" customHeight="false" outlineLevel="0" collapsed="false">
      <c r="A229" s="67" t="n">
        <v>3</v>
      </c>
      <c r="B229" s="67" t="n">
        <v>17.5</v>
      </c>
      <c r="C229" s="67" t="n">
        <v>40</v>
      </c>
      <c r="D229" s="67" t="n">
        <v>225</v>
      </c>
      <c r="F229" s="67" t="s">
        <v>1246</v>
      </c>
    </row>
    <row r="230" customFormat="false" ht="11.25" hidden="false" customHeight="false" outlineLevel="0" collapsed="false">
      <c r="A230" s="67" t="n">
        <v>3</v>
      </c>
      <c r="B230" s="67" t="n">
        <v>17.5</v>
      </c>
      <c r="C230" s="67" t="n">
        <v>70</v>
      </c>
      <c r="D230" s="67" t="n">
        <v>225</v>
      </c>
      <c r="F230" s="67" t="s">
        <v>1247</v>
      </c>
    </row>
    <row r="231" customFormat="false" ht="11.25" hidden="false" customHeight="false" outlineLevel="0" collapsed="false">
      <c r="A231" s="67" t="n">
        <v>3</v>
      </c>
      <c r="B231" s="67" t="n">
        <v>17.5</v>
      </c>
      <c r="C231" s="67" t="n">
        <v>100</v>
      </c>
      <c r="D231" s="67" t="n">
        <v>225</v>
      </c>
      <c r="F231" s="67" t="s">
        <v>1236</v>
      </c>
    </row>
    <row r="232" customFormat="false" ht="11.25" hidden="false" customHeight="false" outlineLevel="0" collapsed="false">
      <c r="A232" s="67" t="n">
        <v>3</v>
      </c>
      <c r="B232" s="67" t="n">
        <v>17.5</v>
      </c>
      <c r="C232" s="67" t="n">
        <v>130</v>
      </c>
      <c r="D232" s="67" t="n">
        <v>225</v>
      </c>
      <c r="F232" s="67" t="s">
        <v>1248</v>
      </c>
    </row>
    <row r="233" customFormat="false" ht="12.75" hidden="false" customHeight="false" outlineLevel="0" collapsed="false">
      <c r="A233" s="67" t="n">
        <v>3</v>
      </c>
      <c r="B233" s="67" t="n">
        <v>17.5</v>
      </c>
      <c r="C233" s="67" t="n">
        <v>160</v>
      </c>
      <c r="D233" s="67" t="n">
        <v>225</v>
      </c>
      <c r="F233" s="630" t="s">
        <v>1249</v>
      </c>
    </row>
    <row r="234" customFormat="false" ht="12.75" hidden="false" customHeight="false" outlineLevel="0" collapsed="false">
      <c r="A234" s="67" t="n">
        <v>3</v>
      </c>
      <c r="B234" s="67" t="n">
        <v>17.5</v>
      </c>
      <c r="C234" s="67" t="n">
        <v>190</v>
      </c>
      <c r="D234" s="67" t="n">
        <v>225</v>
      </c>
      <c r="F234" s="630" t="s">
        <v>1249</v>
      </c>
    </row>
    <row r="235" customFormat="false" ht="11.25" hidden="false" customHeight="false" outlineLevel="0" collapsed="false">
      <c r="A235" s="67" t="n">
        <v>4</v>
      </c>
      <c r="B235" s="67" t="n">
        <v>86</v>
      </c>
      <c r="C235" s="67" t="n">
        <v>220</v>
      </c>
      <c r="D235" s="67" t="n">
        <v>88</v>
      </c>
      <c r="F235" s="67" t="s">
        <v>1162</v>
      </c>
    </row>
    <row r="238" customFormat="false" ht="11.25" hidden="false" customHeight="false" outlineLevel="0" collapsed="false">
      <c r="A238" s="67" t="s">
        <v>1250</v>
      </c>
    </row>
    <row r="239" customFormat="false" ht="11.25" hidden="false" customHeight="false" outlineLevel="0" collapsed="false">
      <c r="B239" s="80" t="n">
        <v>160</v>
      </c>
      <c r="C239" s="80" t="n">
        <v>25</v>
      </c>
      <c r="D239" s="80" t="n">
        <v>300</v>
      </c>
      <c r="E239" s="80" t="n">
        <v>310</v>
      </c>
      <c r="F239" s="67" t="s">
        <v>1251</v>
      </c>
    </row>
    <row r="240" customFormat="false" ht="11.25" hidden="false" customHeight="false" outlineLevel="0" collapsed="false">
      <c r="A240" s="67" t="n">
        <v>3</v>
      </c>
      <c r="B240" s="67" t="n">
        <v>30</v>
      </c>
      <c r="C240" s="67" t="n">
        <v>10</v>
      </c>
      <c r="D240" s="67" t="n">
        <v>240</v>
      </c>
      <c r="F240" s="67" t="s">
        <v>1252</v>
      </c>
    </row>
    <row r="241" customFormat="false" ht="11.25" hidden="false" customHeight="false" outlineLevel="0" collapsed="false">
      <c r="A241" s="67" t="n">
        <v>3</v>
      </c>
      <c r="B241" s="67" t="n">
        <v>30</v>
      </c>
      <c r="C241" s="67" t="n">
        <v>40</v>
      </c>
      <c r="D241" s="67" t="n">
        <v>240</v>
      </c>
      <c r="F241" s="67" t="s">
        <v>734</v>
      </c>
    </row>
    <row r="242" customFormat="false" ht="11.25" hidden="false" customHeight="false" outlineLevel="0" collapsed="false">
      <c r="A242" s="67" t="n">
        <v>3</v>
      </c>
      <c r="B242" s="67" t="n">
        <v>30</v>
      </c>
      <c r="C242" s="67" t="n">
        <v>70</v>
      </c>
      <c r="D242" s="67" t="n">
        <v>240</v>
      </c>
      <c r="F242" s="67" t="s">
        <v>1253</v>
      </c>
    </row>
    <row r="243" customFormat="false" ht="11.25" hidden="false" customHeight="false" outlineLevel="0" collapsed="false">
      <c r="A243" s="67" t="n">
        <v>3</v>
      </c>
      <c r="B243" s="67" t="n">
        <v>30</v>
      </c>
      <c r="C243" s="67" t="n">
        <v>100</v>
      </c>
      <c r="D243" s="67" t="n">
        <v>240</v>
      </c>
      <c r="F243" s="67" t="s">
        <v>1254</v>
      </c>
    </row>
    <row r="244" customFormat="false" ht="11.25" hidden="false" customHeight="false" outlineLevel="0" collapsed="false">
      <c r="A244" s="67" t="n">
        <v>3</v>
      </c>
      <c r="B244" s="67" t="n">
        <v>30</v>
      </c>
      <c r="C244" s="67" t="n">
        <v>130</v>
      </c>
      <c r="D244" s="67" t="n">
        <v>240</v>
      </c>
      <c r="F244" s="67" t="s">
        <v>1255</v>
      </c>
    </row>
    <row r="245" customFormat="false" ht="11.25" hidden="false" customHeight="false" outlineLevel="0" collapsed="false">
      <c r="A245" s="67" t="n">
        <v>3</v>
      </c>
      <c r="B245" s="67" t="n">
        <v>30</v>
      </c>
      <c r="C245" s="67" t="n">
        <v>160</v>
      </c>
      <c r="D245" s="67" t="n">
        <v>240</v>
      </c>
      <c r="F245" s="67" t="s">
        <v>1256</v>
      </c>
    </row>
    <row r="246" customFormat="false" ht="11.25" hidden="false" customHeight="false" outlineLevel="0" collapsed="false">
      <c r="A246" s="67" t="n">
        <v>3</v>
      </c>
      <c r="B246" s="67" t="n">
        <v>40</v>
      </c>
      <c r="C246" s="67" t="n">
        <v>190</v>
      </c>
      <c r="D246" s="67" t="n">
        <v>220</v>
      </c>
      <c r="F246" s="67" t="s">
        <v>1257</v>
      </c>
    </row>
    <row r="247" customFormat="false" ht="11.25" hidden="false" customHeight="false" outlineLevel="0" collapsed="false">
      <c r="A247" s="67" t="n">
        <v>3</v>
      </c>
      <c r="B247" s="67" t="n">
        <v>20</v>
      </c>
      <c r="C247" s="67" t="n">
        <v>220</v>
      </c>
      <c r="D247" s="67" t="n">
        <v>260</v>
      </c>
      <c r="F247" s="67" t="s">
        <v>1258</v>
      </c>
    </row>
    <row r="248" customFormat="false" ht="12.75" hidden="false" customHeight="false" outlineLevel="0" collapsed="false">
      <c r="A248" s="67" t="n">
        <v>3</v>
      </c>
      <c r="B248" s="67" t="n">
        <v>20</v>
      </c>
      <c r="C248" s="67" t="n">
        <v>250</v>
      </c>
      <c r="D248" s="67" t="n">
        <v>260</v>
      </c>
      <c r="F248" s="630" t="s">
        <v>1249</v>
      </c>
    </row>
    <row r="249" customFormat="false" ht="11.25" hidden="false" customHeight="false" outlineLevel="0" collapsed="false">
      <c r="A249" s="67" t="n">
        <v>4</v>
      </c>
      <c r="B249" s="67" t="n">
        <v>106</v>
      </c>
      <c r="C249" s="67" t="n">
        <v>280</v>
      </c>
      <c r="D249" s="67" t="n">
        <v>88</v>
      </c>
      <c r="F249" s="67" t="s">
        <v>1162</v>
      </c>
    </row>
    <row r="255" customFormat="false" ht="11.25" hidden="false" customHeight="false" outlineLevel="0" collapsed="false">
      <c r="A255" s="67" t="s">
        <v>1178</v>
      </c>
      <c r="C255" s="67" t="s">
        <v>1259</v>
      </c>
      <c r="D255" s="67" t="s">
        <v>1260</v>
      </c>
      <c r="E255" s="67" t="s">
        <v>1261</v>
      </c>
      <c r="F255" s="67" t="s">
        <v>1262</v>
      </c>
      <c r="G255" s="67" t="s">
        <v>17</v>
      </c>
      <c r="H255" s="67" t="s">
        <v>1263</v>
      </c>
    </row>
    <row r="256" customFormat="false" ht="11.25" hidden="false" customHeight="false" outlineLevel="0" collapsed="false">
      <c r="A256" s="67" t="e">
        <f aca="false">#NAME!()</f>
        <v>#NAME?</v>
      </c>
      <c r="C256" s="67" t="e">
        <f aca="false">#NAME!()</f>
        <v>#NAME?</v>
      </c>
      <c r="D256" s="67" t="e">
        <f aca="false">#NAME!()</f>
        <v>#NAME?</v>
      </c>
      <c r="E256" s="67" t="e">
        <f aca="false">#NAME!()</f>
        <v>#NAME?</v>
      </c>
      <c r="F256" s="67" t="e">
        <f aca="false">#NAME!()</f>
        <v>#NAME?</v>
      </c>
      <c r="G256" s="67" t="e">
        <f aca="false">#NAME!()</f>
        <v>#NAME?</v>
      </c>
      <c r="H256" s="67" t="e">
        <f aca="false">#NAME!()</f>
        <v>#NAME?</v>
      </c>
    </row>
    <row r="257" customFormat="false" ht="11.25" hidden="false" customHeight="false" outlineLevel="0" collapsed="false">
      <c r="A257" s="67" t="e">
        <f aca="false">#NAME!()</f>
        <v>#NAME?</v>
      </c>
      <c r="C257" s="67" t="e">
        <f aca="false">#NAME!()</f>
        <v>#NAME?</v>
      </c>
      <c r="D257" s="67" t="e">
        <f aca="false">#NAME!()</f>
        <v>#NAME?</v>
      </c>
      <c r="E257" s="67" t="e">
        <f aca="false">#NAME!()</f>
        <v>#NAME?</v>
      </c>
      <c r="F257" s="67" t="e">
        <f aca="false">#NAME!()</f>
        <v>#NAME?</v>
      </c>
      <c r="G257" s="67" t="e">
        <f aca="false">#NAME!()</f>
        <v>#NAME?</v>
      </c>
      <c r="H257" s="67" t="e">
        <f aca="false">#NAME!()</f>
        <v>#NAME?</v>
      </c>
    </row>
    <row r="258" customFormat="false" ht="11.25" hidden="false" customHeight="false" outlineLevel="0" collapsed="false">
      <c r="A258" s="67" t="e">
        <f aca="false">#NAME!()</f>
        <v>#NAME?</v>
      </c>
      <c r="C258" s="67" t="e">
        <f aca="false">#NAME!()</f>
        <v>#NAME?</v>
      </c>
      <c r="D258" s="67" t="e">
        <f aca="false">#NAME!()</f>
        <v>#NAME?</v>
      </c>
      <c r="E258" s="67" t="e">
        <f aca="false">#NAME!()</f>
        <v>#NAME?</v>
      </c>
      <c r="F258" s="67" t="e">
        <f aca="false">#NAME!()</f>
        <v>#NAME?</v>
      </c>
      <c r="G258" s="67" t="e">
        <f aca="false">#NAME!()</f>
        <v>#NAME?</v>
      </c>
      <c r="H258" s="67" t="e">
        <f aca="false">#NAME!()</f>
        <v>#NAME?</v>
      </c>
    </row>
    <row r="259" customFormat="false" ht="11.25" hidden="false" customHeight="false" outlineLevel="0" collapsed="false">
      <c r="A259" s="67" t="e">
        <f aca="false">#NAME!()</f>
        <v>#NAME?</v>
      </c>
      <c r="C259" s="67" t="e">
        <f aca="false">#NAME!()</f>
        <v>#NAME?</v>
      </c>
      <c r="D259" s="67" t="e">
        <f aca="false">#NAME!()</f>
        <v>#NAME?</v>
      </c>
      <c r="E259" s="67" t="e">
        <f aca="false">#NAME!()</f>
        <v>#NAME?</v>
      </c>
      <c r="F259" s="67" t="e">
        <f aca="false">#NAME!()</f>
        <v>#NAME?</v>
      </c>
      <c r="G259" s="67" t="e">
        <f aca="false">#NAME!()</f>
        <v>#NAME?</v>
      </c>
      <c r="H259" s="67" t="e">
        <f aca="false">#NAME!()</f>
        <v>#NAME?</v>
      </c>
    </row>
    <row r="260" customFormat="false" ht="11.25" hidden="false" customHeight="false" outlineLevel="0" collapsed="false">
      <c r="A260" s="631" t="e">
        <f aca="false">IF(A259=FALSE(),#NAME!())</f>
        <v>#NAME?</v>
      </c>
      <c r="C260" s="67" t="e">
        <f aca="false">#NAME!()</f>
        <v>#NAME?</v>
      </c>
      <c r="D260" s="67" t="e">
        <f aca="false">#NAME!()</f>
        <v>#NAME?</v>
      </c>
      <c r="E260" s="67" t="e">
        <f aca="false">#NAME!()</f>
        <v>#NAME?</v>
      </c>
      <c r="F260" s="67" t="e">
        <f aca="false">#NAME!()</f>
        <v>#NAME?</v>
      </c>
      <c r="G260" s="67" t="e">
        <f aca="false">#NAME!()</f>
        <v>#NAME?</v>
      </c>
      <c r="H260" s="67" t="e">
        <f aca="false">#NAME!()</f>
        <v>#NAME?</v>
      </c>
    </row>
    <row r="261" customFormat="false" ht="11.25" hidden="false" customHeight="false" outlineLevel="0" collapsed="false">
      <c r="A261" s="133" t="str">
        <f aca="false">IF(G288=1,F289,IF(G288=2,F290,F291))</f>
        <v>Bbtu/Mbbl</v>
      </c>
    </row>
    <row r="262" customFormat="false" ht="11.25" hidden="false" customHeight="false" outlineLevel="0" collapsed="false">
      <c r="A262" s="67" t="e">
        <f aca="false">#NAME!()</f>
        <v>#NAME?</v>
      </c>
    </row>
    <row r="263" customFormat="false" ht="11.25" hidden="false" customHeight="false" outlineLevel="0" collapsed="false">
      <c r="A263" s="67" t="e">
        <f aca="false">#NAME!()</f>
        <v>#NAME?</v>
      </c>
      <c r="C263" s="67" t="n">
        <f aca="false">IF(G297,#NAME!())</f>
        <v>0</v>
      </c>
      <c r="D263" s="67" t="e">
        <f aca="false">#NAME!()</f>
        <v>#NAME?</v>
      </c>
    </row>
    <row r="264" customFormat="false" ht="12.75" hidden="false" customHeight="false" outlineLevel="0" collapsed="false">
      <c r="A264" s="632" t="e">
        <f aca="false">#NAME!()</f>
        <v>#NAME?</v>
      </c>
      <c r="C264" s="67" t="e">
        <f aca="false">#NAME!()</f>
        <v>#NAME?</v>
      </c>
      <c r="D264" s="67" t="e">
        <f aca="false">#NAME!()</f>
        <v>#NAME?</v>
      </c>
    </row>
    <row r="265" customFormat="false" ht="12.75" hidden="false" customHeight="false" outlineLevel="0" collapsed="false">
      <c r="A265" s="67" t="e">
        <f aca="false">IF(C255,#NAME!())</f>
        <v>#VALUE!</v>
      </c>
      <c r="C265" s="67" t="e">
        <f aca="false">#NAME!()</f>
        <v>#NAME?</v>
      </c>
      <c r="D265" s="632" t="e">
        <f aca="false">#NAME!()</f>
        <v>#NAME?</v>
      </c>
    </row>
    <row r="266" customFormat="false" ht="11.25" hidden="false" customHeight="false" outlineLevel="0" collapsed="false">
      <c r="A266" s="67" t="e">
        <f aca="false">IF(D255,#NAME!())</f>
        <v>#VALUE!</v>
      </c>
    </row>
    <row r="267" customFormat="false" ht="11.25" hidden="false" customHeight="false" outlineLevel="0" collapsed="false">
      <c r="A267" s="67" t="e">
        <f aca="false">IF(E255,#NAME!())</f>
        <v>#VALUE!</v>
      </c>
    </row>
    <row r="268" customFormat="false" ht="11.25" hidden="false" customHeight="false" outlineLevel="0" collapsed="false">
      <c r="A268" s="67" t="e">
        <f aca="false">IF(F255,#NAME!())</f>
        <v>#VALUE!</v>
      </c>
      <c r="C268" s="67" t="e">
        <f aca="false">#NAME!()</f>
        <v>#NAME?</v>
      </c>
    </row>
    <row r="269" customFormat="false" ht="11.25" hidden="false" customHeight="false" outlineLevel="0" collapsed="false">
      <c r="A269" s="67" t="e">
        <f aca="false">IF(G255,#NAME!())</f>
        <v>#VALUE!</v>
      </c>
    </row>
    <row r="270" customFormat="false" ht="11.25" hidden="false" customHeight="false" outlineLevel="0" collapsed="false">
      <c r="A270" s="631" t="e">
        <f aca="false">IF(H255,#NAME!())</f>
        <v>#VALUE!</v>
      </c>
    </row>
    <row r="271" customFormat="false" ht="11.25" hidden="false" customHeight="false" outlineLevel="0" collapsed="false">
      <c r="A271" s="67" t="e">
        <f aca="false">#NAME!()</f>
        <v>#NAME?</v>
      </c>
    </row>
    <row r="275" customFormat="false" ht="11.25" hidden="false" customHeight="false" outlineLevel="0" collapsed="false">
      <c r="A275" s="67" t="s">
        <v>1264</v>
      </c>
      <c r="C275" s="67" t="s">
        <v>1265</v>
      </c>
      <c r="D275" s="67" t="s">
        <v>1266</v>
      </c>
      <c r="E275" s="67" t="s">
        <v>1267</v>
      </c>
    </row>
    <row r="276" customFormat="false" ht="11.25" hidden="false" customHeight="false" outlineLevel="0" collapsed="false">
      <c r="A276" s="80"/>
      <c r="B276" s="80" t="n">
        <v>49</v>
      </c>
      <c r="C276" s="80" t="n">
        <v>25</v>
      </c>
      <c r="D276" s="80" t="n">
        <v>613</v>
      </c>
      <c r="E276" s="80" t="n">
        <v>252</v>
      </c>
      <c r="F276" s="80" t="s">
        <v>1268</v>
      </c>
      <c r="G276" s="80"/>
    </row>
    <row r="277" customFormat="false" ht="11.25" hidden="false" customHeight="false" outlineLevel="0" collapsed="false">
      <c r="A277" s="80" t="n">
        <v>14</v>
      </c>
      <c r="B277" s="80" t="n">
        <v>36</v>
      </c>
      <c r="C277" s="80" t="n">
        <v>145</v>
      </c>
      <c r="D277" s="80" t="n">
        <v>550</v>
      </c>
      <c r="E277" s="80" t="n">
        <v>56</v>
      </c>
      <c r="F277" s="80" t="s">
        <v>1269</v>
      </c>
      <c r="G277" s="80"/>
      <c r="I277" s="67" t="n">
        <v>1</v>
      </c>
    </row>
    <row r="278" customFormat="false" ht="11.25" hidden="false" customHeight="false" outlineLevel="0" collapsed="false">
      <c r="A278" s="80" t="n">
        <v>3</v>
      </c>
      <c r="B278" s="80" t="n">
        <v>65</v>
      </c>
      <c r="C278" s="80" t="n">
        <v>166</v>
      </c>
      <c r="D278" s="80" t="n">
        <v>236</v>
      </c>
      <c r="E278" s="80"/>
      <c r="F278" s="80" t="s">
        <v>1270</v>
      </c>
      <c r="G278" s="80"/>
      <c r="I278" s="67" t="n">
        <v>2</v>
      </c>
    </row>
    <row r="279" customFormat="false" ht="12.75" hidden="false" customHeight="false" outlineLevel="0" collapsed="false">
      <c r="A279" s="80" t="n">
        <v>3</v>
      </c>
      <c r="B279" s="80" t="n">
        <v>321</v>
      </c>
      <c r="C279" s="80" t="n">
        <v>166</v>
      </c>
      <c r="D279" s="80" t="n">
        <v>236</v>
      </c>
      <c r="E279" s="80"/>
      <c r="F279" s="628" t="s">
        <v>1271</v>
      </c>
      <c r="G279" s="80"/>
      <c r="I279" s="67" t="n">
        <v>3</v>
      </c>
    </row>
    <row r="280" customFormat="false" ht="11.25" hidden="false" customHeight="false" outlineLevel="0" collapsed="false">
      <c r="A280" s="80" t="n">
        <v>14</v>
      </c>
      <c r="B280" s="80" t="n">
        <v>35</v>
      </c>
      <c r="C280" s="80" t="n">
        <v>10</v>
      </c>
      <c r="D280" s="80" t="n">
        <v>340</v>
      </c>
      <c r="E280" s="80" t="n">
        <v>118</v>
      </c>
      <c r="F280" s="80" t="s">
        <v>1272</v>
      </c>
      <c r="G280" s="80"/>
      <c r="I280" s="67" t="n">
        <v>4</v>
      </c>
    </row>
    <row r="281" customFormat="false" ht="11.25" hidden="false" customHeight="false" outlineLevel="0" collapsed="false">
      <c r="A281" s="80" t="n">
        <v>3</v>
      </c>
      <c r="B281" s="80" t="n">
        <v>95</v>
      </c>
      <c r="C281" s="80" t="n">
        <v>100</v>
      </c>
      <c r="D281" s="80" t="n">
        <v>225</v>
      </c>
      <c r="E281" s="80"/>
      <c r="F281" s="80" t="s">
        <v>377</v>
      </c>
      <c r="G281" s="80"/>
      <c r="I281" s="67" t="n">
        <v>5</v>
      </c>
    </row>
    <row r="282" customFormat="false" ht="11.25" hidden="false" customHeight="false" outlineLevel="0" collapsed="false">
      <c r="A282" s="80" t="n">
        <v>3</v>
      </c>
      <c r="B282" s="80" t="n">
        <v>95</v>
      </c>
      <c r="C282" s="80" t="n">
        <v>75</v>
      </c>
      <c r="D282" s="80" t="n">
        <v>225</v>
      </c>
      <c r="E282" s="80"/>
      <c r="F282" s="80" t="s">
        <v>1273</v>
      </c>
      <c r="G282" s="80"/>
      <c r="I282" s="67" t="n">
        <v>6</v>
      </c>
    </row>
    <row r="283" customFormat="false" ht="11.25" hidden="false" customHeight="false" outlineLevel="0" collapsed="false">
      <c r="A283" s="80" t="n">
        <v>3</v>
      </c>
      <c r="B283" s="80" t="n">
        <v>95</v>
      </c>
      <c r="C283" s="80" t="n">
        <v>25</v>
      </c>
      <c r="D283" s="80" t="n">
        <v>225</v>
      </c>
      <c r="E283" s="80"/>
      <c r="F283" s="80" t="s">
        <v>1274</v>
      </c>
      <c r="G283" s="80"/>
      <c r="I283" s="67" t="n">
        <v>7</v>
      </c>
    </row>
    <row r="284" customFormat="false" ht="11.25" hidden="false" customHeight="false" outlineLevel="0" collapsed="false">
      <c r="A284" s="80" t="n">
        <v>3</v>
      </c>
      <c r="B284" s="80" t="n">
        <v>95</v>
      </c>
      <c r="C284" s="80" t="n">
        <v>50</v>
      </c>
      <c r="D284" s="80" t="n">
        <v>225</v>
      </c>
      <c r="E284" s="80"/>
      <c r="F284" s="80" t="s">
        <v>1275</v>
      </c>
      <c r="G284" s="80"/>
      <c r="I284" s="67" t="n">
        <v>8</v>
      </c>
    </row>
    <row r="285" customFormat="false" ht="11.25" hidden="false" customHeight="false" outlineLevel="0" collapsed="false">
      <c r="A285" s="80" t="n">
        <v>4</v>
      </c>
      <c r="B285" s="80" t="n">
        <v>320</v>
      </c>
      <c r="C285" s="80" t="n">
        <v>210</v>
      </c>
      <c r="D285" s="80" t="n">
        <v>88</v>
      </c>
      <c r="E285" s="80"/>
      <c r="F285" s="80" t="s">
        <v>1162</v>
      </c>
      <c r="G285" s="80"/>
      <c r="I285" s="67" t="n">
        <v>9</v>
      </c>
    </row>
    <row r="286" customFormat="false" ht="11.25" hidden="false" customHeight="false" outlineLevel="0" collapsed="false">
      <c r="A286" s="80" t="n">
        <v>3</v>
      </c>
      <c r="B286" s="80" t="n">
        <v>200</v>
      </c>
      <c r="C286" s="80" t="n">
        <v>210</v>
      </c>
      <c r="D286" s="80" t="n">
        <v>88</v>
      </c>
      <c r="E286" s="80"/>
      <c r="F286" s="80" t="s">
        <v>1186</v>
      </c>
      <c r="G286" s="80"/>
      <c r="I286" s="67" t="n">
        <v>10</v>
      </c>
    </row>
    <row r="287" customFormat="false" ht="11.25" hidden="false" customHeight="false" outlineLevel="0" collapsed="false">
      <c r="A287" s="80" t="n">
        <v>14</v>
      </c>
      <c r="B287" s="80" t="n">
        <v>390</v>
      </c>
      <c r="C287" s="80" t="n">
        <v>59</v>
      </c>
      <c r="D287" s="80" t="n">
        <v>200</v>
      </c>
      <c r="E287" s="80" t="n">
        <v>67</v>
      </c>
      <c r="F287" s="80" t="s">
        <v>1276</v>
      </c>
      <c r="G287" s="80"/>
      <c r="I287" s="67" t="n">
        <v>11</v>
      </c>
    </row>
    <row r="288" customFormat="false" ht="11.25" hidden="false" customHeight="false" outlineLevel="0" collapsed="false">
      <c r="A288" s="80" t="n">
        <v>11</v>
      </c>
      <c r="B288" s="80"/>
      <c r="C288" s="80"/>
      <c r="D288" s="80"/>
      <c r="E288" s="80"/>
      <c r="F288" s="80"/>
      <c r="G288" s="80" t="n">
        <v>2</v>
      </c>
      <c r="I288" s="67" t="n">
        <v>12</v>
      </c>
    </row>
    <row r="289" customFormat="false" ht="11.25" hidden="false" customHeight="false" outlineLevel="0" collapsed="false">
      <c r="A289" s="80" t="n">
        <v>12</v>
      </c>
      <c r="B289" s="80"/>
      <c r="C289" s="80"/>
      <c r="D289" s="80"/>
      <c r="E289" s="80"/>
      <c r="F289" s="80" t="s">
        <v>1277</v>
      </c>
      <c r="G289" s="80"/>
      <c r="I289" s="67" t="n">
        <v>13</v>
      </c>
    </row>
    <row r="290" customFormat="false" ht="11.25" hidden="false" customHeight="false" outlineLevel="0" collapsed="false">
      <c r="A290" s="80" t="n">
        <v>12</v>
      </c>
      <c r="B290" s="80"/>
      <c r="C290" s="80"/>
      <c r="D290" s="80"/>
      <c r="E290" s="80"/>
      <c r="F290" s="80" t="s">
        <v>1278</v>
      </c>
      <c r="G290" s="80"/>
      <c r="I290" s="67" t="n">
        <v>14</v>
      </c>
    </row>
    <row r="291" customFormat="false" ht="11.25" hidden="false" customHeight="false" outlineLevel="0" collapsed="false">
      <c r="A291" s="80" t="n">
        <v>12</v>
      </c>
      <c r="B291" s="80"/>
      <c r="C291" s="80"/>
      <c r="D291" s="80"/>
      <c r="E291" s="80"/>
      <c r="F291" s="80" t="s">
        <v>1279</v>
      </c>
      <c r="G291" s="80"/>
      <c r="I291" s="67" t="n">
        <v>15</v>
      </c>
    </row>
    <row r="292" customFormat="false" ht="11.25" hidden="false" customHeight="false" outlineLevel="0" collapsed="false">
      <c r="A292" s="80" t="n">
        <v>5</v>
      </c>
      <c r="B292" s="80" t="n">
        <v>390</v>
      </c>
      <c r="C292" s="80" t="n">
        <v>33</v>
      </c>
      <c r="D292" s="80"/>
      <c r="E292" s="80"/>
      <c r="F292" s="80" t="str">
        <f aca="false">"$ in "&amp;A73</f>
        <v>$ in Thousands</v>
      </c>
      <c r="G292" s="80"/>
      <c r="I292" s="67" t="n">
        <v>16</v>
      </c>
    </row>
    <row r="293" customFormat="false" ht="11.25" hidden="false" customHeight="false" outlineLevel="0" collapsed="false">
      <c r="A293" s="80" t="n">
        <v>5</v>
      </c>
      <c r="B293" s="80" t="n">
        <v>390</v>
      </c>
      <c r="C293" s="80" t="n">
        <v>10</v>
      </c>
      <c r="D293" s="80"/>
      <c r="E293" s="80"/>
      <c r="F293" s="80" t="s">
        <v>1280</v>
      </c>
      <c r="G293" s="80"/>
      <c r="I293" s="67" t="n">
        <v>18</v>
      </c>
    </row>
    <row r="294" customFormat="false" ht="11.25" hidden="false" customHeight="false" outlineLevel="0" collapsed="false">
      <c r="A294" s="80"/>
      <c r="B294" s="80"/>
      <c r="C294" s="80"/>
      <c r="D294" s="80"/>
      <c r="E294" s="80"/>
      <c r="F294" s="80"/>
      <c r="G294" s="80"/>
      <c r="I294" s="67" t="n">
        <v>19</v>
      </c>
    </row>
    <row r="295" customFormat="false" ht="11.25" hidden="false" customHeight="false" outlineLevel="0" collapsed="false">
      <c r="A295" s="80"/>
      <c r="B295" s="80"/>
      <c r="C295" s="80"/>
      <c r="D295" s="80"/>
      <c r="E295" s="80"/>
      <c r="F295" s="80"/>
      <c r="G295" s="80"/>
      <c r="I295" s="67" t="n">
        <v>20</v>
      </c>
    </row>
    <row r="296" customFormat="false" ht="11.25" hidden="false" customHeight="false" outlineLevel="0" collapsed="false">
      <c r="A296" s="67" t="s">
        <v>1181</v>
      </c>
      <c r="G296" s="80"/>
      <c r="I296" s="67" t="n">
        <v>21</v>
      </c>
    </row>
    <row r="297" customFormat="false" ht="11.25" hidden="false" customHeight="false" outlineLevel="0" collapsed="false">
      <c r="A297" s="67" t="e">
        <f aca="false">#NAME!()</f>
        <v>#NAME?</v>
      </c>
      <c r="G297" s="149"/>
      <c r="I297" s="67" t="n">
        <v>22</v>
      </c>
    </row>
    <row r="298" customFormat="false" ht="11.25" hidden="false" customHeight="false" outlineLevel="0" collapsed="false">
      <c r="A298" s="67" t="e">
        <f aca="false">IF(A297=FALSE(),#NAME!())</f>
        <v>#NAME?</v>
      </c>
      <c r="G298" s="80"/>
      <c r="I298" s="67" t="n">
        <v>23</v>
      </c>
    </row>
    <row r="299" customFormat="false" ht="11.25" hidden="false" customHeight="false" outlineLevel="0" collapsed="false">
      <c r="A299" s="67" t="e">
        <f aca="false">#NAME!()</f>
        <v>#NAME?</v>
      </c>
    </row>
    <row r="300" customFormat="false" ht="11.25" hidden="false" customHeight="false" outlineLevel="0" collapsed="false">
      <c r="A300" s="67" t="e">
        <f aca="false">IF(CFMODEL!A888:S932,#NAME!(),IF(A297=3,CFMODEL!A1023:S1059,IF(#NAME!(),A297=4,IF(CFMODEL!A6:S66,#NAME!(),#NAME!()))))</f>
        <v>#VALUE!</v>
      </c>
    </row>
    <row r="301" customFormat="false" ht="11.25" hidden="false" customHeight="false" outlineLevel="0" collapsed="false">
      <c r="A301" s="67" t="e">
        <f aca="false">#NAME!()</f>
        <v>#NAME?</v>
      </c>
    </row>
    <row r="305" customFormat="false" ht="11.25" hidden="false" customHeight="false" outlineLevel="0" collapsed="false">
      <c r="A305" s="67" t="s">
        <v>1281</v>
      </c>
    </row>
    <row r="306" customFormat="false" ht="11.25" hidden="false" customHeight="false" outlineLevel="0" collapsed="false">
      <c r="D306" s="67" t="n">
        <v>320</v>
      </c>
      <c r="E306" s="67" t="n">
        <v>100</v>
      </c>
      <c r="F306" s="67" t="s">
        <v>1282</v>
      </c>
    </row>
    <row r="307" customFormat="false" ht="11.25" hidden="false" customHeight="false" outlineLevel="0" collapsed="false">
      <c r="A307" s="67" t="n">
        <v>3</v>
      </c>
      <c r="B307" s="67" t="n">
        <v>10</v>
      </c>
      <c r="C307" s="67" t="n">
        <v>10</v>
      </c>
      <c r="D307" s="67" t="n">
        <v>140</v>
      </c>
      <c r="F307" s="67" t="s">
        <v>1283</v>
      </c>
    </row>
    <row r="308" customFormat="false" ht="11.25" hidden="false" customHeight="false" outlineLevel="0" collapsed="false">
      <c r="A308" s="67" t="n">
        <v>3</v>
      </c>
      <c r="B308" s="67" t="n">
        <v>10</v>
      </c>
      <c r="C308" s="67" t="n">
        <v>40</v>
      </c>
      <c r="D308" s="67" t="n">
        <v>140</v>
      </c>
      <c r="F308" s="67" t="s">
        <v>1284</v>
      </c>
    </row>
    <row r="309" customFormat="false" ht="12.75" hidden="false" customHeight="false" outlineLevel="0" collapsed="false">
      <c r="A309" s="67" t="n">
        <v>3</v>
      </c>
      <c r="B309" s="67" t="n">
        <v>170</v>
      </c>
      <c r="C309" s="67" t="n">
        <v>10</v>
      </c>
      <c r="D309" s="67" t="n">
        <v>140</v>
      </c>
      <c r="F309" s="630" t="s">
        <v>1285</v>
      </c>
    </row>
    <row r="310" customFormat="false" ht="12.75" hidden="false" customHeight="false" outlineLevel="0" collapsed="false">
      <c r="A310" s="67" t="n">
        <v>3</v>
      </c>
      <c r="B310" s="67" t="n">
        <v>170</v>
      </c>
      <c r="C310" s="67" t="n">
        <v>40</v>
      </c>
      <c r="D310" s="67" t="n">
        <v>140</v>
      </c>
      <c r="F310" s="630" t="s">
        <v>1286</v>
      </c>
    </row>
    <row r="311" customFormat="false" ht="11.25" hidden="false" customHeight="false" outlineLevel="0" collapsed="false">
      <c r="A311" s="67" t="n">
        <v>2</v>
      </c>
      <c r="B311" s="67" t="n">
        <v>120</v>
      </c>
      <c r="C311" s="67" t="n">
        <v>70</v>
      </c>
      <c r="D311" s="67" t="n">
        <v>88</v>
      </c>
      <c r="F311" s="67" t="s">
        <v>1187</v>
      </c>
    </row>
    <row r="312" customFormat="false" ht="11.25" hidden="false" customHeight="false" outlineLevel="0" collapsed="false">
      <c r="A312" s="67" t="n">
        <v>5</v>
      </c>
      <c r="B312" s="67" t="n">
        <v>85</v>
      </c>
      <c r="C312" s="67" t="n">
        <v>14</v>
      </c>
    </row>
    <row r="332" customFormat="false" ht="12.75" hidden="false" customHeight="false" outlineLevel="0" collapsed="false">
      <c r="A332" s="630" t="s">
        <v>1287</v>
      </c>
      <c r="C332" s="630" t="s">
        <v>1288</v>
      </c>
      <c r="D332" s="630" t="s">
        <v>1289</v>
      </c>
      <c r="E332" s="630" t="s">
        <v>1290</v>
      </c>
      <c r="F332" s="630" t="s">
        <v>1291</v>
      </c>
      <c r="G332" s="630" t="s">
        <v>1292</v>
      </c>
    </row>
    <row r="333" customFormat="false" ht="12.75" hidden="false" customHeight="false" outlineLevel="0" collapsed="false">
      <c r="A333" s="67" t="e">
        <f aca="false">#NAME!()</f>
        <v>#NAME?</v>
      </c>
      <c r="C333" s="622" t="e">
        <f aca="false">#NAME!()</f>
        <v>#NAME?</v>
      </c>
      <c r="D333" s="622" t="e">
        <f aca="false">#NAME!()</f>
        <v>#NAME?</v>
      </c>
      <c r="E333" s="622" t="e">
        <f aca="false">#NAME!()</f>
        <v>#NAME?</v>
      </c>
      <c r="F333" s="622" t="e">
        <f aca="false">#NAME!()</f>
        <v>#NAME?</v>
      </c>
      <c r="G333" s="622" t="e">
        <f aca="false">#NAME!()</f>
        <v>#NAME?</v>
      </c>
      <c r="H333" s="623" t="s">
        <v>1293</v>
      </c>
      <c r="I333" s="622"/>
      <c r="J333" s="622"/>
      <c r="K333" s="622"/>
      <c r="L333" s="622"/>
      <c r="M333" s="622"/>
    </row>
    <row r="334" customFormat="false" ht="12.75" hidden="false" customHeight="false" outlineLevel="0" collapsed="false">
      <c r="A334" s="67" t="e">
        <f aca="false">IF(A333=FALSE(),#NAME!())</f>
        <v>#NAME?</v>
      </c>
      <c r="C334" s="622" t="e">
        <f aca="false">#NAME!()</f>
        <v>#NAME?</v>
      </c>
      <c r="D334" s="622" t="e">
        <f aca="false">#NAME!()</f>
        <v>#NAME?</v>
      </c>
      <c r="E334" s="622" t="e">
        <f aca="false">#NAME!()</f>
        <v>#NAME?</v>
      </c>
      <c r="F334" s="622" t="e">
        <f aca="false">#NAME!()</f>
        <v>#NAME?</v>
      </c>
      <c r="G334" s="622" t="e">
        <f aca="false">#NAME!()</f>
        <v>#NAME?</v>
      </c>
      <c r="H334" s="67" t="s">
        <v>1294</v>
      </c>
    </row>
    <row r="335" customFormat="false" ht="12.75" hidden="false" customHeight="false" outlineLevel="0" collapsed="false">
      <c r="A335" s="67" t="e">
        <f aca="false">IF(C332,#NAME!())</f>
        <v>#VALUE!</v>
      </c>
      <c r="C335" s="622" t="e">
        <f aca="false">#NAME!()</f>
        <v>#NAME?</v>
      </c>
      <c r="D335" s="622" t="e">
        <f aca="false">#NAME!()</f>
        <v>#NAME?</v>
      </c>
      <c r="E335" s="622" t="e">
        <f aca="false">#NAME!()</f>
        <v>#NAME?</v>
      </c>
      <c r="F335" s="622" t="e">
        <f aca="false">#NAME!()</f>
        <v>#NAME?</v>
      </c>
      <c r="G335" s="622" t="e">
        <f aca="false">#NAME!()</f>
        <v>#NAME?</v>
      </c>
      <c r="H335" s="67" t="s">
        <v>1295</v>
      </c>
    </row>
    <row r="336" customFormat="false" ht="12.75" hidden="false" customHeight="false" outlineLevel="0" collapsed="false">
      <c r="A336" s="67" t="e">
        <f aca="false">IF(Sr_Sub3,#NAME!())</f>
        <v>#VALUE!</v>
      </c>
      <c r="C336" s="622" t="e">
        <f aca="false">#NAME!()</f>
        <v>#NAME?</v>
      </c>
      <c r="D336" s="622" t="e">
        <f aca="false">#NAME!()</f>
        <v>#NAME?</v>
      </c>
      <c r="E336" s="622" t="e">
        <f aca="false">#NAME!()</f>
        <v>#NAME?</v>
      </c>
      <c r="F336" s="622" t="e">
        <f aca="false">#NAME!()</f>
        <v>#NAME?</v>
      </c>
      <c r="G336" s="622" t="e">
        <f aca="false">#NAME!()</f>
        <v>#NAME?</v>
      </c>
      <c r="H336" s="43" t="s">
        <v>1296</v>
      </c>
    </row>
    <row r="337" customFormat="false" ht="12.75" hidden="false" customHeight="false" outlineLevel="0" collapsed="false">
      <c r="A337" s="67" t="e">
        <f aca="false">IF(Jr_Sub3,#NAME!())</f>
        <v>#VALUE!</v>
      </c>
      <c r="C337" s="622" t="e">
        <f aca="false">#NAME!()</f>
        <v>#NAME?</v>
      </c>
      <c r="D337" s="622" t="e">
        <f aca="false">#NAME!()</f>
        <v>#NAME?</v>
      </c>
      <c r="E337" s="622" t="e">
        <f aca="false">#NAME!()</f>
        <v>#NAME?</v>
      </c>
      <c r="F337" s="622" t="e">
        <f aca="false">#NAME!()</f>
        <v>#NAME?</v>
      </c>
      <c r="G337" s="622" t="e">
        <f aca="false">#NAME!()</f>
        <v>#NAME?</v>
      </c>
      <c r="H337" s="43" t="s">
        <v>1296</v>
      </c>
    </row>
    <row r="338" customFormat="false" ht="12.75" hidden="false" customHeight="false" outlineLevel="0" collapsed="false">
      <c r="A338" s="67" t="e">
        <f aca="false">IF(Preferred3,#NAME!())</f>
        <v>#VALUE!</v>
      </c>
      <c r="C338" s="622" t="e">
        <f aca="false">#NAME!()</f>
        <v>#NAME?</v>
      </c>
      <c r="D338" s="622" t="e">
        <f aca="false">#NAME!()</f>
        <v>#NAME?</v>
      </c>
      <c r="E338" s="622" t="e">
        <f aca="false">#NAME!()</f>
        <v>#NAME?</v>
      </c>
      <c r="F338" s="622" t="e">
        <f aca="false">#NAME!()</f>
        <v>#NAME?</v>
      </c>
      <c r="G338" s="622" t="e">
        <f aca="false">#NAME!()</f>
        <v>#NAME?</v>
      </c>
      <c r="H338" s="43" t="s">
        <v>1297</v>
      </c>
    </row>
    <row r="339" customFormat="false" ht="12.75" hidden="false" customHeight="false" outlineLevel="0" collapsed="false">
      <c r="A339" s="67" t="e">
        <f aca="false">IF(Common3,#NAME!())</f>
        <v>#VALUE!</v>
      </c>
      <c r="C339" s="622" t="e">
        <f aca="false">#NAME!()</f>
        <v>#NAME?</v>
      </c>
      <c r="D339" s="622" t="e">
        <f aca="false">#NAME!()</f>
        <v>#NAME?</v>
      </c>
      <c r="E339" s="622" t="e">
        <f aca="false">#NAME!()</f>
        <v>#NAME?</v>
      </c>
      <c r="F339" s="622" t="e">
        <f aca="false">#NAME!()</f>
        <v>#NAME?</v>
      </c>
      <c r="G339" s="622" t="e">
        <f aca="false">#NAME!()</f>
        <v>#NAME?</v>
      </c>
    </row>
    <row r="340" customFormat="false" ht="12.75" hidden="false" customHeight="false" outlineLevel="0" collapsed="false">
      <c r="A340" s="67" t="e">
        <f aca="false">#NAME!()</f>
        <v>#NAME?</v>
      </c>
      <c r="C340" s="622" t="e">
        <f aca="false">#NAME!()</f>
        <v>#NAME?</v>
      </c>
      <c r="D340" s="622" t="e">
        <f aca="false">#NAME!()</f>
        <v>#NAME?</v>
      </c>
      <c r="E340" s="622" t="e">
        <f aca="false">#NAME!()</f>
        <v>#NAME?</v>
      </c>
      <c r="F340" s="622" t="e">
        <f aca="false">#NAME!()</f>
        <v>#NAME?</v>
      </c>
      <c r="G340" s="622" t="e">
        <f aca="false">#NAME!()</f>
        <v>#NAME?</v>
      </c>
    </row>
    <row r="341" customFormat="false" ht="12.75" hidden="false" customHeight="false" outlineLevel="0" collapsed="false">
      <c r="C341" s="622" t="e">
        <f aca="false">#NAME!()</f>
        <v>#NAME?</v>
      </c>
      <c r="D341" s="622" t="e">
        <f aca="false">#NAME!()</f>
        <v>#NAME?</v>
      </c>
      <c r="E341" s="622" t="e">
        <f aca="false">#NAME!()</f>
        <v>#NAME?</v>
      </c>
      <c r="F341" s="622" t="e">
        <f aca="false">#NAME!()</f>
        <v>#NAME?</v>
      </c>
      <c r="G341" s="622" t="e">
        <f aca="false">#NAME!()</f>
        <v>#NAME?</v>
      </c>
    </row>
    <row r="342" customFormat="false" ht="12.75" hidden="false" customHeight="false" outlineLevel="0" collapsed="false">
      <c r="C342" s="622" t="e">
        <f aca="false">#NAME!()</f>
        <v>#NAME?</v>
      </c>
      <c r="D342" s="622" t="e">
        <f aca="false">#NAME!()</f>
        <v>#NAME?</v>
      </c>
      <c r="E342" s="622" t="e">
        <f aca="false">#NAME!()</f>
        <v>#NAME?</v>
      </c>
      <c r="F342" s="622" t="e">
        <f aca="false">#NAME!()</f>
        <v>#NAME?</v>
      </c>
      <c r="G342" s="622" t="e">
        <f aca="false">#NAME!()</f>
        <v>#NAME?</v>
      </c>
      <c r="H342" s="67" t="s">
        <v>1298</v>
      </c>
    </row>
    <row r="343" customFormat="false" ht="12.75" hidden="false" customHeight="false" outlineLevel="0" collapsed="false">
      <c r="C343" s="622" t="e">
        <f aca="false">#NAME!()</f>
        <v>#NAME?</v>
      </c>
      <c r="D343" s="622" t="e">
        <f aca="false">#NAME!()</f>
        <v>#NAME?</v>
      </c>
      <c r="E343" s="622" t="e">
        <f aca="false">#NAME!()</f>
        <v>#NAME?</v>
      </c>
      <c r="F343" s="622" t="e">
        <f aca="false">#NAME!()</f>
        <v>#NAME?</v>
      </c>
      <c r="G343" s="622" t="e">
        <f aca="false">#NAME!()</f>
        <v>#NAME?</v>
      </c>
      <c r="H343" s="67" t="s">
        <v>1299</v>
      </c>
    </row>
    <row r="344" customFormat="false" ht="12.75" hidden="false" customHeight="false" outlineLevel="0" collapsed="false">
      <c r="C344" s="622" t="e">
        <f aca="false">#NAME!()</f>
        <v>#NAME?</v>
      </c>
      <c r="D344" s="622" t="e">
        <f aca="false">#NAME!()</f>
        <v>#NAME?</v>
      </c>
      <c r="E344" s="622" t="e">
        <f aca="false">#NAME!()</f>
        <v>#NAME?</v>
      </c>
      <c r="F344" s="622" t="e">
        <f aca="false">#NAME!()</f>
        <v>#NAME?</v>
      </c>
      <c r="G344" s="622" t="e">
        <f aca="false">#NAME!()</f>
        <v>#NAME?</v>
      </c>
    </row>
    <row r="345" customFormat="false" ht="12.75" hidden="false" customHeight="false" outlineLevel="0" collapsed="false">
      <c r="C345" s="622" t="e">
        <f aca="false">#NAME!()</f>
        <v>#NAME?</v>
      </c>
      <c r="D345" s="622" t="e">
        <f aca="false">#NAME!()</f>
        <v>#NAME?</v>
      </c>
      <c r="E345" s="622" t="e">
        <f aca="false">#NAME!()</f>
        <v>#NAME?</v>
      </c>
      <c r="F345" s="622" t="e">
        <f aca="false">#NAME!()</f>
        <v>#NAME?</v>
      </c>
      <c r="G345" s="622" t="e">
        <f aca="false">#NAME!()</f>
        <v>#NAME?</v>
      </c>
    </row>
    <row r="346" customFormat="false" ht="11.25" hidden="false" customHeight="false" outlineLevel="0" collapsed="false">
      <c r="C346" s="67" t="e">
        <f aca="false">#NAME!()</f>
        <v>#NAME?</v>
      </c>
      <c r="D346" s="67" t="e">
        <f aca="false">#NAME!()</f>
        <v>#NAME?</v>
      </c>
      <c r="E346" s="67" t="e">
        <f aca="false">#NAME!()</f>
        <v>#NAME?</v>
      </c>
      <c r="F346" s="67" t="e">
        <f aca="false">#NAME!()</f>
        <v>#NAME?</v>
      </c>
      <c r="G346" s="67" t="e">
        <f aca="false">#NAME!()</f>
        <v>#NAME?</v>
      </c>
    </row>
    <row r="347" customFormat="false" ht="11.25" hidden="false" customHeight="false" outlineLevel="0" collapsed="false">
      <c r="C347" s="67" t="e">
        <f aca="false">#NAME!()</f>
        <v>#NAME?</v>
      </c>
      <c r="D347" s="67" t="e">
        <f aca="false">#NAME!()</f>
        <v>#NAME?</v>
      </c>
      <c r="E347" s="67" t="e">
        <f aca="false">#NAME!()</f>
        <v>#NAME?</v>
      </c>
      <c r="F347" s="67" t="e">
        <f aca="false">#NAME!()</f>
        <v>#NAME?</v>
      </c>
      <c r="G347" s="67" t="e">
        <f aca="false">#NAME!()</f>
        <v>#NAME?</v>
      </c>
      <c r="H347" s="67" t="s">
        <v>1300</v>
      </c>
    </row>
    <row r="348" customFormat="false" ht="11.25" hidden="false" customHeight="false" outlineLevel="0" collapsed="false">
      <c r="C348" s="67" t="e">
        <f aca="false">#NAME!()</f>
        <v>#NAME?</v>
      </c>
      <c r="D348" s="67" t="e">
        <f aca="false">#NAME!()</f>
        <v>#NAME?</v>
      </c>
      <c r="E348" s="67" t="e">
        <f aca="false">#NAME!()</f>
        <v>#NAME?</v>
      </c>
      <c r="F348" s="67" t="e">
        <f aca="false">#NAME!()</f>
        <v>#NAME?</v>
      </c>
      <c r="G348" s="67" t="e">
        <f aca="false">#NAME!()</f>
        <v>#NAME?</v>
      </c>
      <c r="H348" s="67" t="s">
        <v>1301</v>
      </c>
    </row>
    <row r="349" customFormat="false" ht="11.25" hidden="false" customHeight="false" outlineLevel="0" collapsed="false">
      <c r="C349" s="67" t="e">
        <f aca="false">#NAME!()</f>
        <v>#NAME?</v>
      </c>
      <c r="D349" s="67" t="e">
        <f aca="false">#NAME!()</f>
        <v>#NAME?</v>
      </c>
      <c r="E349" s="67" t="e">
        <f aca="false">#NAME!()</f>
        <v>#NAME?</v>
      </c>
      <c r="F349" s="67" t="e">
        <f aca="false">#NAME!()</f>
        <v>#NAME?</v>
      </c>
      <c r="G349" s="67" t="e">
        <f aca="false">#NAME!()</f>
        <v>#NAME?</v>
      </c>
    </row>
    <row r="350" customFormat="false" ht="11.25" hidden="false" customHeight="false" outlineLevel="0" collapsed="false">
      <c r="C350" s="67" t="e">
        <f aca="false">#NAME!()</f>
        <v>#NAME?</v>
      </c>
      <c r="D350" s="67" t="e">
        <f aca="false">#NAME!()</f>
        <v>#NAME?</v>
      </c>
      <c r="E350" s="67" t="e">
        <f aca="false">#NAME!()</f>
        <v>#NAME?</v>
      </c>
      <c r="F350" s="67" t="e">
        <f aca="false">#NAME!()</f>
        <v>#NAME?</v>
      </c>
      <c r="G350" s="67" t="e">
        <f aca="false">#NAME!()</f>
        <v>#NAME?</v>
      </c>
    </row>
    <row r="351" customFormat="false" ht="11.25" hidden="false" customHeight="false" outlineLevel="0" collapsed="false">
      <c r="C351" s="67" t="e">
        <f aca="false">#NAME!()</f>
        <v>#NAME?</v>
      </c>
      <c r="D351" s="67" t="e">
        <f aca="false">#NAME!()</f>
        <v>#NAME?</v>
      </c>
      <c r="E351" s="67" t="e">
        <f aca="false">#NAME!()</f>
        <v>#NAME?</v>
      </c>
      <c r="F351" s="67" t="e">
        <f aca="false">#NAME!()</f>
        <v>#NAME?</v>
      </c>
      <c r="G351" s="67" t="e">
        <f aca="false">#NAME!()</f>
        <v>#NAME?</v>
      </c>
    </row>
    <row r="352" customFormat="false" ht="11.25" hidden="false" customHeight="false" outlineLevel="0" collapsed="false">
      <c r="C352" s="67" t="e">
        <f aca="false">#NAME!()</f>
        <v>#NAME?</v>
      </c>
      <c r="D352" s="67" t="e">
        <f aca="false">#NAME!()</f>
        <v>#NAME?</v>
      </c>
      <c r="E352" s="67" t="e">
        <f aca="false">#NAME!()</f>
        <v>#NAME?</v>
      </c>
      <c r="F352" s="67" t="e">
        <f aca="false">#NAME!()</f>
        <v>#NAME?</v>
      </c>
      <c r="G352" s="67" t="e">
        <f aca="false">#NAME!()</f>
        <v>#NAME?</v>
      </c>
    </row>
    <row r="355" customFormat="false" ht="12.75" hidden="false" customHeight="false" outlineLevel="0" collapsed="false">
      <c r="A355" s="630" t="s">
        <v>1302</v>
      </c>
    </row>
    <row r="356" customFormat="false" ht="12.75" hidden="false" customHeight="false" outlineLevel="0" collapsed="false">
      <c r="D356" s="67" t="n">
        <v>320</v>
      </c>
      <c r="E356" s="67" t="n">
        <v>100</v>
      </c>
      <c r="F356" s="630" t="s">
        <v>1303</v>
      </c>
    </row>
    <row r="357" customFormat="false" ht="12.75" hidden="false" customHeight="false" outlineLevel="0" collapsed="false">
      <c r="A357" s="67" t="n">
        <v>3</v>
      </c>
      <c r="B357" s="67" t="n">
        <v>10</v>
      </c>
      <c r="C357" s="67" t="n">
        <v>10</v>
      </c>
      <c r="D357" s="67" t="n">
        <v>140</v>
      </c>
      <c r="F357" s="630" t="s">
        <v>1304</v>
      </c>
    </row>
    <row r="358" customFormat="false" ht="12.75" hidden="false" customHeight="false" outlineLevel="0" collapsed="false">
      <c r="A358" s="67" t="n">
        <v>3</v>
      </c>
      <c r="B358" s="67" t="n">
        <v>10</v>
      </c>
      <c r="C358" s="67" t="n">
        <v>40</v>
      </c>
      <c r="D358" s="67" t="n">
        <v>140</v>
      </c>
      <c r="F358" s="630" t="s">
        <v>1305</v>
      </c>
    </row>
    <row r="359" customFormat="false" ht="12.75" hidden="false" customHeight="false" outlineLevel="0" collapsed="false">
      <c r="A359" s="67" t="n">
        <v>3</v>
      </c>
      <c r="B359" s="67" t="n">
        <v>170</v>
      </c>
      <c r="C359" s="67" t="n">
        <v>10</v>
      </c>
      <c r="D359" s="67" t="n">
        <v>140</v>
      </c>
      <c r="F359" s="630" t="s">
        <v>1306</v>
      </c>
    </row>
    <row r="360" customFormat="false" ht="12.75" hidden="false" customHeight="false" outlineLevel="0" collapsed="false">
      <c r="A360" s="67" t="n">
        <v>3</v>
      </c>
      <c r="B360" s="67" t="n">
        <v>170</v>
      </c>
      <c r="C360" s="67" t="n">
        <v>40</v>
      </c>
      <c r="D360" s="67" t="n">
        <v>140</v>
      </c>
      <c r="F360" s="630" t="s">
        <v>1307</v>
      </c>
    </row>
    <row r="361" customFormat="false" ht="12.75" hidden="false" customHeight="false" outlineLevel="0" collapsed="false">
      <c r="A361" s="67" t="n">
        <v>3</v>
      </c>
      <c r="B361" s="67" t="n">
        <v>10</v>
      </c>
      <c r="C361" s="67" t="n">
        <v>70</v>
      </c>
      <c r="D361" s="67" t="n">
        <v>140</v>
      </c>
      <c r="F361" s="630" t="s">
        <v>1308</v>
      </c>
    </row>
    <row r="362" customFormat="false" ht="11.25" hidden="false" customHeight="false" outlineLevel="0" collapsed="false">
      <c r="A362" s="67" t="n">
        <v>2</v>
      </c>
      <c r="B362" s="67" t="n">
        <v>170</v>
      </c>
      <c r="C362" s="67" t="n">
        <v>70</v>
      </c>
      <c r="D362" s="67" t="n">
        <v>140</v>
      </c>
      <c r="F362" s="67" t="s">
        <v>1187</v>
      </c>
    </row>
    <row r="363" customFormat="false" ht="11.25" hidden="false" customHeight="false" outlineLevel="0" collapsed="false">
      <c r="A363" s="67" t="n">
        <v>5</v>
      </c>
      <c r="B363" s="67" t="n">
        <v>85</v>
      </c>
      <c r="C363" s="67" t="n">
        <v>14</v>
      </c>
    </row>
    <row r="368" customFormat="false" ht="12.75" hidden="false" customHeight="false" outlineLevel="0" collapsed="false">
      <c r="A368" s="630" t="s">
        <v>1309</v>
      </c>
      <c r="C368" s="630" t="s">
        <v>1310</v>
      </c>
      <c r="D368" s="630" t="s">
        <v>1311</v>
      </c>
      <c r="E368" s="630" t="s">
        <v>1312</v>
      </c>
      <c r="F368" s="630" t="s">
        <v>1313</v>
      </c>
      <c r="G368" s="630" t="s">
        <v>1314</v>
      </c>
    </row>
    <row r="369" customFormat="false" ht="12.75" hidden="false" customHeight="false" outlineLevel="0" collapsed="false">
      <c r="A369" s="67" t="e">
        <f aca="false">#NAME!()</f>
        <v>#NAME?</v>
      </c>
      <c r="C369" s="622" t="e">
        <f aca="false">#NAME!()</f>
        <v>#NAME?</v>
      </c>
      <c r="D369" s="622" t="e">
        <f aca="false">#NAME!()</f>
        <v>#NAME?</v>
      </c>
      <c r="E369" s="622" t="e">
        <f aca="false">#NAME!()</f>
        <v>#NAME?</v>
      </c>
      <c r="F369" s="622" t="e">
        <f aca="false">#NAME!()</f>
        <v>#NAME?</v>
      </c>
      <c r="G369" s="622" t="e">
        <f aca="false">#NAME!()</f>
        <v>#NAME?</v>
      </c>
      <c r="H369" s="622"/>
      <c r="I369" s="622"/>
      <c r="J369" s="622"/>
      <c r="K369" s="622"/>
      <c r="L369" s="622"/>
    </row>
    <row r="370" customFormat="false" ht="12.75" hidden="false" customHeight="false" outlineLevel="0" collapsed="false">
      <c r="A370" s="67" t="e">
        <f aca="false">IF(A369=FALSE(),#NAME!())</f>
        <v>#NAME?</v>
      </c>
      <c r="C370" s="622" t="e">
        <f aca="false">#NAME!()</f>
        <v>#NAME?</v>
      </c>
      <c r="D370" s="622" t="e">
        <f aca="false">#NAME!()</f>
        <v>#NAME?</v>
      </c>
      <c r="E370" s="622" t="e">
        <f aca="false">#NAME!()</f>
        <v>#NAME?</v>
      </c>
      <c r="F370" s="622" t="e">
        <f aca="false">#NAME!()</f>
        <v>#NAME?</v>
      </c>
      <c r="G370" s="622" t="e">
        <f aca="false">#NAME!()</f>
        <v>#NAME?</v>
      </c>
    </row>
    <row r="371" customFormat="false" ht="12.75" hidden="false" customHeight="false" outlineLevel="0" collapsed="false">
      <c r="A371" s="67" t="e">
        <f aca="false">IF(Term.Loan5,#NAME!())</f>
        <v>#VALUE!</v>
      </c>
      <c r="C371" s="622" t="e">
        <f aca="false">#NAME!()</f>
        <v>#NAME?</v>
      </c>
      <c r="D371" s="622" t="e">
        <f aca="false">#NAME!()</f>
        <v>#NAME?</v>
      </c>
      <c r="E371" s="622" t="e">
        <f aca="false">#NAME!()</f>
        <v>#NAME?</v>
      </c>
      <c r="F371" s="622" t="e">
        <f aca="false">#NAME!()</f>
        <v>#NAME?</v>
      </c>
      <c r="G371" s="622" t="e">
        <f aca="false">#NAME!()</f>
        <v>#NAME?</v>
      </c>
    </row>
    <row r="372" customFormat="false" ht="12.75" hidden="false" customHeight="false" outlineLevel="0" collapsed="false">
      <c r="A372" s="67" t="e">
        <f aca="false">IF(Sr.Sub5,#NAME!())</f>
        <v>#VALUE!</v>
      </c>
      <c r="C372" s="622" t="e">
        <f aca="false">#NAME!()</f>
        <v>#NAME?</v>
      </c>
      <c r="D372" s="622" t="e">
        <f aca="false">#NAME!()</f>
        <v>#NAME?</v>
      </c>
      <c r="E372" s="622" t="e">
        <f aca="false">#NAME!()</f>
        <v>#NAME?</v>
      </c>
      <c r="F372" s="622" t="e">
        <f aca="false">#NAME!()</f>
        <v>#NAME?</v>
      </c>
      <c r="G372" s="622" t="e">
        <f aca="false">#NAME!()</f>
        <v>#NAME?</v>
      </c>
    </row>
    <row r="373" customFormat="false" ht="12.75" hidden="false" customHeight="false" outlineLevel="0" collapsed="false">
      <c r="A373" s="67" t="e">
        <f aca="false">IF(Jr.Sub5,#NAME!())</f>
        <v>#VALUE!</v>
      </c>
      <c r="C373" s="622" t="e">
        <f aca="false">#NAME!()</f>
        <v>#NAME?</v>
      </c>
      <c r="D373" s="622" t="e">
        <f aca="false">#NAME!()</f>
        <v>#NAME?</v>
      </c>
      <c r="E373" s="622" t="e">
        <f aca="false">#NAME!()</f>
        <v>#NAME?</v>
      </c>
      <c r="F373" s="622" t="e">
        <f aca="false">#NAME!()</f>
        <v>#NAME?</v>
      </c>
      <c r="G373" s="622" t="e">
        <f aca="false">#NAME!()</f>
        <v>#NAME?</v>
      </c>
    </row>
    <row r="374" customFormat="false" ht="12.75" hidden="false" customHeight="false" outlineLevel="0" collapsed="false">
      <c r="A374" s="67" t="e">
        <f aca="false">IF(Preferred5,#NAME!())</f>
        <v>#VALUE!</v>
      </c>
      <c r="C374" s="622" t="e">
        <f aca="false">#NAME!()</f>
        <v>#NAME?</v>
      </c>
      <c r="D374" s="622" t="e">
        <f aca="false">#NAME!()</f>
        <v>#NAME?</v>
      </c>
      <c r="E374" s="622" t="e">
        <f aca="false">#NAME!()</f>
        <v>#NAME?</v>
      </c>
      <c r="F374" s="622" t="e">
        <f aca="false">#NAME!()</f>
        <v>#NAME?</v>
      </c>
      <c r="G374" s="622" t="e">
        <f aca="false">#NAME!()</f>
        <v>#NAME?</v>
      </c>
    </row>
    <row r="375" customFormat="false" ht="12.75" hidden="false" customHeight="false" outlineLevel="0" collapsed="false">
      <c r="A375" s="67" t="e">
        <f aca="false">IF(Common5,#NAME!())</f>
        <v>#VALUE!</v>
      </c>
      <c r="C375" s="622" t="e">
        <f aca="false">#NAME!()</f>
        <v>#NAME?</v>
      </c>
      <c r="D375" s="622" t="e">
        <f aca="false">#NAME!()</f>
        <v>#NAME?</v>
      </c>
      <c r="E375" s="622" t="e">
        <f aca="false">#NAME!()</f>
        <v>#NAME?</v>
      </c>
      <c r="F375" s="622" t="e">
        <f aca="false">#NAME!()</f>
        <v>#NAME?</v>
      </c>
      <c r="G375" s="622" t="e">
        <f aca="false">#NAME!()</f>
        <v>#NAME?</v>
      </c>
    </row>
    <row r="376" customFormat="false" ht="12.75" hidden="false" customHeight="false" outlineLevel="0" collapsed="false">
      <c r="A376" s="67" t="e">
        <f aca="false">#NAME!()</f>
        <v>#NAME?</v>
      </c>
      <c r="C376" s="622" t="e">
        <f aca="false">#NAME!()</f>
        <v>#NAME?</v>
      </c>
      <c r="D376" s="622" t="e">
        <f aca="false">#NAME!()</f>
        <v>#NAME?</v>
      </c>
      <c r="E376" s="622" t="e">
        <f aca="false">#NAME!()</f>
        <v>#NAME?</v>
      </c>
      <c r="F376" s="622" t="e">
        <f aca="false">#NAME!()</f>
        <v>#NAME?</v>
      </c>
      <c r="G376" s="622" t="e">
        <f aca="false">#NAME!()</f>
        <v>#NAME?</v>
      </c>
    </row>
    <row r="377" customFormat="false" ht="12.75" hidden="false" customHeight="false" outlineLevel="0" collapsed="false">
      <c r="C377" s="622" t="e">
        <f aca="false">#NAME!()</f>
        <v>#NAME?</v>
      </c>
      <c r="D377" s="622" t="e">
        <f aca="false">#NAME!()</f>
        <v>#NAME?</v>
      </c>
      <c r="E377" s="622" t="e">
        <f aca="false">#NAME!()</f>
        <v>#NAME?</v>
      </c>
      <c r="F377" s="622" t="e">
        <f aca="false">#NAME!()</f>
        <v>#NAME?</v>
      </c>
      <c r="G377" s="622" t="e">
        <f aca="false">#NAME!()</f>
        <v>#NAME?</v>
      </c>
    </row>
    <row r="378" customFormat="false" ht="12.75" hidden="false" customHeight="false" outlineLevel="0" collapsed="false">
      <c r="C378" s="622" t="e">
        <f aca="false">#NAME!()</f>
        <v>#NAME?</v>
      </c>
      <c r="D378" s="622" t="e">
        <f aca="false">#NAME!()</f>
        <v>#NAME?</v>
      </c>
      <c r="E378" s="622" t="e">
        <f aca="false">#NAME!()</f>
        <v>#NAME?</v>
      </c>
      <c r="F378" s="622" t="e">
        <f aca="false">#NAME!()</f>
        <v>#NAME?</v>
      </c>
      <c r="G378" s="622" t="e">
        <f aca="false">#NAME!()</f>
        <v>#NAME?</v>
      </c>
    </row>
    <row r="379" customFormat="false" ht="12.75" hidden="false" customHeight="false" outlineLevel="0" collapsed="false">
      <c r="C379" s="622" t="e">
        <f aca="false">#NAME!()</f>
        <v>#NAME?</v>
      </c>
      <c r="D379" s="622" t="e">
        <f aca="false">#NAME!()</f>
        <v>#NAME?</v>
      </c>
      <c r="E379" s="622" t="e">
        <f aca="false">#NAME!()</f>
        <v>#NAME?</v>
      </c>
      <c r="F379" s="622" t="e">
        <f aca="false">#NAME!()</f>
        <v>#NAME?</v>
      </c>
      <c r="G379" s="622" t="e">
        <f aca="false">#NAME!()</f>
        <v>#NAME?</v>
      </c>
    </row>
    <row r="380" customFormat="false" ht="12.75" hidden="false" customHeight="false" outlineLevel="0" collapsed="false">
      <c r="C380" s="622" t="e">
        <f aca="false">#NAME!()</f>
        <v>#NAME?</v>
      </c>
      <c r="D380" s="622" t="e">
        <f aca="false">#NAME!()</f>
        <v>#NAME?</v>
      </c>
      <c r="E380" s="622" t="e">
        <f aca="false">#NAME!()</f>
        <v>#NAME?</v>
      </c>
      <c r="F380" s="622" t="e">
        <f aca="false">#NAME!()</f>
        <v>#NAME?</v>
      </c>
      <c r="G380" s="622" t="e">
        <f aca="false">#NAME!()</f>
        <v>#NAME?</v>
      </c>
    </row>
    <row r="381" customFormat="false" ht="12.75" hidden="false" customHeight="false" outlineLevel="0" collapsed="false">
      <c r="C381" s="622" t="e">
        <f aca="false">#NAME!()</f>
        <v>#NAME?</v>
      </c>
      <c r="D381" s="622" t="e">
        <f aca="false">#NAME!()</f>
        <v>#NAME?</v>
      </c>
      <c r="E381" s="622" t="e">
        <f aca="false">#NAME!()</f>
        <v>#NAME?</v>
      </c>
      <c r="F381" s="622" t="e">
        <f aca="false">#NAME!()</f>
        <v>#NAME?</v>
      </c>
      <c r="G381" s="622" t="e">
        <f aca="false">#NAME!()</f>
        <v>#NAME?</v>
      </c>
    </row>
    <row r="382" customFormat="false" ht="11.25" hidden="false" customHeight="false" outlineLevel="0" collapsed="false">
      <c r="C382" s="67" t="e">
        <f aca="false">#NAME!()</f>
        <v>#NAME?</v>
      </c>
      <c r="D382" s="67" t="e">
        <f aca="false">#NAME!()</f>
        <v>#NAME?</v>
      </c>
      <c r="E382" s="67" t="e">
        <f aca="false">#NAME!()</f>
        <v>#NAME?</v>
      </c>
      <c r="F382" s="67" t="e">
        <f aca="false">#NAME!()</f>
        <v>#NAME?</v>
      </c>
      <c r="G382" s="67" t="e">
        <f aca="false">#NAME!()</f>
        <v>#NAME?</v>
      </c>
    </row>
    <row r="383" customFormat="false" ht="11.25" hidden="false" customHeight="false" outlineLevel="0" collapsed="false">
      <c r="C383" s="67" t="e">
        <f aca="false">#NAME!()</f>
        <v>#NAME?</v>
      </c>
      <c r="D383" s="67" t="e">
        <f aca="false">#NAME!()</f>
        <v>#NAME?</v>
      </c>
      <c r="E383" s="67" t="e">
        <f aca="false">#NAME!()</f>
        <v>#NAME?</v>
      </c>
      <c r="F383" s="67" t="e">
        <f aca="false">#NAME!()</f>
        <v>#NAME?</v>
      </c>
      <c r="G383" s="67" t="e">
        <f aca="false">#NAME!()</f>
        <v>#NAME?</v>
      </c>
    </row>
    <row r="384" customFormat="false" ht="11.25" hidden="false" customHeight="false" outlineLevel="0" collapsed="false">
      <c r="C384" s="67" t="e">
        <f aca="false">#NAME!()</f>
        <v>#NAME?</v>
      </c>
      <c r="D384" s="67" t="e">
        <f aca="false">#NAME!()</f>
        <v>#NAME?</v>
      </c>
      <c r="E384" s="67" t="e">
        <f aca="false">#NAME!()</f>
        <v>#NAME?</v>
      </c>
      <c r="F384" s="67" t="e">
        <f aca="false">#NAME!()</f>
        <v>#NAME?</v>
      </c>
      <c r="G384" s="67" t="e">
        <f aca="false">#NAME!()</f>
        <v>#NAME?</v>
      </c>
    </row>
    <row r="385" customFormat="false" ht="11.25" hidden="false" customHeight="false" outlineLevel="0" collapsed="false">
      <c r="C385" s="67" t="e">
        <f aca="false">#NAME!()</f>
        <v>#NAME?</v>
      </c>
      <c r="D385" s="67" t="e">
        <f aca="false">#NAME!()</f>
        <v>#NAME?</v>
      </c>
      <c r="E385" s="67" t="e">
        <f aca="false">#NAME!()</f>
        <v>#NAME?</v>
      </c>
      <c r="F385" s="67" t="e">
        <f aca="false">#NAME!()</f>
        <v>#NAME?</v>
      </c>
      <c r="G385" s="67" t="e">
        <f aca="false">#NAME!()</f>
        <v>#NAME?</v>
      </c>
    </row>
    <row r="386" customFormat="false" ht="11.25" hidden="false" customHeight="false" outlineLevel="0" collapsed="false">
      <c r="C386" s="67" t="e">
        <f aca="false">#NAME!()</f>
        <v>#NAME?</v>
      </c>
      <c r="D386" s="67" t="e">
        <f aca="false">#NAME!()</f>
        <v>#NAME?</v>
      </c>
      <c r="E386" s="67" t="e">
        <f aca="false">#NAME!()</f>
        <v>#NAME?</v>
      </c>
      <c r="F386" s="67" t="e">
        <f aca="false">#NAME!()</f>
        <v>#NAME?</v>
      </c>
      <c r="G386" s="67" t="e">
        <f aca="false">#NAME!()</f>
        <v>#NAME?</v>
      </c>
    </row>
    <row r="387" customFormat="false" ht="11.25" hidden="false" customHeight="false" outlineLevel="0" collapsed="false">
      <c r="C387" s="67" t="e">
        <f aca="false">#NAME!()</f>
        <v>#NAME?</v>
      </c>
      <c r="D387" s="67" t="e">
        <f aca="false">#NAME!()</f>
        <v>#NAME?</v>
      </c>
      <c r="E387" s="67" t="e">
        <f aca="false">#NAME!()</f>
        <v>#NAME?</v>
      </c>
      <c r="F387" s="67" t="e">
        <f aca="false">#NAME!()</f>
        <v>#NAME?</v>
      </c>
      <c r="G387" s="67" t="e">
        <f aca="false">#NAME!()</f>
        <v>#NAME?</v>
      </c>
    </row>
    <row r="388" customFormat="false" ht="11.25" hidden="false" customHeight="false" outlineLevel="0" collapsed="false">
      <c r="C388" s="67" t="e">
        <f aca="false">#NAME!()</f>
        <v>#NAME?</v>
      </c>
      <c r="D388" s="67" t="e">
        <f aca="false">#NAME!()</f>
        <v>#NAME?</v>
      </c>
      <c r="E388" s="67" t="e">
        <f aca="false">#NAME!()</f>
        <v>#NAME?</v>
      </c>
      <c r="F388" s="67" t="e">
        <f aca="false">#NAME!()</f>
        <v>#NAME?</v>
      </c>
      <c r="G388" s="67" t="e">
        <f aca="false">#NAME!()</f>
        <v>#NAME?</v>
      </c>
    </row>
    <row r="391" customFormat="false" ht="12.75" hidden="false" customHeight="false" outlineLevel="0" collapsed="false">
      <c r="A391" s="630" t="s">
        <v>1315</v>
      </c>
    </row>
    <row r="392" customFormat="false" ht="12.75" hidden="false" customHeight="false" outlineLevel="0" collapsed="false">
      <c r="D392" s="67" t="n">
        <v>320</v>
      </c>
      <c r="E392" s="67" t="n">
        <v>100</v>
      </c>
      <c r="F392" s="630" t="s">
        <v>1303</v>
      </c>
    </row>
    <row r="393" customFormat="false" ht="12.75" hidden="false" customHeight="false" outlineLevel="0" collapsed="false">
      <c r="A393" s="67" t="n">
        <v>3</v>
      </c>
      <c r="B393" s="67" t="n">
        <v>10</v>
      </c>
      <c r="C393" s="67" t="n">
        <v>10</v>
      </c>
      <c r="D393" s="67" t="n">
        <v>140</v>
      </c>
      <c r="F393" s="630" t="s">
        <v>1304</v>
      </c>
    </row>
    <row r="394" customFormat="false" ht="12.75" hidden="false" customHeight="false" outlineLevel="0" collapsed="false">
      <c r="A394" s="67" t="n">
        <v>3</v>
      </c>
      <c r="B394" s="67" t="n">
        <v>10</v>
      </c>
      <c r="C394" s="67" t="n">
        <v>40</v>
      </c>
      <c r="D394" s="67" t="n">
        <v>140</v>
      </c>
      <c r="F394" s="630" t="s">
        <v>1305</v>
      </c>
    </row>
    <row r="395" customFormat="false" ht="12.75" hidden="false" customHeight="false" outlineLevel="0" collapsed="false">
      <c r="A395" s="67" t="n">
        <v>3</v>
      </c>
      <c r="B395" s="67" t="n">
        <v>170</v>
      </c>
      <c r="C395" s="67" t="n">
        <v>10</v>
      </c>
      <c r="D395" s="67" t="n">
        <v>140</v>
      </c>
      <c r="F395" s="630" t="s">
        <v>1306</v>
      </c>
    </row>
    <row r="396" customFormat="false" ht="12.75" hidden="false" customHeight="false" outlineLevel="0" collapsed="false">
      <c r="A396" s="67" t="n">
        <v>3</v>
      </c>
      <c r="B396" s="67" t="n">
        <v>170</v>
      </c>
      <c r="C396" s="67" t="n">
        <v>40</v>
      </c>
      <c r="D396" s="67" t="n">
        <v>140</v>
      </c>
      <c r="F396" s="630" t="s">
        <v>1307</v>
      </c>
    </row>
    <row r="397" customFormat="false" ht="12.75" hidden="false" customHeight="false" outlineLevel="0" collapsed="false">
      <c r="A397" s="67" t="n">
        <v>3</v>
      </c>
      <c r="B397" s="67" t="n">
        <v>10</v>
      </c>
      <c r="C397" s="67" t="n">
        <v>70</v>
      </c>
      <c r="D397" s="67" t="n">
        <v>140</v>
      </c>
      <c r="F397" s="630" t="s">
        <v>1308</v>
      </c>
    </row>
    <row r="398" customFormat="false" ht="11.25" hidden="false" customHeight="false" outlineLevel="0" collapsed="false">
      <c r="A398" s="67" t="n">
        <v>2</v>
      </c>
      <c r="B398" s="67" t="n">
        <v>170</v>
      </c>
      <c r="C398" s="67" t="n">
        <v>70</v>
      </c>
      <c r="D398" s="67" t="n">
        <v>140</v>
      </c>
      <c r="F398" s="67" t="s">
        <v>1187</v>
      </c>
    </row>
    <row r="399" customFormat="false" ht="11.25" hidden="false" customHeight="false" outlineLevel="0" collapsed="false">
      <c r="A399" s="67" t="n">
        <v>5</v>
      </c>
      <c r="B399" s="67" t="n">
        <v>85</v>
      </c>
      <c r="C399" s="67" t="n">
        <v>14</v>
      </c>
    </row>
    <row r="467" customFormat="false" ht="11.25" hidden="false" customHeight="false" outlineLevel="0" collapsed="false">
      <c r="A467" s="67" t="s">
        <v>1316</v>
      </c>
    </row>
    <row r="468" customFormat="false" ht="11.25" hidden="false" customHeight="false" outlineLevel="0" collapsed="false">
      <c r="A468" s="67" t="e">
        <f aca="false">#NAME!()</f>
        <v>#NAME?</v>
      </c>
    </row>
    <row r="469" customFormat="false" ht="11.25" hidden="false" customHeight="false" outlineLevel="0" collapsed="false">
      <c r="A469" s="67" t="e">
        <f aca="false">#NAME!()</f>
        <v>#NAME?</v>
      </c>
    </row>
    <row r="470" customFormat="false" ht="11.25" hidden="false" customHeight="false" outlineLevel="0" collapsed="false">
      <c r="A470" s="67" t="e">
        <f aca="false">#NAME!()</f>
        <v>#NAME?</v>
      </c>
    </row>
    <row r="471" customFormat="false" ht="11.25" hidden="false" customHeight="false" outlineLevel="0" collapsed="false">
      <c r="A471" s="67" t="e">
        <f aca="false">#NAME!()</f>
        <v>#NAME?</v>
      </c>
    </row>
    <row r="472" customFormat="false" ht="11.25" hidden="false" customHeight="false" outlineLevel="0" collapsed="false">
      <c r="A472" s="67" t="e">
        <f aca="false">#NAME!()</f>
        <v>#NAME?</v>
      </c>
    </row>
    <row r="473" customFormat="false" ht="11.25" hidden="false" customHeight="false" outlineLevel="0" collapsed="false">
      <c r="A473" s="67" t="e">
        <f aca="false">#NAME!()</f>
        <v>#NAME?</v>
      </c>
    </row>
    <row r="474" customFormat="false" ht="11.25" hidden="false" customHeight="false" outlineLevel="0" collapsed="false">
      <c r="A474" s="67" t="e">
        <f aca="false">#NAME!()</f>
        <v>#NAME?</v>
      </c>
    </row>
    <row r="475" customFormat="false" ht="11.25" hidden="false" customHeight="false" outlineLevel="0" collapsed="false">
      <c r="A475" s="67" t="e">
        <f aca="false">#NAME!()</f>
        <v>#NAME?</v>
      </c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" zoomScaleNormal="10" zoomScalePageLayoutView="10" workbookViewId="0">
      <selection pane="topLeft" activeCell="A1" activeCellId="0" sqref="A1"/>
    </sheetView>
  </sheetViews>
  <sheetFormatPr defaultColWidth="14.3867187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.16015625" defaultRowHeight="5.25" customHeight="true" zeroHeight="false" outlineLevelRow="0" outlineLevelCol="0"/>
  <sheetData/>
  <sheetProtection sheet="true" objects="true" scenarios="true"/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2">
              <controlPr defaultSize="0" print="true" autoFill="0" autoPict="0">
                <anchor moveWithCells="true" sizeWithCells="false">
                  <from>
                    <xdr:col>57</xdr:col>
                    <xdr:colOff>0</xdr:colOff>
                    <xdr:row>15</xdr:row>
                    <xdr:rowOff>0</xdr:rowOff>
                  </from>
                  <to>
                    <xdr:col>66</xdr:col>
                    <xdr:colOff>65520</xdr:colOff>
                    <xdr:row>17</xdr:row>
                    <xdr:rowOff>66600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4" name="Button 3">
              <controlPr defaultSize="0" print="true" autoFill="0" autoPict="0">
                <anchor moveWithCells="true" sizeWithCells="false">
                  <from>
                    <xdr:col>57</xdr:col>
                    <xdr:colOff>0</xdr:colOff>
                    <xdr:row>20</xdr:row>
                    <xdr:rowOff>0</xdr:rowOff>
                  </from>
                  <to>
                    <xdr:col>66</xdr:col>
                    <xdr:colOff>65520</xdr:colOff>
                    <xdr:row>22</xdr:row>
                    <xdr:rowOff>66600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3" r:id="rId5" name="Button 8">
              <controlPr defaultSize="0" print="true" autoFill="0" autoPict="0">
                <anchor moveWithCells="true" sizeWithCells="false">
                  <from>
                    <xdr:col>43</xdr:col>
                    <xdr:colOff>0</xdr:colOff>
                    <xdr:row>20</xdr:row>
                    <xdr:rowOff>0</xdr:rowOff>
                  </from>
                  <to>
                    <xdr:col>52</xdr:col>
                    <xdr:colOff>360</xdr:colOff>
                    <xdr:row>22</xdr:row>
                    <xdr:rowOff>66600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.16015625" defaultRowHeight="5.25" customHeight="true" zeroHeight="false" outlineLevelRow="0" outlineLevelCol="0"/>
  <sheetData/>
  <sheetProtection sheet="true" objects="true" scenarios="true"/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2">
              <controlPr defaultSize="0" print="true" autoFill="0" autoPict="0">
                <anchor moveWithCells="true" sizeWithCells="false">
                  <from>
                    <xdr:col>69</xdr:col>
                    <xdr:colOff>28080</xdr:colOff>
                    <xdr:row>19</xdr:row>
                    <xdr:rowOff>56880</xdr:rowOff>
                  </from>
                  <to>
                    <xdr:col>79</xdr:col>
                    <xdr:colOff>28080</xdr:colOff>
                    <xdr:row>22</xdr:row>
                    <xdr:rowOff>56880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4" name="Button 3">
              <controlPr defaultSize="0" print="true" autoFill="0" autoPict="0" macro="xls.Module1.button3_click">
                <anchor moveWithCells="true" sizeWithCells="false">
                  <from>
                    <xdr:col>69</xdr:col>
                    <xdr:colOff>28080</xdr:colOff>
                    <xdr:row>23</xdr:row>
                    <xdr:rowOff>56880</xdr:rowOff>
                  </from>
                  <to>
                    <xdr:col>79</xdr:col>
                    <xdr:colOff>28080</xdr:colOff>
                    <xdr:row>26</xdr:row>
                    <xdr:rowOff>57240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1996-11-06T13:35:01Z</dcterms:created>
  <dc:creator>Vail, Andrea</dc:creator>
  <dc:description/>
  <dc:language>en-US</dc:language>
  <cp:lastModifiedBy>mruane</cp:lastModifiedBy>
  <cp:revision>0</cp:revision>
  <dc:subject>Cash Flow Model</dc:subject>
  <dc:title>CFBook.xlw</dc:title>
</cp:coreProperties>
</file>