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Quotes" sheetId="1" state="visible" r:id="rId3"/>
    <sheet name="Pricing" sheetId="2" state="visible" r:id="rId4"/>
    <sheet name="Assumptions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<sst xmlns="http://schemas.openxmlformats.org/spreadsheetml/2006/main" count="207" uniqueCount="56">
  <si>
    <t xml:space="preserve"> </t>
  </si>
  <si>
    <t xml:space="preserve">Breakeven</t>
  </si>
  <si>
    <t xml:space="preserve">Term:</t>
  </si>
  <si>
    <t xml:space="preserve">Year</t>
  </si>
  <si>
    <t xml:space="preserve">Technology:</t>
  </si>
  <si>
    <t xml:space="preserve">NOx tons p.a.:</t>
  </si>
  <si>
    <t xml:space="preserve">Nox Notional Bid</t>
  </si>
  <si>
    <t xml:space="preserve">Contract Qty:</t>
  </si>
  <si>
    <t xml:space="preserve">Full eval cost:</t>
  </si>
  <si>
    <t xml:space="preserve">strip</t>
  </si>
  <si>
    <t xml:space="preserve">ton</t>
  </si>
  <si>
    <t xml:space="preserve">NPV upfront</t>
  </si>
  <si>
    <t xml:space="preserve">Call Price:</t>
  </si>
  <si>
    <t xml:space="preserve">premium</t>
  </si>
  <si>
    <t xml:space="preserve">strike</t>
  </si>
  <si>
    <t xml:space="preserve">discount</t>
  </si>
  <si>
    <t xml:space="preserve">NPV</t>
  </si>
  <si>
    <t xml:space="preserve">US Treasury Yield Curve</t>
  </si>
  <si>
    <t xml:space="preserve">day count</t>
  </si>
  <si>
    <t xml:space="preserve">discount rate</t>
  </si>
  <si>
    <t xml:space="preserve">Day Count</t>
  </si>
  <si>
    <t xml:space="preserve">Bid</t>
  </si>
  <si>
    <t xml:space="preserve">Offer</t>
  </si>
  <si>
    <t xml:space="preserve">NOxTech</t>
  </si>
  <si>
    <t xml:space="preserve">    capex</t>
  </si>
  <si>
    <t xml:space="preserve">PV</t>
  </si>
  <si>
    <t xml:space="preserve">O/N</t>
  </si>
  <si>
    <t xml:space="preserve">    var costs</t>
  </si>
  <si>
    <t xml:space="preserve">3M</t>
  </si>
  <si>
    <t xml:space="preserve">6M</t>
  </si>
  <si>
    <t xml:space="preserve">Total NPV</t>
  </si>
  <si>
    <t xml:space="preserve">9M</t>
  </si>
  <si>
    <t xml:space="preserve">Rotamix</t>
  </si>
  <si>
    <t xml:space="preserve">BARRY 2</t>
  </si>
  <si>
    <t xml:space="preserve">YATES 5</t>
  </si>
  <si>
    <t xml:space="preserve">discount rate:</t>
  </si>
  <si>
    <t xml:space="preserve">term:</t>
  </si>
  <si>
    <t xml:space="preserve">unit size (MW)</t>
  </si>
  <si>
    <t xml:space="preserve">heat rate:</t>
  </si>
  <si>
    <t xml:space="preserve">capacity:</t>
  </si>
  <si>
    <t xml:space="preserve">heat input:</t>
  </si>
  <si>
    <t xml:space="preserve">annual</t>
  </si>
  <si>
    <t xml:space="preserve">O3 season</t>
  </si>
  <si>
    <t xml:space="preserve">generation:</t>
  </si>
  <si>
    <t xml:space="preserve">NOx (uncontrolled)</t>
  </si>
  <si>
    <t xml:space="preserve">rate</t>
  </si>
  <si>
    <t xml:space="preserve">tons</t>
  </si>
  <si>
    <t xml:space="preserve">Control technology:</t>
  </si>
  <si>
    <t xml:space="preserve">Noxtech</t>
  </si>
  <si>
    <t xml:space="preserve">efficiency</t>
  </si>
  <si>
    <t xml:space="preserve">capex</t>
  </si>
  <si>
    <t xml:space="preserve">annual o+m</t>
  </si>
  <si>
    <t xml:space="preserve">NPV over term</t>
  </si>
  <si>
    <t xml:space="preserve">NOx emissions (post control):</t>
  </si>
  <si>
    <t xml:space="preserve">tons destroyed (annual):</t>
  </si>
  <si>
    <t xml:space="preserve">variable cost/ ton destroyed: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</si>
</sst>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%"/>
    <numFmt numFmtId="166" formatCode="0"/>
    <numFmt numFmtId="167" formatCode="_(* #,##0.00_);_(* \(#,##0.00\);_(* \-??_);_(@_)"/>
    <numFmt numFmtId="168" formatCode="_(* #,##0_);_(* \(#,##0\);_(* \-??_);_(@_)"/>
    <numFmt numFmtId="169" formatCode="_(\$* #,##0.00_);_(\$* \(#,##0.00\);_(\$* \-??_);_(@_)"/>
    <numFmt numFmtId="170" formatCode="_(\$* #,##0_);_(\$* \(#,##0\);_(\$* \-??_);_(@_)"/>
    <numFmt numFmtId="171" formatCode="mmmm\ d&quot;, &quot;yyyy"/>
    <numFmt numFmtId="172" formatCode="[$-409]m/d/yyyy"/>
    <numFmt numFmtId="173" formatCode="0.00%"/>
    <numFmt numFmtId="174" formatCode="0.0%"/>
    <numFmt numFmtId="175" formatCode="#,##0"/>
    <numFmt numFmtId="176" formatCode="0.000"/>
    <numFmt numFmtId="177" formatCode="_(* #,##0.000_);_(* \(#,##0.000\);_(* \-??_);_(@_)"/>
    <numFmt numFmtId="17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1"/>
      <name val="Arial"/>
      <family val="2"/>
    </font>
    <font>
      <sz val="10"/>
      <name val="Arial"/>
      <family val="2"/>
    </font>
    <font>
      <b val="true"/>
      <i val="true"/>
      <u val="single"/>
      <sz val="1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800000"/>
      <name val="Arial"/>
      <family val="2"/>
    </font>
    <font>
      <b val="true"/>
      <i val="true"/>
      <u val="single"/>
      <sz val="12"/>
      <name val="Arial"/>
      <family val="2"/>
    </font>
    <font>
      <b val="true"/>
      <sz val="9"/>
      <name val="Arial"/>
      <family val="2"/>
    </font>
    <font>
      <sz val="8"/>
      <name val="Arial"/>
      <family val="2"/>
    </font>
    <font>
      <b val="true"/>
      <sz val="8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 val="true"/>
      <sz val="10"/>
      <color rgb="FF3366FF"/>
      <name val="Arial"/>
      <family val="2"/>
    </font>
    <font>
      <b val="true"/>
      <sz val="9.75"/>
      <color rgb="FF000000"/>
      <name val="Arial"/>
      <family val="2"/>
    </font>
    <font>
      <sz val="8.25"/>
      <color rgb="FF000000"/>
      <name val="Arial"/>
      <family val="2"/>
    </font>
    <font>
      <i val="true"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4C4C72"/>
        <bgColor rgb="FF666699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thick"/>
      <right style="thick"/>
      <top style="thick"/>
      <bottom style="thick"/>
      <diagonal/>
    </border>
    <border diagonalUp="false" diagonalDown="false">
      <left style="thick"/>
      <right/>
      <top style="thick"/>
      <bottom style="thick"/>
      <diagonal/>
    </border>
    <border diagonalUp="false" diagonalDown="false">
      <left/>
      <right style="thick"/>
      <top style="thick"/>
      <bottom style="thick"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 style="thick"/>
      <top/>
      <bottom style="thick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9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6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0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3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16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73" fontId="15" fillId="0" borderId="0" xfId="19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1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4C4C72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975" strike="noStrike" u="none">
                <a:solidFill>
                  <a:srgbClr val="000000"/>
                </a:solidFill>
                <a:uFillTx/>
                <a:latin typeface="Arial"/>
              </a:rPr>
              <a:t>Treasury Yield Curve</a:t>
            </a:r>
          </a:p>
        </c:rich>
      </c:tx>
      <c:layout>
        <c:manualLayout>
          <c:xMode val="edge"/>
          <c:yMode val="edge"/>
          <c:x val="0.349277329713328"/>
          <c:y val="0.112970711297071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16034496526391"/>
          <c:y val="0.179393305439331"/>
          <c:w val="0.936596662141659"/>
          <c:h val="0.78739539748954"/>
        </c:manualLayout>
      </c:layout>
      <c:lineChart>
        <c:grouping val="standard"/>
        <c:varyColors val="0"/>
        <c:ser>
          <c:idx val="0"/>
          <c:order val="0"/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Pricing!$U$14:$U$33</c:f>
              <c:numCache>
                <c:formatCode>0.00%</c:formatCode>
                <c:ptCount val="20"/>
                <c:pt idx="0">
                  <c:v>0.065</c:v>
                </c:pt>
                <c:pt idx="1">
                  <c:v>0.064</c:v>
                </c:pt>
                <c:pt idx="2">
                  <c:v>0.063</c:v>
                </c:pt>
                <c:pt idx="3">
                  <c:v>0.062</c:v>
                </c:pt>
                <c:pt idx="4">
                  <c:v>0.0601</c:v>
                </c:pt>
                <c:pt idx="5">
                  <c:v>0.0593</c:v>
                </c:pt>
                <c:pt idx="6">
                  <c:v>0.059</c:v>
                </c:pt>
                <c:pt idx="7">
                  <c:v>0.0585</c:v>
                </c:pt>
                <c:pt idx="8">
                  <c:v>0.058</c:v>
                </c:pt>
                <c:pt idx="9">
                  <c:v>0.0579</c:v>
                </c:pt>
                <c:pt idx="10">
                  <c:v>0.0578</c:v>
                </c:pt>
                <c:pt idx="11">
                  <c:v>0.0578</c:v>
                </c:pt>
                <c:pt idx="12">
                  <c:v>0.0578</c:v>
                </c:pt>
                <c:pt idx="13">
                  <c:v>0.0577</c:v>
                </c:pt>
                <c:pt idx="14">
                  <c:v>0.0576</c:v>
                </c:pt>
                <c:pt idx="15">
                  <c:v>0.0575</c:v>
                </c:pt>
                <c:pt idx="16">
                  <c:v>0.0574</c:v>
                </c:pt>
                <c:pt idx="17">
                  <c:v>0.0573</c:v>
                </c:pt>
                <c:pt idx="18">
                  <c:v>0.0572</c:v>
                </c:pt>
                <c:pt idx="19">
                  <c:v>0.0582</c:v>
                </c:pt>
              </c:numCache>
            </c:numRef>
          </c:val>
          <c:smooth val="0"/>
        </c:ser>
        <c:ser>
          <c:idx val="1"/>
          <c:order val="1"/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Pricing!$V$14:$V$33</c:f>
              <c:numCache>
                <c:formatCode>0.00%</c:formatCode>
                <c:ptCount val="20"/>
                <c:pt idx="0">
                  <c:v>0.064</c:v>
                </c:pt>
                <c:pt idx="1">
                  <c:v>0.063</c:v>
                </c:pt>
                <c:pt idx="2">
                  <c:v>0.062</c:v>
                </c:pt>
                <c:pt idx="3">
                  <c:v>0.061</c:v>
                </c:pt>
                <c:pt idx="4">
                  <c:v>0.0591</c:v>
                </c:pt>
                <c:pt idx="5">
                  <c:v>0.0583</c:v>
                </c:pt>
                <c:pt idx="6">
                  <c:v>0.058</c:v>
                </c:pt>
                <c:pt idx="7">
                  <c:v>0.0575</c:v>
                </c:pt>
                <c:pt idx="8">
                  <c:v>0.057</c:v>
                </c:pt>
                <c:pt idx="9">
                  <c:v>0.0569</c:v>
                </c:pt>
                <c:pt idx="10">
                  <c:v>0.0568</c:v>
                </c:pt>
                <c:pt idx="11">
                  <c:v>0.0568</c:v>
                </c:pt>
                <c:pt idx="12">
                  <c:v>0.0568</c:v>
                </c:pt>
                <c:pt idx="13">
                  <c:v>0.0567</c:v>
                </c:pt>
                <c:pt idx="14">
                  <c:v>0.0566</c:v>
                </c:pt>
                <c:pt idx="15">
                  <c:v>0.0565</c:v>
                </c:pt>
                <c:pt idx="16">
                  <c:v>0.0564</c:v>
                </c:pt>
                <c:pt idx="17">
                  <c:v>0.0563</c:v>
                </c:pt>
                <c:pt idx="18">
                  <c:v>0.0562</c:v>
                </c:pt>
                <c:pt idx="19">
                  <c:v>0.0572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30672445"/>
        <c:axId val="30162964"/>
      </c:lineChart>
      <c:catAx>
        <c:axId val="3067244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162964"/>
        <c:crossesAt val="0"/>
        <c:auto val="1"/>
        <c:lblAlgn val="ctr"/>
        <c:lblOffset val="100"/>
        <c:noMultiLvlLbl val="0"/>
      </c:catAx>
      <c:valAx>
        <c:axId val="3016296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0.00%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067244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22</xdr:col>
      <xdr:colOff>0</xdr:colOff>
      <xdr:row>8</xdr:row>
      <xdr:rowOff>0</xdr:rowOff>
    </xdr:from>
    <xdr:to>
      <xdr:col>29</xdr:col>
      <xdr:colOff>40680</xdr:colOff>
      <xdr:row>24</xdr:row>
      <xdr:rowOff>162000</xdr:rowOff>
    </xdr:to>
    <xdr:graphicFrame>
      <xdr:nvGraphicFramePr>
        <xdr:cNvPr id="0" name="Chart 1"/>
        <xdr:cNvGraphicFramePr/>
      </xdr:nvGraphicFramePr>
      <xdr:xfrm>
        <a:off x="14543280" y="1314360"/>
        <a:ext cx="4507920" cy="27529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3" style="0" width="8.41"/>
    <col collapsed="false" customWidth="true" hidden="false" outlineLevel="0" max="4" min="4" style="0" width="6.41"/>
    <col collapsed="false" customWidth="true" hidden="false" outlineLevel="0" max="5" min="5" style="0" width="10.99"/>
    <col collapsed="false" customWidth="true" hidden="false" outlineLevel="0" max="6" min="6" style="0" width="14.85"/>
    <col collapsed="false" customWidth="true" hidden="false" outlineLevel="0" max="9" min="9" style="0" width="16.7"/>
    <col collapsed="false" customWidth="true" hidden="false" outlineLevel="0" max="10" min="10" style="0" width="14.85"/>
    <col collapsed="false" customWidth="true" hidden="false" outlineLevel="0" max="13" min="11" style="0" width="12.85"/>
    <col collapsed="false" customWidth="true" hidden="false" outlineLevel="0" max="19" min="14" style="0" width="11.28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</row>
    <row r="4" customFormat="false" ht="12.75" hidden="false" customHeight="false" outlineLevel="0" collapsed="false">
      <c r="A4" s="1" t="s">
        <v>0</v>
      </c>
      <c r="B4" s="1" t="s">
        <v>0</v>
      </c>
      <c r="C4" s="1" t="s">
        <v>0</v>
      </c>
      <c r="D4" s="1"/>
      <c r="E4" s="1"/>
      <c r="F4" s="1"/>
      <c r="G4" s="1" t="s">
        <v>0</v>
      </c>
      <c r="H4" s="1"/>
      <c r="I4" s="1"/>
      <c r="J4" s="1"/>
    </row>
    <row r="5" customFormat="false" ht="12.75" hidden="false" customHeight="false" outlineLevel="0" collapsed="false">
      <c r="A5" s="1"/>
      <c r="B5" s="1"/>
      <c r="C5" s="1"/>
      <c r="D5" s="1"/>
      <c r="E5" s="1"/>
      <c r="F5" s="1"/>
      <c r="G5" s="1"/>
      <c r="H5" s="1"/>
      <c r="I5" s="1"/>
      <c r="J5" s="1"/>
    </row>
    <row r="6" customFormat="false" ht="14.25" hidden="false" customHeight="false" outlineLevel="0" collapsed="false">
      <c r="D6" s="2" t="str">
        <f aca="false">Assumptions!$B$5</f>
        <v>BARRY 2</v>
      </c>
    </row>
    <row r="7" customFormat="false" ht="12.75" hidden="false" customHeight="false" outlineLevel="0" collapsed="false">
      <c r="A7" s="0" t="s">
        <v>1</v>
      </c>
      <c r="C7" s="3"/>
      <c r="D7" s="4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customFormat="false" ht="12.75" hidden="false" customHeight="false" outlineLevel="0" collapsed="false">
      <c r="C8" s="3"/>
      <c r="D8" s="4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customFormat="false" ht="12.75" hidden="false" customHeight="false" outlineLevel="0" collapsed="false">
      <c r="D9" s="5" t="s">
        <v>2</v>
      </c>
      <c r="E9" s="0" t="s">
        <v>0</v>
      </c>
      <c r="F9" s="6" t="n">
        <f aca="false">Assumptions!$D$8</f>
        <v>10</v>
      </c>
      <c r="I9" s="5" t="s">
        <v>3</v>
      </c>
      <c r="J9" s="0" t="n">
        <v>2004</v>
      </c>
      <c r="K9" s="0" t="n">
        <v>2005</v>
      </c>
      <c r="L9" s="0" t="n">
        <v>2006</v>
      </c>
      <c r="M9" s="0" t="n">
        <v>2007</v>
      </c>
      <c r="N9" s="0" t="n">
        <v>2008</v>
      </c>
      <c r="O9" s="0" t="n">
        <v>2009</v>
      </c>
      <c r="P9" s="0" t="n">
        <v>2010</v>
      </c>
      <c r="Q9" s="0" t="n">
        <v>2011</v>
      </c>
      <c r="R9" s="0" t="n">
        <v>2012</v>
      </c>
      <c r="S9" s="0" t="n">
        <v>2013</v>
      </c>
    </row>
    <row r="10" customFormat="false" ht="12.75" hidden="false" customHeight="false" outlineLevel="0" collapsed="false">
      <c r="C10" s="5" t="n">
        <v>1</v>
      </c>
      <c r="D10" s="5" t="s">
        <v>4</v>
      </c>
      <c r="F10" s="6" t="str">
        <f aca="false">Assumptions!$D$24</f>
        <v>Noxtech</v>
      </c>
    </row>
    <row r="11" customFormat="false" ht="12.75" hidden="false" customHeight="false" outlineLevel="0" collapsed="false">
      <c r="D11" s="5" t="s">
        <v>5</v>
      </c>
      <c r="F11" s="6" t="n">
        <f aca="false">Assumptions!$D$33</f>
        <v>1057.05336</v>
      </c>
      <c r="I11" s="5" t="s">
        <v>6</v>
      </c>
      <c r="J11" s="0" t="n">
        <v>3000</v>
      </c>
      <c r="K11" s="0" t="n">
        <v>3000</v>
      </c>
      <c r="L11" s="0" t="n">
        <v>2500</v>
      </c>
      <c r="M11" s="0" t="n">
        <v>1000</v>
      </c>
      <c r="N11" s="0" t="n">
        <v>600</v>
      </c>
      <c r="O11" s="0" t="n">
        <v>600</v>
      </c>
      <c r="P11" s="0" t="n">
        <v>400</v>
      </c>
      <c r="Q11" s="0" t="n">
        <v>400</v>
      </c>
      <c r="R11" s="0" t="n">
        <v>400</v>
      </c>
      <c r="S11" s="0" t="n">
        <v>400</v>
      </c>
    </row>
    <row r="12" customFormat="false" ht="12.75" hidden="false" customHeight="false" outlineLevel="0" collapsed="false">
      <c r="D12" s="5"/>
      <c r="F12" s="6"/>
      <c r="J12" s="0" t="n">
        <v>1057</v>
      </c>
      <c r="K12" s="0" t="n">
        <v>1057</v>
      </c>
      <c r="L12" s="0" t="n">
        <v>1057</v>
      </c>
      <c r="M12" s="0" t="n">
        <v>1057</v>
      </c>
      <c r="N12" s="0" t="n">
        <v>1057</v>
      </c>
      <c r="O12" s="0" t="n">
        <v>1057</v>
      </c>
      <c r="P12" s="0" t="n">
        <v>1057</v>
      </c>
      <c r="Q12" s="0" t="n">
        <v>1057</v>
      </c>
      <c r="R12" s="0" t="n">
        <v>1057</v>
      </c>
      <c r="S12" s="0" t="n">
        <v>1057</v>
      </c>
    </row>
    <row r="13" customFormat="false" ht="12.75" hidden="false" customHeight="false" outlineLevel="0" collapsed="false">
      <c r="D13" s="5" t="s">
        <v>7</v>
      </c>
      <c r="F13" s="7" t="n">
        <f aca="false">F9*F11</f>
        <v>10570.5336</v>
      </c>
    </row>
    <row r="14" customFormat="false" ht="12.75" hidden="false" customHeight="false" outlineLevel="0" collapsed="false">
      <c r="D14" s="5" t="s">
        <v>8</v>
      </c>
      <c r="F14" s="6" t="s">
        <v>0</v>
      </c>
      <c r="J14" s="7" t="n">
        <f aca="false">J11*J12</f>
        <v>3171000</v>
      </c>
      <c r="K14" s="7" t="n">
        <f aca="false">K11*K12</f>
        <v>3171000</v>
      </c>
      <c r="L14" s="7" t="n">
        <f aca="false">L11*L12</f>
        <v>2642500</v>
      </c>
      <c r="M14" s="7" t="n">
        <f aca="false">M11*M12</f>
        <v>1057000</v>
      </c>
      <c r="N14" s="7" t="n">
        <f aca="false">N11*N12</f>
        <v>634200</v>
      </c>
      <c r="O14" s="7" t="n">
        <f aca="false">O11*O12</f>
        <v>634200</v>
      </c>
      <c r="P14" s="7" t="n">
        <f aca="false">P11*P12</f>
        <v>422800</v>
      </c>
      <c r="Q14" s="7" t="n">
        <f aca="false">Q11*Q12</f>
        <v>422800</v>
      </c>
      <c r="R14" s="7" t="n">
        <f aca="false">R11*R12</f>
        <v>422800</v>
      </c>
      <c r="S14" s="7" t="n">
        <f aca="false">S11*S12</f>
        <v>422800</v>
      </c>
    </row>
    <row r="15" customFormat="false" ht="12.75" hidden="false" customHeight="false" outlineLevel="0" collapsed="false">
      <c r="E15" s="8" t="s">
        <v>9</v>
      </c>
      <c r="F15" s="9" t="n">
        <f aca="false">+Pricing!E17/F13</f>
        <v>3646.25028604595</v>
      </c>
      <c r="G15" s="8" t="s">
        <v>10</v>
      </c>
    </row>
    <row r="16" customFormat="false" ht="12.75" hidden="false" customHeight="false" outlineLevel="0" collapsed="false">
      <c r="E16" s="8" t="s">
        <v>11</v>
      </c>
      <c r="F16" s="10" t="n">
        <f aca="false">+Pricing!E17</f>
        <v>38542811.1626583</v>
      </c>
      <c r="J16" s="11" t="n">
        <f aca="false">SUM(J14:S14)</f>
        <v>13001100</v>
      </c>
    </row>
    <row r="17" customFormat="false" ht="12.75" hidden="false" customHeight="false" outlineLevel="0" collapsed="false">
      <c r="D17" s="12" t="s">
        <v>12</v>
      </c>
      <c r="E17" s="12"/>
      <c r="F17" s="6"/>
    </row>
    <row r="18" customFormat="false" ht="12.75" hidden="false" customHeight="false" outlineLevel="0" collapsed="false">
      <c r="D18" s="13"/>
      <c r="E18" s="14" t="s">
        <v>13</v>
      </c>
      <c r="F18" s="15" t="n">
        <f aca="false">+Pricing!E14</f>
        <v>19613701.4405876</v>
      </c>
      <c r="J18" s="9" t="n">
        <f aca="false">J16/(1.08^3.35277778)</f>
        <v>10044253.7078571</v>
      </c>
    </row>
    <row r="19" customFormat="false" ht="12.75" hidden="false" customHeight="false" outlineLevel="0" collapsed="false">
      <c r="E19" s="8" t="s">
        <v>14</v>
      </c>
      <c r="F19" s="15" t="n">
        <f aca="false">(+Pricing!E16/$F$9)/F11</f>
        <v>1790.74306353567</v>
      </c>
      <c r="G19" s="8" t="s">
        <v>10</v>
      </c>
    </row>
    <row r="20" customFormat="false" ht="12.75" hidden="false" customHeight="false" outlineLevel="0" collapsed="false">
      <c r="E20" s="8"/>
      <c r="F20" s="6"/>
    </row>
    <row r="21" customFormat="false" ht="12.75" hidden="false" customHeight="false" outlineLevel="0" collapsed="false">
      <c r="F21" s="6"/>
    </row>
    <row r="22" customFormat="false" ht="12.75" hidden="false" customHeight="false" outlineLevel="0" collapsed="false">
      <c r="C22" s="5" t="n">
        <v>2</v>
      </c>
      <c r="D22" s="5" t="s">
        <v>4</v>
      </c>
      <c r="F22" s="6" t="str">
        <f aca="false">Assumptions!$D$37</f>
        <v>Rotamix</v>
      </c>
    </row>
    <row r="23" customFormat="false" ht="12.75" hidden="false" customHeight="false" outlineLevel="0" collapsed="false">
      <c r="D23" s="5" t="s">
        <v>5</v>
      </c>
      <c r="F23" s="6" t="n">
        <f aca="false">Assumptions!$D$46</f>
        <v>990.987525</v>
      </c>
    </row>
    <row r="24" customFormat="false" ht="12.75" hidden="false" customHeight="false" outlineLevel="0" collapsed="false">
      <c r="D24" s="5"/>
      <c r="F24" s="6"/>
    </row>
    <row r="25" customFormat="false" ht="12.75" hidden="false" customHeight="false" outlineLevel="0" collapsed="false">
      <c r="D25" s="5" t="s">
        <v>7</v>
      </c>
      <c r="F25" s="6" t="n">
        <f aca="false">F9*F23</f>
        <v>9909.87525</v>
      </c>
    </row>
    <row r="26" customFormat="false" ht="12.75" hidden="false" customHeight="false" outlineLevel="0" collapsed="false">
      <c r="D26" s="5" t="s">
        <v>8</v>
      </c>
      <c r="F26" s="6" t="s">
        <v>0</v>
      </c>
    </row>
    <row r="27" customFormat="false" ht="12.75" hidden="false" customHeight="false" outlineLevel="0" collapsed="false">
      <c r="E27" s="8" t="s">
        <v>9</v>
      </c>
      <c r="F27" s="9" t="n">
        <f aca="false">+Pricing!E22/(F9*F23)</f>
        <v>2429.25447799561</v>
      </c>
      <c r="G27" s="8" t="s">
        <v>10</v>
      </c>
    </row>
    <row r="28" customFormat="false" ht="12.75" hidden="false" customHeight="false" outlineLevel="0" collapsed="false">
      <c r="E28" s="8" t="s">
        <v>11</v>
      </c>
      <c r="F28" s="10" t="n">
        <f aca="false">+Pricing!E22</f>
        <v>24073608.8274404</v>
      </c>
    </row>
    <row r="29" customFormat="false" ht="12.75" hidden="false" customHeight="false" outlineLevel="0" collapsed="false">
      <c r="D29" s="12" t="s">
        <v>12</v>
      </c>
      <c r="E29" s="12"/>
      <c r="F29" s="9"/>
    </row>
    <row r="30" customFormat="false" ht="12.75" hidden="false" customHeight="false" outlineLevel="0" collapsed="false">
      <c r="D30" s="13"/>
      <c r="E30" s="14" t="s">
        <v>13</v>
      </c>
      <c r="F30" s="15" t="n">
        <f aca="false">+Pricing!E19</f>
        <v>9509783.59229621</v>
      </c>
    </row>
    <row r="31" customFormat="false" ht="12.75" hidden="false" customHeight="false" outlineLevel="0" collapsed="false">
      <c r="D31" s="13"/>
      <c r="E31" s="8" t="s">
        <v>14</v>
      </c>
      <c r="F31" s="15" t="n">
        <f aca="false">(+Pricing!E21/$F$9)/F23</f>
        <v>1469.62750465947</v>
      </c>
      <c r="G31" s="8" t="s">
        <v>10</v>
      </c>
    </row>
    <row r="32" customFormat="false" ht="12.75" hidden="false" customHeight="false" outlineLevel="0" collapsed="false">
      <c r="D32" s="13"/>
      <c r="E32" s="16"/>
      <c r="F32" s="9"/>
    </row>
    <row r="34" customFormat="false" ht="14.25" hidden="false" customHeight="false" outlineLevel="0" collapsed="false">
      <c r="D34" s="2" t="str">
        <f aca="false">Assumptions!$F$5</f>
        <v>YATES 5</v>
      </c>
    </row>
    <row r="35" customFormat="false" ht="15" hidden="false" customHeight="false" outlineLevel="0" collapsed="false">
      <c r="D35" s="17"/>
    </row>
    <row r="37" customFormat="false" ht="12.75" hidden="false" customHeight="false" outlineLevel="0" collapsed="false">
      <c r="D37" s="5" t="s">
        <v>2</v>
      </c>
      <c r="F37" s="6" t="n">
        <f aca="false">Assumptions!$H$8</f>
        <v>10</v>
      </c>
    </row>
    <row r="38" customFormat="false" ht="12.75" hidden="false" customHeight="false" outlineLevel="0" collapsed="false">
      <c r="C38" s="5" t="n">
        <v>1</v>
      </c>
      <c r="D38" s="5" t="s">
        <v>4</v>
      </c>
      <c r="F38" s="6" t="str">
        <f aca="false">Assumptions!$H$24</f>
        <v>Noxtech</v>
      </c>
    </row>
    <row r="39" customFormat="false" ht="12.75" hidden="false" customHeight="false" outlineLevel="0" collapsed="false">
      <c r="D39" s="5" t="s">
        <v>5</v>
      </c>
      <c r="F39" s="6" t="n">
        <f aca="false">Assumptions!$H$33</f>
        <v>402.6880928</v>
      </c>
    </row>
    <row r="40" customFormat="false" ht="12.75" hidden="false" customHeight="false" outlineLevel="0" collapsed="false">
      <c r="D40" s="5"/>
      <c r="F40" s="6"/>
    </row>
    <row r="41" customFormat="false" ht="12.75" hidden="false" customHeight="false" outlineLevel="0" collapsed="false">
      <c r="D41" s="5" t="s">
        <v>7</v>
      </c>
      <c r="F41" s="6" t="n">
        <f aca="false">F9*F39</f>
        <v>4026.880928</v>
      </c>
    </row>
    <row r="42" customFormat="false" ht="12.75" hidden="false" customHeight="false" outlineLevel="0" collapsed="false">
      <c r="D42" s="5" t="s">
        <v>8</v>
      </c>
      <c r="F42" s="6" t="s">
        <v>0</v>
      </c>
    </row>
    <row r="43" customFormat="false" ht="12.75" hidden="false" customHeight="false" outlineLevel="0" collapsed="false">
      <c r="E43" s="8" t="s">
        <v>9</v>
      </c>
      <c r="F43" s="9" t="n">
        <f aca="false">+Pricing!E37/(F37*F39)</f>
        <v>8343.44613956745</v>
      </c>
      <c r="G43" s="8" t="s">
        <v>10</v>
      </c>
    </row>
    <row r="44" customFormat="false" ht="12.75" hidden="false" customHeight="false" outlineLevel="0" collapsed="false">
      <c r="E44" s="8" t="s">
        <v>11</v>
      </c>
      <c r="F44" s="10" t="n">
        <f aca="false">+Pricing!E37</f>
        <v>33598064.1332194</v>
      </c>
    </row>
    <row r="45" customFormat="false" ht="12.75" hidden="false" customHeight="false" outlineLevel="0" collapsed="false">
      <c r="D45" s="12" t="s">
        <v>12</v>
      </c>
      <c r="E45" s="12"/>
      <c r="F45" s="9"/>
    </row>
    <row r="46" customFormat="false" ht="12.75" hidden="false" customHeight="false" outlineLevel="0" collapsed="false">
      <c r="D46" s="13"/>
      <c r="E46" s="14" t="s">
        <v>13</v>
      </c>
      <c r="F46" s="15" t="n">
        <f aca="false">+Pricing!E34</f>
        <v>19613701.4405876</v>
      </c>
    </row>
    <row r="47" customFormat="false" ht="12.75" hidden="false" customHeight="false" outlineLevel="0" collapsed="false">
      <c r="D47" s="13"/>
      <c r="E47" s="8" t="s">
        <v>14</v>
      </c>
      <c r="F47" s="15" t="n">
        <f aca="false">(+Pricing!E36/$F$37)/F39</f>
        <v>3472.75296753741</v>
      </c>
      <c r="G47" s="8" t="s">
        <v>10</v>
      </c>
    </row>
    <row r="48" customFormat="false" ht="12.75" hidden="false" customHeight="false" outlineLevel="0" collapsed="false">
      <c r="D48" s="13"/>
      <c r="E48" s="16"/>
      <c r="F48" s="9"/>
    </row>
    <row r="49" customFormat="false" ht="12.75" hidden="false" customHeight="false" outlineLevel="0" collapsed="false">
      <c r="D49" s="13"/>
      <c r="E49" s="16"/>
      <c r="F49" s="9"/>
    </row>
    <row r="50" customFormat="false" ht="12.75" hidden="false" customHeight="false" outlineLevel="0" collapsed="false">
      <c r="C50" s="5" t="n">
        <v>2</v>
      </c>
      <c r="D50" s="5" t="s">
        <v>4</v>
      </c>
      <c r="F50" s="6" t="str">
        <f aca="false">Assumptions!$H$37</f>
        <v>Rotamix</v>
      </c>
    </row>
    <row r="51" customFormat="false" ht="12.75" hidden="false" customHeight="false" outlineLevel="0" collapsed="false">
      <c r="D51" s="5" t="s">
        <v>5</v>
      </c>
      <c r="F51" s="6" t="n">
        <f aca="false">Assumptions!$H$46</f>
        <v>431.451528</v>
      </c>
    </row>
    <row r="52" customFormat="false" ht="12.75" hidden="false" customHeight="false" outlineLevel="0" collapsed="false">
      <c r="D52" s="5"/>
      <c r="F52" s="6"/>
    </row>
    <row r="53" customFormat="false" ht="12.75" hidden="false" customHeight="false" outlineLevel="0" collapsed="false">
      <c r="D53" s="5" t="s">
        <v>7</v>
      </c>
      <c r="F53" s="6" t="n">
        <f aca="false">F9*F51</f>
        <v>4314.51528</v>
      </c>
    </row>
    <row r="54" customFormat="false" ht="12.75" hidden="false" customHeight="false" outlineLevel="0" collapsed="false">
      <c r="D54" s="5" t="s">
        <v>8</v>
      </c>
      <c r="F54" s="6" t="s">
        <v>0</v>
      </c>
    </row>
    <row r="55" customFormat="false" ht="12.75" hidden="false" customHeight="false" outlineLevel="0" collapsed="false">
      <c r="E55" s="8" t="s">
        <v>9</v>
      </c>
      <c r="F55" s="9" t="n">
        <f aca="false">+Pricing!E42/(F37*F51)</f>
        <v>5391.65114926261</v>
      </c>
      <c r="G55" s="8" t="s">
        <v>10</v>
      </c>
    </row>
    <row r="56" customFormat="false" ht="12.75" hidden="false" customHeight="false" outlineLevel="0" collapsed="false">
      <c r="E56" s="8" t="s">
        <v>11</v>
      </c>
      <c r="F56" s="10" t="n">
        <f aca="false">+Pricing!E42</f>
        <v>23262361.2679231</v>
      </c>
    </row>
    <row r="57" customFormat="false" ht="12.75" hidden="false" customHeight="false" outlineLevel="0" collapsed="false">
      <c r="D57" s="12" t="s">
        <v>12</v>
      </c>
      <c r="E57" s="12"/>
      <c r="F57" s="9"/>
    </row>
    <row r="58" customFormat="false" ht="12.75" hidden="false" customHeight="false" outlineLevel="0" collapsed="false">
      <c r="E58" s="14" t="s">
        <v>13</v>
      </c>
      <c r="F58" s="15" t="n">
        <f aca="false">+Pricing!E39</f>
        <v>9509783.59229621</v>
      </c>
      <c r="G58" s="8"/>
    </row>
    <row r="59" customFormat="false" ht="12.75" hidden="false" customHeight="false" outlineLevel="0" collapsed="false">
      <c r="E59" s="8" t="s">
        <v>14</v>
      </c>
      <c r="F59" s="15" t="n">
        <f aca="false">(+Pricing!E41/$F$37)/F51</f>
        <v>3187.51395768075</v>
      </c>
      <c r="G59" s="8" t="s">
        <v>10</v>
      </c>
    </row>
  </sheetData>
  <mergeCells count="4">
    <mergeCell ref="D17:E17"/>
    <mergeCell ref="D29:E29"/>
    <mergeCell ref="D45:E45"/>
    <mergeCell ref="D57:E5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0" activeCellId="0" sqref="H1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.99"/>
    <col collapsed="false" customWidth="true" hidden="false" outlineLevel="0" max="2" min="2" style="0" width="9.7"/>
    <col collapsed="false" customWidth="true" hidden="false" outlineLevel="0" max="3" min="3" style="0" width="9.99"/>
    <col collapsed="false" customWidth="true" hidden="false" outlineLevel="0" max="4" min="4" style="0" width="11.28"/>
    <col collapsed="false" customWidth="true" hidden="false" outlineLevel="0" max="5" min="5" style="0" width="10.28"/>
    <col collapsed="false" customWidth="true" hidden="false" outlineLevel="0" max="6" min="6" style="0" width="5.28"/>
    <col collapsed="false" customWidth="true" hidden="false" outlineLevel="0" max="8" min="7" style="0" width="10.56"/>
    <col collapsed="false" customWidth="true" hidden="false" outlineLevel="0" max="19" min="19" style="0" width="16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customFormat="false" ht="12.75" hidden="false" customHeight="false" outlineLevel="0" collapsed="false">
      <c r="A4" s="1"/>
      <c r="B4" s="1" t="s">
        <v>0</v>
      </c>
      <c r="C4" s="1"/>
      <c r="D4" s="1"/>
      <c r="E4" s="1"/>
      <c r="F4" s="1" t="s">
        <v>0</v>
      </c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customFormat="false" ht="12.75" hidden="false" customHeight="false" outlineLevel="0" collapsed="false">
      <c r="B5" s="18" t="n">
        <f aca="true">TODAY()</f>
        <v>45926</v>
      </c>
      <c r="C5" s="18"/>
    </row>
    <row r="6" customFormat="false" ht="12.75" hidden="false" customHeight="false" outlineLevel="0" collapsed="false">
      <c r="B6" s="19" t="n">
        <f aca="false">Assumptions!$C$7</f>
        <v>0.08</v>
      </c>
      <c r="C6" s="0" t="s">
        <v>15</v>
      </c>
      <c r="H6" s="20" t="s">
        <v>0</v>
      </c>
    </row>
    <row r="7" customFormat="false" ht="12.75" hidden="false" customHeight="false" outlineLevel="0" collapsed="false">
      <c r="D7" s="4"/>
      <c r="E7" s="4"/>
      <c r="F7" s="4"/>
    </row>
    <row r="8" customFormat="false" ht="14.25" hidden="false" customHeight="false" outlineLevel="0" collapsed="false">
      <c r="C8" s="2" t="str">
        <f aca="false">Assumptions!$B$5</f>
        <v>BARRY 2</v>
      </c>
    </row>
    <row r="9" customFormat="false" ht="12.75" hidden="false" customHeight="false" outlineLevel="0" collapsed="false">
      <c r="E9" s="5" t="s">
        <v>16</v>
      </c>
      <c r="F9" s="5"/>
      <c r="G9" s="21" t="n">
        <f aca="false">H9-270</f>
        <v>37808</v>
      </c>
      <c r="H9" s="22" t="n">
        <v>38078</v>
      </c>
      <c r="I9" s="22" t="n">
        <f aca="false">H9+365</f>
        <v>38443</v>
      </c>
      <c r="J9" s="22" t="n">
        <f aca="false">I9+365</f>
        <v>38808</v>
      </c>
      <c r="K9" s="22" t="n">
        <f aca="false">J9+365</f>
        <v>39173</v>
      </c>
      <c r="L9" s="22" t="n">
        <f aca="false">K9+366</f>
        <v>39539</v>
      </c>
      <c r="M9" s="22" t="n">
        <f aca="false">L9+365</f>
        <v>39904</v>
      </c>
      <c r="N9" s="22" t="n">
        <f aca="false">M9+365</f>
        <v>40269</v>
      </c>
      <c r="O9" s="22" t="n">
        <f aca="false">N9+365</f>
        <v>40634</v>
      </c>
      <c r="P9" s="22" t="n">
        <f aca="false">O9+366</f>
        <v>41000</v>
      </c>
      <c r="Q9" s="22" t="n">
        <f aca="false">P9+365</f>
        <v>41365</v>
      </c>
      <c r="S9" s="5" t="s">
        <v>17</v>
      </c>
      <c r="T9" s="5"/>
    </row>
    <row r="10" customFormat="false" ht="12.75" hidden="false" customHeight="false" outlineLevel="0" collapsed="false">
      <c r="D10" s="23" t="s">
        <v>18</v>
      </c>
      <c r="E10" s="23"/>
      <c r="F10" s="23"/>
      <c r="G10" s="24" t="n">
        <f aca="false">G9-$B$5</f>
        <v>-8118</v>
      </c>
      <c r="H10" s="24" t="n">
        <f aca="false">H9-$B$5</f>
        <v>-7848</v>
      </c>
      <c r="I10" s="24" t="n">
        <f aca="false">I9-$B$5</f>
        <v>-7483</v>
      </c>
      <c r="J10" s="24" t="n">
        <f aca="false">J9-$B$5</f>
        <v>-7118</v>
      </c>
      <c r="K10" s="24" t="n">
        <f aca="false">K9-$B$5</f>
        <v>-6753</v>
      </c>
      <c r="L10" s="24" t="n">
        <f aca="false">L9-$B$5</f>
        <v>-6387</v>
      </c>
      <c r="M10" s="24" t="n">
        <f aca="false">M9-$B$5</f>
        <v>-6022</v>
      </c>
      <c r="N10" s="24" t="n">
        <f aca="false">N9-$B$5</f>
        <v>-5657</v>
      </c>
      <c r="O10" s="24" t="n">
        <f aca="false">O9-$B$5</f>
        <v>-5292</v>
      </c>
      <c r="P10" s="24" t="n">
        <f aca="false">P9-$B$5</f>
        <v>-4926</v>
      </c>
      <c r="Q10" s="24" t="n">
        <f aca="false">Q9-$B$5</f>
        <v>-4561</v>
      </c>
      <c r="S10" s="25" t="n">
        <f aca="true">TODAY()</f>
        <v>45926</v>
      </c>
      <c r="T10" s="5"/>
      <c r="V10" s="5"/>
    </row>
    <row r="11" customFormat="false" ht="12.75" hidden="false" customHeight="false" outlineLevel="0" collapsed="false">
      <c r="D11" s="23" t="s">
        <v>19</v>
      </c>
      <c r="E11" s="23"/>
      <c r="F11" s="23"/>
      <c r="G11" s="26" t="n">
        <f aca="false">$B$6</f>
        <v>0.08</v>
      </c>
      <c r="H11" s="26" t="n">
        <f aca="false">$B$6</f>
        <v>0.08</v>
      </c>
      <c r="I11" s="26" t="n">
        <f aca="false">$B$6</f>
        <v>0.08</v>
      </c>
      <c r="J11" s="26" t="n">
        <f aca="false">$B$6</f>
        <v>0.08</v>
      </c>
      <c r="K11" s="26" t="n">
        <f aca="false">$B$6</f>
        <v>0.08</v>
      </c>
      <c r="L11" s="26" t="n">
        <f aca="false">$B$6</f>
        <v>0.08</v>
      </c>
      <c r="M11" s="26" t="n">
        <f aca="false">$B$6</f>
        <v>0.08</v>
      </c>
      <c r="N11" s="26" t="n">
        <f aca="false">$B$6</f>
        <v>0.08</v>
      </c>
      <c r="O11" s="26" t="n">
        <f aca="false">$B$6</f>
        <v>0.08</v>
      </c>
      <c r="P11" s="26" t="n">
        <f aca="false">$B$6</f>
        <v>0.08</v>
      </c>
      <c r="Q11" s="26" t="n">
        <f aca="false">$B$6</f>
        <v>0.08</v>
      </c>
      <c r="S11" s="5"/>
      <c r="T11" s="5"/>
      <c r="U11" s="25"/>
      <c r="V11" s="5"/>
    </row>
    <row r="12" customFormat="false" ht="12.75" hidden="false" customHeight="false" outlineLevel="0" collapsed="false">
      <c r="D12" s="23"/>
      <c r="E12" s="23"/>
      <c r="F12" s="23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S12" s="5" t="s">
        <v>20</v>
      </c>
      <c r="T12" s="5" t="s">
        <v>3</v>
      </c>
      <c r="U12" s="5" t="s">
        <v>21</v>
      </c>
      <c r="V12" s="5" t="s">
        <v>22</v>
      </c>
    </row>
    <row r="13" customFormat="false" ht="12.75" hidden="false" customHeight="false" outlineLevel="0" collapsed="false">
      <c r="C13" s="5" t="s">
        <v>23</v>
      </c>
      <c r="D13" s="8" t="s">
        <v>24</v>
      </c>
      <c r="E13" s="11" t="s">
        <v>0</v>
      </c>
      <c r="F13" s="11"/>
      <c r="G13" s="27" t="n">
        <f aca="false">Assumptions!$D$26</f>
        <v>3458230</v>
      </c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customFormat="false" ht="12.75" hidden="false" customHeight="false" outlineLevel="0" collapsed="false">
      <c r="C14" s="5"/>
      <c r="D14" s="23" t="s">
        <v>25</v>
      </c>
      <c r="E14" s="28" t="n">
        <f aca="false">SUM(G14:R14)</f>
        <v>19613701.4405876</v>
      </c>
      <c r="F14" s="23"/>
      <c r="G14" s="27" t="n">
        <f aca="false">G13/((1+G$11)^(G$10/360))</f>
        <v>19613701.4405876</v>
      </c>
      <c r="H14" s="27" t="n">
        <f aca="false">H13/((1+H$11)^(H$10/360))</f>
        <v>0</v>
      </c>
      <c r="I14" s="27" t="n">
        <f aca="false">I13/((1+I$11)^(I$10/360))</f>
        <v>0</v>
      </c>
      <c r="J14" s="27" t="n">
        <f aca="false">J13/((1+J$11)^(J$10/360))</f>
        <v>0</v>
      </c>
      <c r="K14" s="27" t="n">
        <f aca="false">K13/((1+K$11)^(K$10/360))</f>
        <v>0</v>
      </c>
      <c r="L14" s="27" t="n">
        <f aca="false">L13/((1+L$11)^(L$10/360))</f>
        <v>0</v>
      </c>
      <c r="M14" s="27" t="n">
        <f aca="false">M13/((1+M$11)^(M$10/360))</f>
        <v>0</v>
      </c>
      <c r="N14" s="27" t="n">
        <f aca="false">N13/((1+N$11)^(N$10/360))</f>
        <v>0</v>
      </c>
      <c r="O14" s="27" t="n">
        <f aca="false">O13/((1+O$11)^(O$10/360))</f>
        <v>0</v>
      </c>
      <c r="P14" s="27" t="n">
        <f aca="false">P13/((1+P$11)^(P$10/360))</f>
        <v>0</v>
      </c>
      <c r="Q14" s="27" t="n">
        <f aca="false">Q13/((1+Q$11)^(Q$10/360))</f>
        <v>0</v>
      </c>
      <c r="S14" s="29" t="n">
        <v>1</v>
      </c>
      <c r="T14" s="30" t="s">
        <v>26</v>
      </c>
      <c r="U14" s="31" t="n">
        <v>0.065</v>
      </c>
      <c r="V14" s="31" t="n">
        <v>0.064</v>
      </c>
    </row>
    <row r="15" customFormat="false" ht="12.75" hidden="false" customHeight="false" outlineLevel="0" collapsed="false">
      <c r="D15" s="8" t="s">
        <v>27</v>
      </c>
      <c r="E15" s="11" t="s">
        <v>0</v>
      </c>
      <c r="F15" s="11"/>
      <c r="G15" s="23"/>
      <c r="H15" s="27" t="n">
        <f aca="false">Assumptions!$D$27</f>
        <v>490000</v>
      </c>
      <c r="I15" s="27" t="n">
        <f aca="false">Assumptions!$D$27</f>
        <v>490000</v>
      </c>
      <c r="J15" s="27" t="n">
        <f aca="false">Assumptions!$D$27</f>
        <v>490000</v>
      </c>
      <c r="K15" s="27" t="n">
        <f aca="false">Assumptions!$D$27</f>
        <v>490000</v>
      </c>
      <c r="L15" s="27" t="n">
        <f aca="false">Assumptions!$D$27</f>
        <v>490000</v>
      </c>
      <c r="M15" s="27" t="n">
        <f aca="false">Assumptions!$D$27</f>
        <v>490000</v>
      </c>
      <c r="N15" s="27" t="n">
        <f aca="false">Assumptions!$D$27</f>
        <v>490000</v>
      </c>
      <c r="O15" s="27" t="n">
        <f aca="false">Assumptions!$D$27</f>
        <v>490000</v>
      </c>
      <c r="P15" s="27" t="n">
        <f aca="false">Assumptions!$D$27</f>
        <v>490000</v>
      </c>
      <c r="Q15" s="27" t="n">
        <f aca="false">Assumptions!$D$27</f>
        <v>490000</v>
      </c>
      <c r="S15" s="29" t="n">
        <v>90</v>
      </c>
      <c r="T15" s="30" t="s">
        <v>28</v>
      </c>
      <c r="U15" s="32" t="n">
        <v>0.064</v>
      </c>
      <c r="V15" s="32" t="n">
        <v>0.063</v>
      </c>
    </row>
    <row r="16" customFormat="false" ht="12.75" hidden="false" customHeight="false" outlineLevel="0" collapsed="false">
      <c r="D16" s="23" t="s">
        <v>25</v>
      </c>
      <c r="E16" s="28" t="n">
        <f aca="false">SUM(H16:R16)</f>
        <v>18929109.7220707</v>
      </c>
      <c r="G16" s="23"/>
      <c r="H16" s="27" t="n">
        <f aca="false">H15/((1+H$11)^(H$10/360))</f>
        <v>2623215.37814017</v>
      </c>
      <c r="I16" s="27" t="n">
        <f aca="false">I15/((1+I$11)^(I$10/360))</f>
        <v>2426308.25230215</v>
      </c>
      <c r="J16" s="27" t="n">
        <f aca="false">J15/((1+J$11)^(J$10/360))</f>
        <v>2244181.61933898</v>
      </c>
      <c r="K16" s="27" t="n">
        <f aca="false">K15/((1+K$11)^(K$10/360))</f>
        <v>2075726.00711401</v>
      </c>
      <c r="L16" s="27" t="n">
        <f aca="false">L15/((1+L$11)^(L$10/360))</f>
        <v>1919504.82720427</v>
      </c>
      <c r="M16" s="27" t="n">
        <f aca="false">M15/((1+M$11)^(M$10/360))</f>
        <v>1775420.5168931</v>
      </c>
      <c r="N16" s="27" t="n">
        <f aca="false">N15/((1+N$11)^(N$10/360))</f>
        <v>1642151.64615968</v>
      </c>
      <c r="O16" s="27" t="n">
        <f aca="false">O15/((1+O$11)^(O$10/360))</f>
        <v>1518886.37273607</v>
      </c>
      <c r="P16" s="27" t="n">
        <f aca="false">P15/((1+P$11)^(P$10/360))</f>
        <v>1404573.4911301</v>
      </c>
      <c r="Q16" s="27" t="n">
        <f aca="false">Q15/((1+Q$11)^(Q$10/360))</f>
        <v>1299141.61105215</v>
      </c>
      <c r="S16" s="33" t="n">
        <v>180</v>
      </c>
      <c r="T16" s="30" t="s">
        <v>29</v>
      </c>
      <c r="U16" s="32" t="n">
        <v>0.063</v>
      </c>
      <c r="V16" s="32" t="n">
        <v>0.062</v>
      </c>
    </row>
    <row r="17" customFormat="false" ht="12.75" hidden="false" customHeight="false" outlineLevel="0" collapsed="false">
      <c r="D17" s="34" t="s">
        <v>30</v>
      </c>
      <c r="E17" s="35" t="n">
        <f aca="false">E14+E16</f>
        <v>38542811.1626583</v>
      </c>
      <c r="F17" s="11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S17" s="33" t="n">
        <v>270</v>
      </c>
      <c r="T17" s="30" t="s">
        <v>31</v>
      </c>
      <c r="U17" s="32" t="n">
        <v>0.062</v>
      </c>
      <c r="V17" s="32" t="n">
        <v>0.061</v>
      </c>
    </row>
    <row r="18" customFormat="false" ht="12.75" hidden="false" customHeight="false" outlineLevel="0" collapsed="false">
      <c r="C18" s="5" t="s">
        <v>32</v>
      </c>
      <c r="D18" s="8" t="s">
        <v>24</v>
      </c>
      <c r="E18" s="11" t="s">
        <v>0</v>
      </c>
      <c r="G18" s="27" t="n">
        <f aca="false">Assumptions!$D$39</f>
        <v>1676737</v>
      </c>
      <c r="H18" s="23"/>
      <c r="I18" s="23"/>
      <c r="J18" s="23"/>
      <c r="K18" s="23"/>
      <c r="L18" s="23"/>
      <c r="M18" s="23"/>
      <c r="N18" s="23"/>
      <c r="O18" s="23"/>
      <c r="P18" s="23"/>
      <c r="Q18" s="23"/>
      <c r="S18" s="33" t="n">
        <v>360</v>
      </c>
      <c r="T18" s="30" t="n">
        <v>1</v>
      </c>
      <c r="U18" s="31" t="n">
        <v>0.0601</v>
      </c>
      <c r="V18" s="31" t="n">
        <v>0.0591</v>
      </c>
    </row>
    <row r="19" customFormat="false" ht="12.75" hidden="false" customHeight="false" outlineLevel="0" collapsed="false">
      <c r="D19" s="23" t="s">
        <v>25</v>
      </c>
      <c r="E19" s="28" t="n">
        <f aca="false">SUM(G19:R19)</f>
        <v>9509783.59229621</v>
      </c>
      <c r="G19" s="27" t="n">
        <f aca="false">G18/((1+G$11)^(G$10/360))</f>
        <v>9509783.59229621</v>
      </c>
      <c r="H19" s="23"/>
      <c r="I19" s="23"/>
      <c r="J19" s="23"/>
      <c r="K19" s="23"/>
      <c r="L19" s="23"/>
      <c r="M19" s="23"/>
      <c r="N19" s="23"/>
      <c r="O19" s="23"/>
      <c r="P19" s="23"/>
      <c r="Q19" s="23"/>
      <c r="S19" s="33" t="n">
        <f aca="false">360*T19</f>
        <v>720</v>
      </c>
      <c r="T19" s="30" t="n">
        <v>2</v>
      </c>
      <c r="U19" s="31" t="n">
        <v>0.0593</v>
      </c>
      <c r="V19" s="31" t="n">
        <v>0.0583</v>
      </c>
    </row>
    <row r="20" customFormat="false" ht="12.75" hidden="false" customHeight="false" outlineLevel="0" collapsed="false">
      <c r="D20" s="8" t="s">
        <v>27</v>
      </c>
      <c r="E20" s="11" t="s">
        <v>0</v>
      </c>
      <c r="G20" s="23"/>
      <c r="H20" s="27" t="n">
        <f aca="false">Assumptions!$D$40</f>
        <v>377000</v>
      </c>
      <c r="I20" s="27" t="n">
        <f aca="false">Assumptions!$D$40</f>
        <v>377000</v>
      </c>
      <c r="J20" s="27" t="n">
        <f aca="false">Assumptions!$D$40</f>
        <v>377000</v>
      </c>
      <c r="K20" s="27" t="n">
        <f aca="false">Assumptions!$D$40</f>
        <v>377000</v>
      </c>
      <c r="L20" s="27" t="n">
        <f aca="false">Assumptions!$D$40</f>
        <v>377000</v>
      </c>
      <c r="M20" s="27" t="n">
        <f aca="false">Assumptions!$D$40</f>
        <v>377000</v>
      </c>
      <c r="N20" s="27" t="n">
        <f aca="false">Assumptions!$D$40</f>
        <v>377000</v>
      </c>
      <c r="O20" s="27" t="n">
        <f aca="false">Assumptions!$D$40</f>
        <v>377000</v>
      </c>
      <c r="P20" s="27" t="n">
        <f aca="false">Assumptions!$D$40</f>
        <v>377000</v>
      </c>
      <c r="Q20" s="27" t="n">
        <f aca="false">Assumptions!$D$40</f>
        <v>377000</v>
      </c>
      <c r="S20" s="33" t="n">
        <f aca="false">360*T20</f>
        <v>1080</v>
      </c>
      <c r="T20" s="30" t="n">
        <v>3</v>
      </c>
      <c r="U20" s="32" t="n">
        <v>0.059</v>
      </c>
      <c r="V20" s="32" t="n">
        <v>0.058</v>
      </c>
    </row>
    <row r="21" customFormat="false" ht="12.75" hidden="false" customHeight="false" outlineLevel="0" collapsed="false">
      <c r="D21" s="23" t="s">
        <v>25</v>
      </c>
      <c r="E21" s="28" t="n">
        <f aca="false">SUM(H21:R21)</f>
        <v>14563825.2351442</v>
      </c>
      <c r="H21" s="27" t="n">
        <f aca="false">H20/((1+H$11)^(H$10/360))</f>
        <v>2018269.79093642</v>
      </c>
      <c r="I21" s="27" t="n">
        <f aca="false">I20/((1+I$11)^(I$10/360))</f>
        <v>1866771.85942431</v>
      </c>
      <c r="J21" s="27" t="n">
        <f aca="false">J20/((1+J$11)^(J$10/360))</f>
        <v>1726645.85814448</v>
      </c>
      <c r="K21" s="27" t="n">
        <f aca="false">K20/((1+K$11)^(K$10/360))</f>
        <v>1597038.17282037</v>
      </c>
      <c r="L21" s="27" t="n">
        <f aca="false">L20/((1+L$11)^(L$10/360))</f>
        <v>1476843.50991023</v>
      </c>
      <c r="M21" s="27" t="n">
        <f aca="false">M20/((1+M$11)^(M$10/360))</f>
        <v>1365986.80585448</v>
      </c>
      <c r="N21" s="27" t="n">
        <f aca="false">N20/((1+N$11)^(N$10/360))</f>
        <v>1263451.36857592</v>
      </c>
      <c r="O21" s="27" t="n">
        <f aca="false">O20/((1+O$11)^(O$10/360))</f>
        <v>1168612.57657449</v>
      </c>
      <c r="P21" s="27" t="n">
        <f aca="false">P20/((1+P$11)^(P$10/360))</f>
        <v>1080661.64521642</v>
      </c>
      <c r="Q21" s="27" t="n">
        <f aca="false">Q20/((1+Q$11)^(Q$10/360))</f>
        <v>999543.647687063</v>
      </c>
      <c r="S21" s="33" t="n">
        <f aca="false">360*T21</f>
        <v>1440</v>
      </c>
      <c r="T21" s="30" t="n">
        <v>4</v>
      </c>
      <c r="U21" s="32" t="n">
        <v>0.0585</v>
      </c>
      <c r="V21" s="32" t="n">
        <v>0.0575</v>
      </c>
    </row>
    <row r="22" customFormat="false" ht="12.75" hidden="false" customHeight="false" outlineLevel="0" collapsed="false">
      <c r="D22" s="34" t="s">
        <v>30</v>
      </c>
      <c r="E22" s="35" t="n">
        <f aca="false">E19+E21</f>
        <v>24073608.8274404</v>
      </c>
      <c r="F22" s="11"/>
      <c r="S22" s="33" t="n">
        <f aca="false">360*T22</f>
        <v>1800</v>
      </c>
      <c r="T22" s="30" t="n">
        <v>5</v>
      </c>
      <c r="U22" s="31" t="n">
        <v>0.058</v>
      </c>
      <c r="V22" s="31" t="n">
        <v>0.057</v>
      </c>
    </row>
    <row r="23" customFormat="false" ht="12.75" hidden="false" customHeight="false" outlineLevel="0" collapsed="false">
      <c r="D23" s="5"/>
      <c r="E23" s="36"/>
      <c r="F23" s="11"/>
      <c r="S23" s="33" t="n">
        <f aca="false">360*T23</f>
        <v>2160</v>
      </c>
      <c r="T23" s="30" t="n">
        <v>6</v>
      </c>
      <c r="U23" s="32" t="n">
        <v>0.0579</v>
      </c>
      <c r="V23" s="32" t="n">
        <v>0.0569</v>
      </c>
    </row>
    <row r="24" customFormat="false" ht="12.75" hidden="false" customHeight="false" outlineLevel="0" collapsed="false">
      <c r="D24" s="5"/>
      <c r="E24" s="36"/>
      <c r="F24" s="11"/>
      <c r="S24" s="33" t="n">
        <f aca="false">360*T24</f>
        <v>2520</v>
      </c>
      <c r="T24" s="30" t="n">
        <v>7</v>
      </c>
      <c r="U24" s="32" t="n">
        <v>0.0578</v>
      </c>
      <c r="V24" s="32" t="n">
        <v>0.0568</v>
      </c>
    </row>
    <row r="25" customFormat="false" ht="12.75" hidden="false" customHeight="false" outlineLevel="0" collapsed="false">
      <c r="S25" s="33" t="n">
        <f aca="false">360*T25</f>
        <v>2880</v>
      </c>
      <c r="T25" s="30" t="n">
        <v>8</v>
      </c>
      <c r="U25" s="32" t="n">
        <v>0.0578</v>
      </c>
      <c r="V25" s="32" t="n">
        <v>0.0568</v>
      </c>
    </row>
    <row r="26" customFormat="false" ht="12.75" hidden="false" customHeight="false" outlineLevel="0" collapsed="false">
      <c r="D26" s="4"/>
      <c r="E26" s="4"/>
      <c r="F26" s="4"/>
      <c r="S26" s="33" t="n">
        <f aca="false">360*T26</f>
        <v>3240</v>
      </c>
      <c r="T26" s="30" t="n">
        <v>9</v>
      </c>
      <c r="U26" s="32" t="n">
        <v>0.0578</v>
      </c>
      <c r="V26" s="32" t="n">
        <v>0.0568</v>
      </c>
    </row>
    <row r="27" customFormat="false" ht="14.25" hidden="false" customHeight="false" outlineLevel="0" collapsed="false">
      <c r="C27" s="2" t="str">
        <f aca="false">Assumptions!$F$5</f>
        <v>YATES 5</v>
      </c>
      <c r="S27" s="33" t="n">
        <f aca="false">360*T27</f>
        <v>3600</v>
      </c>
      <c r="T27" s="30" t="n">
        <v>10</v>
      </c>
      <c r="U27" s="31" t="n">
        <v>0.0577</v>
      </c>
      <c r="V27" s="31" t="n">
        <v>0.0567</v>
      </c>
    </row>
    <row r="28" customFormat="false" ht="12.75" hidden="false" customHeight="false" outlineLevel="0" collapsed="false">
      <c r="E28" s="5" t="s">
        <v>16</v>
      </c>
      <c r="F28" s="5"/>
      <c r="G28" s="21" t="n">
        <f aca="false">H28-270</f>
        <v>37808</v>
      </c>
      <c r="H28" s="22" t="n">
        <v>38078</v>
      </c>
      <c r="I28" s="22" t="n">
        <f aca="false">H28+365</f>
        <v>38443</v>
      </c>
      <c r="J28" s="22" t="n">
        <f aca="false">I28+365</f>
        <v>38808</v>
      </c>
      <c r="K28" s="22" t="n">
        <f aca="false">J28+365</f>
        <v>39173</v>
      </c>
      <c r="L28" s="22" t="n">
        <f aca="false">K28+366</f>
        <v>39539</v>
      </c>
      <c r="M28" s="22" t="n">
        <f aca="false">L28+365</f>
        <v>39904</v>
      </c>
      <c r="N28" s="22" t="n">
        <f aca="false">M28+365</f>
        <v>40269</v>
      </c>
      <c r="O28" s="22" t="n">
        <f aca="false">N28+365</f>
        <v>40634</v>
      </c>
      <c r="P28" s="22" t="n">
        <f aca="false">O28+366</f>
        <v>41000</v>
      </c>
      <c r="Q28" s="22" t="n">
        <f aca="false">P28+365</f>
        <v>41365</v>
      </c>
      <c r="S28" s="33" t="n">
        <f aca="false">360*T28</f>
        <v>3960</v>
      </c>
      <c r="T28" s="30" t="n">
        <v>11</v>
      </c>
      <c r="U28" s="32" t="n">
        <v>0.0576</v>
      </c>
      <c r="V28" s="32" t="n">
        <v>0.0566</v>
      </c>
    </row>
    <row r="29" customFormat="false" ht="12.75" hidden="false" customHeight="false" outlineLevel="0" collapsed="false">
      <c r="D29" s="23" t="s">
        <v>18</v>
      </c>
      <c r="E29" s="23"/>
      <c r="F29" s="23"/>
      <c r="G29" s="24" t="n">
        <f aca="false">G28-$B$5</f>
        <v>-8118</v>
      </c>
      <c r="H29" s="24" t="n">
        <f aca="false">H28-$B$5</f>
        <v>-7848</v>
      </c>
      <c r="I29" s="24" t="n">
        <f aca="false">I28-$B$5</f>
        <v>-7483</v>
      </c>
      <c r="J29" s="24" t="n">
        <f aca="false">J28-$B$5</f>
        <v>-7118</v>
      </c>
      <c r="K29" s="24" t="n">
        <f aca="false">K28-$B$5</f>
        <v>-6753</v>
      </c>
      <c r="L29" s="24" t="n">
        <f aca="false">L28-$B$5</f>
        <v>-6387</v>
      </c>
      <c r="M29" s="24" t="n">
        <f aca="false">M28-$B$5</f>
        <v>-6022</v>
      </c>
      <c r="N29" s="24" t="n">
        <f aca="false">N28-$B$5</f>
        <v>-5657</v>
      </c>
      <c r="O29" s="24" t="n">
        <f aca="false">O28-$B$5</f>
        <v>-5292</v>
      </c>
      <c r="P29" s="24" t="n">
        <f aca="false">P28-$B$5</f>
        <v>-4926</v>
      </c>
      <c r="Q29" s="24" t="n">
        <f aca="false">Q28-$B$5</f>
        <v>-4561</v>
      </c>
      <c r="S29" s="33" t="n">
        <f aca="false">360*T29</f>
        <v>4320</v>
      </c>
      <c r="T29" s="30" t="n">
        <v>12</v>
      </c>
      <c r="U29" s="32" t="n">
        <v>0.0575</v>
      </c>
      <c r="V29" s="32" t="n">
        <v>0.0565</v>
      </c>
    </row>
    <row r="30" customFormat="false" ht="12.75" hidden="false" customHeight="false" outlineLevel="0" collapsed="false">
      <c r="D30" s="23" t="s">
        <v>19</v>
      </c>
      <c r="E30" s="23"/>
      <c r="F30" s="23"/>
      <c r="G30" s="26" t="n">
        <f aca="false">$B$6</f>
        <v>0.08</v>
      </c>
      <c r="H30" s="26" t="n">
        <f aca="false">$B$6</f>
        <v>0.08</v>
      </c>
      <c r="I30" s="26" t="n">
        <f aca="false">$B$6</f>
        <v>0.08</v>
      </c>
      <c r="J30" s="26" t="n">
        <f aca="false">$B$6</f>
        <v>0.08</v>
      </c>
      <c r="K30" s="26" t="n">
        <f aca="false">$B$6</f>
        <v>0.08</v>
      </c>
      <c r="L30" s="26" t="n">
        <f aca="false">$B$6</f>
        <v>0.08</v>
      </c>
      <c r="M30" s="26" t="n">
        <f aca="false">$B$6</f>
        <v>0.08</v>
      </c>
      <c r="N30" s="26" t="n">
        <f aca="false">$B$6</f>
        <v>0.08</v>
      </c>
      <c r="O30" s="26" t="n">
        <f aca="false">$B$6</f>
        <v>0.08</v>
      </c>
      <c r="P30" s="26" t="n">
        <f aca="false">$B$6</f>
        <v>0.08</v>
      </c>
      <c r="Q30" s="26" t="n">
        <f aca="false">$B$6</f>
        <v>0.08</v>
      </c>
      <c r="S30" s="33" t="n">
        <f aca="false">360*T30</f>
        <v>4680</v>
      </c>
      <c r="T30" s="30" t="n">
        <v>13</v>
      </c>
      <c r="U30" s="32" t="n">
        <v>0.0574</v>
      </c>
      <c r="V30" s="32" t="n">
        <v>0.0564</v>
      </c>
    </row>
    <row r="31" customFormat="false" ht="12.75" hidden="false" customHeight="false" outlineLevel="0" collapsed="false">
      <c r="D31" s="23"/>
      <c r="E31" s="23"/>
      <c r="F31" s="23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S31" s="33" t="n">
        <f aca="false">360*T31</f>
        <v>5040</v>
      </c>
      <c r="T31" s="30" t="n">
        <v>14</v>
      </c>
      <c r="U31" s="32" t="n">
        <v>0.0573</v>
      </c>
      <c r="V31" s="32" t="n">
        <v>0.0563</v>
      </c>
    </row>
    <row r="32" customFormat="false" ht="12.75" hidden="false" customHeight="false" outlineLevel="0" collapsed="false">
      <c r="D32" s="23"/>
      <c r="E32" s="23"/>
      <c r="F32" s="23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S32" s="33" t="n">
        <f aca="false">360*T32</f>
        <v>5400</v>
      </c>
      <c r="T32" s="30" t="n">
        <v>15</v>
      </c>
      <c r="U32" s="32" t="n">
        <v>0.0572</v>
      </c>
      <c r="V32" s="32" t="n">
        <v>0.0562</v>
      </c>
    </row>
    <row r="33" customFormat="false" ht="12.75" hidden="false" customHeight="false" outlineLevel="0" collapsed="false">
      <c r="C33" s="5" t="s">
        <v>23</v>
      </c>
      <c r="D33" s="8" t="s">
        <v>24</v>
      </c>
      <c r="G33" s="27" t="n">
        <f aca="false">Assumptions!$H$26</f>
        <v>3458230</v>
      </c>
      <c r="H33" s="23"/>
      <c r="I33" s="23"/>
      <c r="J33" s="23"/>
      <c r="K33" s="23"/>
      <c r="L33" s="23"/>
      <c r="M33" s="23"/>
      <c r="N33" s="23"/>
      <c r="O33" s="23"/>
      <c r="P33" s="23"/>
      <c r="Q33" s="23"/>
      <c r="S33" s="33" t="n">
        <f aca="false">360*T33</f>
        <v>10800</v>
      </c>
      <c r="T33" s="30" t="n">
        <v>30</v>
      </c>
      <c r="U33" s="31" t="n">
        <v>0.0582</v>
      </c>
      <c r="V33" s="31" t="n">
        <v>0.0572</v>
      </c>
    </row>
    <row r="34" customFormat="false" ht="12.75" hidden="false" customHeight="false" outlineLevel="0" collapsed="false">
      <c r="C34" s="5"/>
      <c r="D34" s="23" t="s">
        <v>25</v>
      </c>
      <c r="E34" s="11" t="n">
        <f aca="false">SUM(G34:R34)</f>
        <v>19613701.4405876</v>
      </c>
      <c r="G34" s="27" t="n">
        <f aca="false">G33/((1+G$30)^(G$29/360))</f>
        <v>19613701.4405876</v>
      </c>
      <c r="H34" s="27" t="n">
        <f aca="false">H33/((1+$G$30)^($G$29/360))</f>
        <v>0</v>
      </c>
      <c r="I34" s="27" t="n">
        <f aca="false">I33/((1+$G$30)^($G$29/360))</f>
        <v>0</v>
      </c>
      <c r="J34" s="27" t="n">
        <f aca="false">J33/((1+$G$30)^($G$29/360))</f>
        <v>0</v>
      </c>
      <c r="K34" s="27" t="n">
        <f aca="false">K33/((1+$G$30)^($G$29/360))</f>
        <v>0</v>
      </c>
      <c r="L34" s="27" t="n">
        <f aca="false">L33/((1+$G$30)^($G$29/360))</f>
        <v>0</v>
      </c>
      <c r="M34" s="27" t="n">
        <f aca="false">M33/((1+$G$30)^($G$29/360))</f>
        <v>0</v>
      </c>
      <c r="N34" s="27" t="n">
        <f aca="false">N33/((1+$G$30)^($G$29/360))</f>
        <v>0</v>
      </c>
      <c r="O34" s="27" t="n">
        <f aca="false">O33/((1+$G$30)^($G$29/360))</f>
        <v>0</v>
      </c>
      <c r="P34" s="27" t="n">
        <f aca="false">P33/((1+$G$30)^($G$29/360))</f>
        <v>0</v>
      </c>
      <c r="Q34" s="27" t="n">
        <f aca="false">Q33/((1+$G$30)^($G$29/360))</f>
        <v>0</v>
      </c>
    </row>
    <row r="35" customFormat="false" ht="12.75" hidden="false" customHeight="false" outlineLevel="0" collapsed="false">
      <c r="D35" s="8" t="s">
        <v>27</v>
      </c>
      <c r="G35" s="23"/>
      <c r="H35" s="27" t="n">
        <f aca="false">Assumptions!$H$27</f>
        <v>362000</v>
      </c>
      <c r="I35" s="27" t="n">
        <f aca="false">Assumptions!$H$27</f>
        <v>362000</v>
      </c>
      <c r="J35" s="27" t="n">
        <f aca="false">Assumptions!$H$27</f>
        <v>362000</v>
      </c>
      <c r="K35" s="27" t="n">
        <f aca="false">Assumptions!$H$27</f>
        <v>362000</v>
      </c>
      <c r="L35" s="27" t="n">
        <f aca="false">Assumptions!$H$27</f>
        <v>362000</v>
      </c>
      <c r="M35" s="27" t="n">
        <f aca="false">Assumptions!$H$27</f>
        <v>362000</v>
      </c>
      <c r="N35" s="27" t="n">
        <f aca="false">Assumptions!$H$27</f>
        <v>362000</v>
      </c>
      <c r="O35" s="27" t="n">
        <f aca="false">Assumptions!$H$27</f>
        <v>362000</v>
      </c>
      <c r="P35" s="27" t="n">
        <f aca="false">Assumptions!$H$27</f>
        <v>362000</v>
      </c>
      <c r="Q35" s="27" t="n">
        <f aca="false">Assumptions!$H$27</f>
        <v>362000</v>
      </c>
    </row>
    <row r="36" customFormat="false" ht="12.75" hidden="false" customHeight="false" outlineLevel="0" collapsed="false">
      <c r="D36" s="23" t="s">
        <v>25</v>
      </c>
      <c r="E36" s="11" t="n">
        <f aca="false">SUM(H36:R36)</f>
        <v>13984362.6926318</v>
      </c>
      <c r="G36" s="23"/>
      <c r="H36" s="27" t="n">
        <f aca="false">H35/((1+H$30)^(H$29/360))</f>
        <v>1937967.2793607</v>
      </c>
      <c r="I36" s="27" t="n">
        <f aca="false">I35/((1+I$30)^(I$29/360))</f>
        <v>1792497.1170069</v>
      </c>
      <c r="J36" s="27" t="n">
        <f aca="false">J35/((1+J$30)^(J$29/360))</f>
        <v>1657946.42081778</v>
      </c>
      <c r="K36" s="27" t="n">
        <f aca="false">K35/((1+K$30)^(K$29/360))</f>
        <v>1533495.53994954</v>
      </c>
      <c r="L36" s="27" t="n">
        <f aca="false">L35/((1+L$30)^(L$29/360))</f>
        <v>1418083.15805703</v>
      </c>
      <c r="M36" s="27" t="n">
        <f aca="false">M35/((1+M$30)^(M$29/360))</f>
        <v>1311637.19819449</v>
      </c>
      <c r="N36" s="27" t="n">
        <f aca="false">N35/((1+N$30)^(N$29/360))</f>
        <v>1213181.42022409</v>
      </c>
      <c r="O36" s="27" t="n">
        <f aca="false">O35/((1+O$30)^(O$29/360))</f>
        <v>1122116.05496012</v>
      </c>
      <c r="P36" s="27" t="n">
        <f aca="false">P35/((1+P$30)^(P$29/360))</f>
        <v>1037664.49752877</v>
      </c>
      <c r="Q36" s="27" t="n">
        <f aca="false">Q35/((1+Q$30)^(Q$29/360))</f>
        <v>959774.006532405</v>
      </c>
    </row>
    <row r="37" customFormat="false" ht="12.75" hidden="false" customHeight="false" outlineLevel="0" collapsed="false">
      <c r="D37" s="34" t="s">
        <v>30</v>
      </c>
      <c r="E37" s="35" t="n">
        <f aca="false">E34+E36</f>
        <v>33598064.1332194</v>
      </c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customFormat="false" ht="12.75" hidden="false" customHeight="false" outlineLevel="0" collapsed="false">
      <c r="C38" s="5" t="s">
        <v>32</v>
      </c>
      <c r="D38" s="8" t="s">
        <v>24</v>
      </c>
      <c r="G38" s="27" t="n">
        <f aca="false">Assumptions!$H$39</f>
        <v>1676737</v>
      </c>
      <c r="H38" s="23"/>
      <c r="I38" s="23"/>
      <c r="J38" s="23"/>
      <c r="K38" s="23"/>
      <c r="L38" s="23"/>
      <c r="M38" s="23"/>
      <c r="N38" s="23"/>
      <c r="O38" s="23"/>
      <c r="P38" s="23"/>
      <c r="Q38" s="23"/>
    </row>
    <row r="39" customFormat="false" ht="12.75" hidden="false" customHeight="false" outlineLevel="0" collapsed="false">
      <c r="D39" s="23" t="s">
        <v>25</v>
      </c>
      <c r="E39" s="11" t="n">
        <f aca="false">SUM(G39:R39)</f>
        <v>9509783.59229621</v>
      </c>
      <c r="G39" s="27" t="n">
        <f aca="false">G38/((1+G$30)^(G$29/360))</f>
        <v>9509783.59229621</v>
      </c>
      <c r="H39" s="27" t="n">
        <f aca="false">H38/((1+$G$30)^($G$29/360))</f>
        <v>0</v>
      </c>
      <c r="I39" s="27" t="n">
        <f aca="false">I38/((1+$G$30)^($G$29/360))</f>
        <v>0</v>
      </c>
      <c r="J39" s="27" t="n">
        <f aca="false">J38/((1+$G$30)^($G$29/360))</f>
        <v>0</v>
      </c>
      <c r="K39" s="27" t="n">
        <f aca="false">K38/((1+$G$30)^($G$29/360))</f>
        <v>0</v>
      </c>
      <c r="L39" s="27" t="n">
        <f aca="false">L38/((1+$G$30)^($G$29/360))</f>
        <v>0</v>
      </c>
      <c r="M39" s="27" t="n">
        <f aca="false">M38/((1+$G$30)^($G$29/360))</f>
        <v>0</v>
      </c>
      <c r="N39" s="27" t="n">
        <f aca="false">N38/((1+$G$30)^($G$29/360))</f>
        <v>0</v>
      </c>
      <c r="O39" s="27" t="n">
        <f aca="false">O38/((1+$G$30)^($G$29/360))</f>
        <v>0</v>
      </c>
      <c r="P39" s="27" t="n">
        <f aca="false">P38/((1+$G$30)^($G$29/360))</f>
        <v>0</v>
      </c>
      <c r="Q39" s="27" t="n">
        <f aca="false">Q38/((1+$G$30)^($G$29/360))</f>
        <v>0</v>
      </c>
    </row>
    <row r="40" customFormat="false" ht="12.75" hidden="false" customHeight="false" outlineLevel="0" collapsed="false">
      <c r="D40" s="8" t="s">
        <v>27</v>
      </c>
      <c r="G40" s="23"/>
      <c r="H40" s="27" t="n">
        <f aca="false">Assumptions!$H$40</f>
        <v>356000</v>
      </c>
      <c r="I40" s="27" t="n">
        <f aca="false">Assumptions!$H$40</f>
        <v>356000</v>
      </c>
      <c r="J40" s="27" t="n">
        <f aca="false">Assumptions!$H$40</f>
        <v>356000</v>
      </c>
      <c r="K40" s="27" t="n">
        <f aca="false">Assumptions!$H$40</f>
        <v>356000</v>
      </c>
      <c r="L40" s="27" t="n">
        <f aca="false">Assumptions!$H$40</f>
        <v>356000</v>
      </c>
      <c r="M40" s="27" t="n">
        <f aca="false">Assumptions!$H$40</f>
        <v>356000</v>
      </c>
      <c r="N40" s="27" t="n">
        <f aca="false">Assumptions!$H$40</f>
        <v>356000</v>
      </c>
      <c r="O40" s="27" t="n">
        <f aca="false">Assumptions!$H$40</f>
        <v>356000</v>
      </c>
      <c r="P40" s="27" t="n">
        <f aca="false">Assumptions!$H$40</f>
        <v>356000</v>
      </c>
      <c r="Q40" s="27" t="n">
        <f aca="false">Assumptions!$H$40</f>
        <v>356000</v>
      </c>
    </row>
    <row r="41" customFormat="false" ht="12.75" hidden="false" customHeight="false" outlineLevel="0" collapsed="false">
      <c r="D41" s="23" t="s">
        <v>25</v>
      </c>
      <c r="E41" s="11" t="n">
        <f aca="false">SUM(H41:R41)</f>
        <v>13752577.6756269</v>
      </c>
      <c r="G41" s="23"/>
      <c r="H41" s="27" t="n">
        <f aca="false">H40/((1+H$30)^(H$29/360))</f>
        <v>1905846.27473041</v>
      </c>
      <c r="I41" s="27" t="n">
        <f aca="false">I40/((1+I$30)^(I$29/360))</f>
        <v>1762787.22003993</v>
      </c>
      <c r="J41" s="27" t="n">
        <f aca="false">J40/((1+J$30)^(J$29/360))</f>
        <v>1630466.6458871</v>
      </c>
      <c r="K41" s="27" t="n">
        <f aca="false">K40/((1+K$30)^(K$29/360))</f>
        <v>1508078.4868012</v>
      </c>
      <c r="L41" s="27" t="n">
        <f aca="false">L40/((1+L$30)^(L$29/360))</f>
        <v>1394579.01731576</v>
      </c>
      <c r="M41" s="27" t="n">
        <f aca="false">M40/((1+M$30)^(M$29/360))</f>
        <v>1289897.35513049</v>
      </c>
      <c r="N41" s="27" t="n">
        <f aca="false">N40/((1+N$30)^(N$29/360))</f>
        <v>1193073.44088336</v>
      </c>
      <c r="O41" s="27" t="n">
        <f aca="false">O40/((1+O$30)^(O$29/360))</f>
        <v>1103517.44631437</v>
      </c>
      <c r="P41" s="27" t="n">
        <f aca="false">P40/((1+P$30)^(P$29/360))</f>
        <v>1020465.6384537</v>
      </c>
      <c r="Q41" s="27" t="n">
        <f aca="false">Q40/((1+Q$30)^(Q$29/360))</f>
        <v>943866.150070542</v>
      </c>
      <c r="R41" s="27" t="n">
        <f aca="false">R40/((1+R$30)^(R$29/360))</f>
        <v>0</v>
      </c>
    </row>
    <row r="42" customFormat="false" ht="12.75" hidden="false" customHeight="false" outlineLevel="0" collapsed="false">
      <c r="D42" s="34" t="s">
        <v>30</v>
      </c>
      <c r="E42" s="35" t="n">
        <f aca="false">E39+E41</f>
        <v>23262361.2679231</v>
      </c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</row>
  </sheetData>
  <mergeCells count="1">
    <mergeCell ref="B5:C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" activeCellId="0" sqref="D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4.7"/>
    <col collapsed="false" customWidth="true" hidden="false" outlineLevel="0" max="2" min="2" style="0" width="18.7"/>
    <col collapsed="false" customWidth="true" hidden="false" outlineLevel="0" max="3" min="3" style="0" width="16.13"/>
    <col collapsed="false" customWidth="true" hidden="false" outlineLevel="0" max="4" min="4" style="0" width="15.7"/>
    <col collapsed="false" customWidth="true" hidden="false" outlineLevel="0" max="5" min="5" style="0" width="4.56"/>
    <col collapsed="false" customWidth="true" hidden="false" outlineLevel="0" max="6" min="6" style="0" width="19.14"/>
    <col collapsed="false" customWidth="true" hidden="false" outlineLevel="0" max="7" min="7" style="0" width="15.7"/>
    <col collapsed="false" customWidth="true" hidden="false" outlineLevel="0" max="8" min="8" style="0" width="17.56"/>
    <col collapsed="false" customWidth="true" hidden="false" outlineLevel="0" max="9" min="9" style="0" width="10.99"/>
  </cols>
  <sheetData>
    <row r="1" customFormat="false" ht="12.75" hidden="false" customHeight="false" outlineLevel="0" collapsed="false">
      <c r="A1" s="1"/>
      <c r="B1" s="1"/>
      <c r="C1" s="1"/>
      <c r="D1" s="1"/>
      <c r="E1" s="1"/>
      <c r="F1" s="1"/>
      <c r="G1" s="1"/>
      <c r="H1" s="1"/>
      <c r="I1" s="1"/>
    </row>
    <row r="2" customFormat="false" ht="12.75" hidden="false" customHeight="false" outlineLevel="0" collapsed="false">
      <c r="A2" s="1"/>
      <c r="B2" s="1"/>
      <c r="C2" s="1"/>
      <c r="D2" s="1"/>
      <c r="E2" s="1"/>
      <c r="F2" s="1"/>
      <c r="G2" s="1"/>
      <c r="H2" s="1"/>
      <c r="I2" s="1"/>
    </row>
    <row r="3" customFormat="false" ht="12.75" hidden="false" customHeight="false" outlineLevel="0" collapsed="false">
      <c r="A3" s="1"/>
      <c r="B3" s="1"/>
      <c r="C3" s="1"/>
      <c r="D3" s="1"/>
      <c r="E3" s="1"/>
      <c r="F3" s="1"/>
      <c r="G3" s="1"/>
      <c r="H3" s="1"/>
      <c r="I3" s="1"/>
    </row>
    <row r="4" customFormat="false" ht="12.75" hidden="false" customHeight="false" outlineLevel="0" collapsed="false">
      <c r="A4" s="1"/>
      <c r="B4" s="1" t="s">
        <v>0</v>
      </c>
      <c r="C4" s="1"/>
      <c r="D4" s="1"/>
      <c r="E4" s="1"/>
      <c r="F4" s="1" t="s">
        <v>0</v>
      </c>
      <c r="G4" s="1"/>
      <c r="H4" s="1"/>
      <c r="I4" s="1"/>
    </row>
    <row r="5" customFormat="false" ht="14.25" hidden="false" customHeight="false" outlineLevel="0" collapsed="false">
      <c r="B5" s="37" t="s">
        <v>33</v>
      </c>
      <c r="F5" s="37" t="s">
        <v>34</v>
      </c>
    </row>
    <row r="6" customFormat="false" ht="15.75" hidden="false" customHeight="false" outlineLevel="0" collapsed="false">
      <c r="B6" s="17"/>
      <c r="F6" s="17"/>
    </row>
    <row r="7" customFormat="false" ht="14.25" hidden="false" customHeight="false" outlineLevel="0" collapsed="false">
      <c r="B7" s="5" t="s">
        <v>35</v>
      </c>
      <c r="C7" s="38" t="n">
        <v>0.08</v>
      </c>
      <c r="D7" s="19" t="s">
        <v>0</v>
      </c>
      <c r="F7" s="5" t="s">
        <v>0</v>
      </c>
      <c r="G7" s="39"/>
      <c r="H7" s="19"/>
    </row>
    <row r="8" customFormat="false" ht="13.5" hidden="false" customHeight="false" outlineLevel="0" collapsed="false">
      <c r="B8" s="5" t="s">
        <v>36</v>
      </c>
      <c r="D8" s="40" t="n">
        <v>10</v>
      </c>
      <c r="E8" s="6"/>
      <c r="F8" s="41" t="s">
        <v>36</v>
      </c>
      <c r="G8" s="6"/>
      <c r="H8" s="40" t="n">
        <v>10</v>
      </c>
    </row>
    <row r="9" customFormat="false" ht="12.75" hidden="false" customHeight="false" outlineLevel="0" collapsed="false">
      <c r="A9" s="42" t="s">
        <v>0</v>
      </c>
      <c r="B9" s="5" t="s">
        <v>37</v>
      </c>
      <c r="D9" s="0" t="n">
        <v>139</v>
      </c>
      <c r="E9" s="42" t="s">
        <v>0</v>
      </c>
      <c r="F9" s="5" t="s">
        <v>37</v>
      </c>
      <c r="H9" s="0" t="n">
        <v>139</v>
      </c>
    </row>
    <row r="10" customFormat="false" ht="12.75" hidden="false" customHeight="false" outlineLevel="0" collapsed="false">
      <c r="A10" s="42" t="s">
        <v>0</v>
      </c>
      <c r="B10" s="5" t="s">
        <v>38</v>
      </c>
      <c r="D10" s="43" t="n">
        <v>10346</v>
      </c>
      <c r="E10" s="42" t="s">
        <v>0</v>
      </c>
      <c r="F10" s="5" t="s">
        <v>38</v>
      </c>
      <c r="H10" s="43" t="n">
        <v>10391</v>
      </c>
    </row>
    <row r="11" customFormat="false" ht="12.75" hidden="false" customHeight="false" outlineLevel="0" collapsed="false">
      <c r="A11" s="42" t="s">
        <v>0</v>
      </c>
      <c r="B11" s="5" t="s">
        <v>39</v>
      </c>
      <c r="D11" s="44" t="n">
        <v>0.914</v>
      </c>
      <c r="E11" s="42" t="s">
        <v>0</v>
      </c>
      <c r="F11" s="5" t="s">
        <v>39</v>
      </c>
      <c r="H11" s="44" t="n">
        <v>0.643</v>
      </c>
    </row>
    <row r="12" customFormat="false" ht="12.75" hidden="false" customHeight="false" outlineLevel="0" collapsed="false">
      <c r="A12" s="42" t="s">
        <v>0</v>
      </c>
      <c r="B12" s="5" t="s">
        <v>40</v>
      </c>
      <c r="D12" s="43" t="s">
        <v>0</v>
      </c>
      <c r="E12" s="42" t="s">
        <v>0</v>
      </c>
      <c r="F12" s="5" t="s">
        <v>40</v>
      </c>
      <c r="H12" s="43" t="s">
        <v>0</v>
      </c>
    </row>
    <row r="13" customFormat="false" ht="13.5" hidden="false" customHeight="false" outlineLevel="0" collapsed="false">
      <c r="A13" s="42" t="s">
        <v>0</v>
      </c>
      <c r="B13" s="5"/>
      <c r="C13" s="45" t="s">
        <v>41</v>
      </c>
      <c r="D13" s="43" t="n">
        <v>10000000</v>
      </c>
      <c r="E13" s="42"/>
      <c r="F13" s="5"/>
      <c r="G13" s="45" t="s">
        <v>41</v>
      </c>
      <c r="H13" s="43" t="n">
        <v>8000000</v>
      </c>
    </row>
    <row r="14" customFormat="false" ht="14.25" hidden="false" customHeight="false" outlineLevel="0" collapsed="false">
      <c r="A14" s="42"/>
      <c r="B14" s="5"/>
      <c r="C14" s="46" t="s">
        <v>42</v>
      </c>
      <c r="D14" s="47" t="n">
        <v>4804788</v>
      </c>
      <c r="E14" s="42"/>
      <c r="F14" s="5"/>
      <c r="G14" s="46" t="s">
        <v>42</v>
      </c>
      <c r="H14" s="47" t="n">
        <v>3507736</v>
      </c>
    </row>
    <row r="15" customFormat="false" ht="13.5" hidden="false" customHeight="false" outlineLevel="0" collapsed="false">
      <c r="A15" s="42" t="s">
        <v>0</v>
      </c>
      <c r="B15" s="5" t="s">
        <v>43</v>
      </c>
      <c r="C15" s="8"/>
      <c r="E15" s="42" t="s">
        <v>0</v>
      </c>
      <c r="F15" s="5" t="s">
        <v>43</v>
      </c>
      <c r="G15" s="8"/>
    </row>
    <row r="16" customFormat="false" ht="12.75" hidden="false" customHeight="false" outlineLevel="0" collapsed="false">
      <c r="A16" s="42"/>
      <c r="B16" s="5"/>
      <c r="C16" s="45" t="s">
        <v>41</v>
      </c>
      <c r="D16" s="43" t="n">
        <f aca="false">(D9*8760)*D11</f>
        <v>1112922.96</v>
      </c>
      <c r="E16" s="42"/>
      <c r="F16" s="5"/>
      <c r="G16" s="45" t="s">
        <v>41</v>
      </c>
      <c r="H16" s="43" t="n">
        <f aca="false">(H9*8760)*H11</f>
        <v>782942.52</v>
      </c>
    </row>
    <row r="17" customFormat="false" ht="12.75" hidden="false" customHeight="false" outlineLevel="0" collapsed="false">
      <c r="A17" s="42"/>
      <c r="B17" s="5"/>
      <c r="C17" s="45" t="s">
        <v>42</v>
      </c>
      <c r="D17" s="43" t="n">
        <f aca="false">(D16/12)*5</f>
        <v>463717.9</v>
      </c>
      <c r="E17" s="42"/>
      <c r="F17" s="5"/>
      <c r="G17" s="45" t="s">
        <v>42</v>
      </c>
      <c r="H17" s="43" t="n">
        <f aca="false">(H16/12)*5</f>
        <v>326226.05</v>
      </c>
    </row>
    <row r="18" customFormat="false" ht="13.5" hidden="false" customHeight="false" outlineLevel="0" collapsed="false">
      <c r="A18" s="42" t="s">
        <v>0</v>
      </c>
      <c r="B18" s="5" t="s">
        <v>44</v>
      </c>
      <c r="D18" s="44" t="s">
        <v>0</v>
      </c>
      <c r="E18" s="42" t="s">
        <v>0</v>
      </c>
      <c r="F18" s="5" t="s">
        <v>44</v>
      </c>
      <c r="H18" s="44" t="s">
        <v>0</v>
      </c>
    </row>
    <row r="19" customFormat="false" ht="14.25" hidden="false" customHeight="false" outlineLevel="0" collapsed="false">
      <c r="A19" s="42" t="s">
        <v>0</v>
      </c>
      <c r="B19" s="0" t="s">
        <v>0</v>
      </c>
      <c r="C19" s="46" t="s">
        <v>45</v>
      </c>
      <c r="D19" s="48" t="n">
        <v>0.55</v>
      </c>
      <c r="E19" s="42" t="s">
        <v>0</v>
      </c>
      <c r="F19" s="0" t="s">
        <v>0</v>
      </c>
      <c r="G19" s="46" t="s">
        <v>45</v>
      </c>
      <c r="H19" s="48" t="n">
        <v>0.328</v>
      </c>
    </row>
    <row r="20" customFormat="false" ht="13.5" hidden="false" customHeight="false" outlineLevel="0" collapsed="false">
      <c r="A20" s="42"/>
      <c r="C20" s="45" t="s">
        <v>46</v>
      </c>
      <c r="D20" s="7" t="n">
        <f aca="false">(D14*D19)/2000</f>
        <v>1321.3167</v>
      </c>
      <c r="E20" s="42"/>
      <c r="G20" s="45" t="s">
        <v>46</v>
      </c>
      <c r="H20" s="7" t="n">
        <f aca="false">(H14*H19)/2000</f>
        <v>575.268704</v>
      </c>
    </row>
    <row r="21" customFormat="false" ht="12.75" hidden="false" customHeight="false" outlineLevel="0" collapsed="false">
      <c r="A21" s="42"/>
      <c r="C21" s="8"/>
      <c r="D21" s="6"/>
      <c r="E21" s="42"/>
      <c r="G21" s="8"/>
      <c r="H21" s="6"/>
    </row>
    <row r="22" customFormat="false" ht="12.75" hidden="false" customHeight="false" outlineLevel="0" collapsed="false">
      <c r="A22" s="42"/>
      <c r="C22" s="8"/>
      <c r="D22" s="6"/>
      <c r="E22" s="42"/>
      <c r="G22" s="8"/>
      <c r="H22" s="6"/>
    </row>
    <row r="23" customFormat="false" ht="13.5" hidden="false" customHeight="false" outlineLevel="0" collapsed="false">
      <c r="A23" s="42" t="s">
        <v>0</v>
      </c>
    </row>
    <row r="24" customFormat="false" ht="13.5" hidden="false" customHeight="false" outlineLevel="0" collapsed="false">
      <c r="A24" s="42" t="n">
        <v>1</v>
      </c>
      <c r="B24" s="5" t="s">
        <v>47</v>
      </c>
      <c r="C24" s="49"/>
      <c r="D24" s="50" t="s">
        <v>48</v>
      </c>
      <c r="E24" s="42" t="n">
        <v>1</v>
      </c>
      <c r="F24" s="5" t="s">
        <v>47</v>
      </c>
      <c r="G24" s="49"/>
      <c r="H24" s="50" t="s">
        <v>48</v>
      </c>
    </row>
    <row r="25" customFormat="false" ht="12.75" hidden="false" customHeight="false" outlineLevel="0" collapsed="false">
      <c r="C25" s="51" t="s">
        <v>49</v>
      </c>
      <c r="D25" s="52" t="n">
        <v>0.8</v>
      </c>
      <c r="G25" s="51" t="s">
        <v>49</v>
      </c>
      <c r="H25" s="52" t="n">
        <v>0.7</v>
      </c>
    </row>
    <row r="26" customFormat="false" ht="12.75" hidden="false" customHeight="false" outlineLevel="0" collapsed="false">
      <c r="C26" s="51" t="s">
        <v>50</v>
      </c>
      <c r="D26" s="53" t="n">
        <v>3458230</v>
      </c>
      <c r="G26" s="51" t="s">
        <v>50</v>
      </c>
      <c r="H26" s="53" t="n">
        <v>3458230</v>
      </c>
    </row>
    <row r="27" customFormat="false" ht="13.5" hidden="false" customHeight="false" outlineLevel="0" collapsed="false">
      <c r="C27" s="54" t="s">
        <v>51</v>
      </c>
      <c r="D27" s="55" t="n">
        <v>490000</v>
      </c>
      <c r="G27" s="54" t="s">
        <v>51</v>
      </c>
      <c r="H27" s="55" t="n">
        <v>362000</v>
      </c>
    </row>
    <row r="28" customFormat="false" ht="13.5" hidden="false" customHeight="false" outlineLevel="0" collapsed="false">
      <c r="B28" s="0" t="s">
        <v>0</v>
      </c>
      <c r="C28" s="45" t="s">
        <v>52</v>
      </c>
      <c r="D28" s="56" t="n">
        <f aca="false">Pricing!$E$17</f>
        <v>38542811.1626583</v>
      </c>
      <c r="G28" s="45" t="s">
        <v>52</v>
      </c>
      <c r="H28" s="56" t="n">
        <f aca="false">Pricing!$E$37</f>
        <v>33598064.1332194</v>
      </c>
    </row>
    <row r="29" customFormat="false" ht="12.75" hidden="false" customHeight="false" outlineLevel="0" collapsed="false">
      <c r="C29" s="8" t="s">
        <v>0</v>
      </c>
      <c r="D29" s="7"/>
      <c r="G29" s="8"/>
      <c r="H29" s="7"/>
    </row>
    <row r="30" customFormat="false" ht="12.75" hidden="false" customHeight="false" outlineLevel="0" collapsed="false">
      <c r="B30" s="5" t="s">
        <v>53</v>
      </c>
      <c r="C30" s="8"/>
      <c r="D30" s="7"/>
      <c r="F30" s="5" t="s">
        <v>53</v>
      </c>
      <c r="G30" s="8"/>
      <c r="H30" s="7"/>
    </row>
    <row r="31" customFormat="false" ht="12.75" hidden="false" customHeight="false" outlineLevel="0" collapsed="false">
      <c r="B31" s="5"/>
      <c r="C31" s="45" t="s">
        <v>45</v>
      </c>
      <c r="D31" s="57" t="n">
        <f aca="false">D$19*(1-D25)</f>
        <v>0.11</v>
      </c>
      <c r="F31" s="5"/>
      <c r="G31" s="45" t="s">
        <v>45</v>
      </c>
      <c r="H31" s="57" t="n">
        <f aca="false">H$19*(1-H25)</f>
        <v>0.0984</v>
      </c>
    </row>
    <row r="32" customFormat="false" ht="12.75" hidden="false" customHeight="false" outlineLevel="0" collapsed="false">
      <c r="B32" s="5"/>
      <c r="C32" s="45" t="s">
        <v>46</v>
      </c>
      <c r="D32" s="7" t="n">
        <f aca="false">(D$14*D31)/2000</f>
        <v>264.26334</v>
      </c>
      <c r="F32" s="5"/>
      <c r="G32" s="45" t="s">
        <v>46</v>
      </c>
      <c r="H32" s="7" t="n">
        <f aca="false">(H$14*H31)/2000</f>
        <v>172.5806112</v>
      </c>
    </row>
    <row r="33" customFormat="false" ht="12.75" hidden="false" customHeight="false" outlineLevel="0" collapsed="false">
      <c r="B33" s="5" t="s">
        <v>54</v>
      </c>
      <c r="D33" s="7" t="n">
        <f aca="false">(D$20-D32)</f>
        <v>1057.05336</v>
      </c>
      <c r="F33" s="5" t="s">
        <v>54</v>
      </c>
      <c r="H33" s="7" t="n">
        <f aca="false">(H$20-H32)</f>
        <v>402.6880928</v>
      </c>
    </row>
    <row r="34" customFormat="false" ht="12.75" hidden="false" customHeight="false" outlineLevel="0" collapsed="false">
      <c r="B34" s="5" t="s">
        <v>55</v>
      </c>
      <c r="D34" s="11" t="n">
        <f aca="false">D27/D33</f>
        <v>463.552757639406</v>
      </c>
      <c r="F34" s="5" t="s">
        <v>55</v>
      </c>
      <c r="H34" s="11" t="n">
        <f aca="false">H27/H33</f>
        <v>898.958788383623</v>
      </c>
    </row>
    <row r="35" customFormat="false" ht="12.75" hidden="false" customHeight="false" outlineLevel="0" collapsed="false">
      <c r="B35" s="5"/>
      <c r="D35" s="11"/>
      <c r="F35" s="5"/>
      <c r="H35" s="11"/>
    </row>
    <row r="37" customFormat="false" ht="13.5" hidden="false" customHeight="false" outlineLevel="0" collapsed="false">
      <c r="A37" s="42" t="n">
        <v>2</v>
      </c>
      <c r="B37" s="5" t="s">
        <v>47</v>
      </c>
      <c r="D37" s="0" t="s">
        <v>32</v>
      </c>
      <c r="E37" s="42" t="n">
        <v>2</v>
      </c>
      <c r="F37" s="5" t="s">
        <v>47</v>
      </c>
      <c r="H37" s="0" t="s">
        <v>32</v>
      </c>
    </row>
    <row r="38" customFormat="false" ht="13.5" hidden="false" customHeight="false" outlineLevel="0" collapsed="false">
      <c r="C38" s="58" t="s">
        <v>49</v>
      </c>
      <c r="D38" s="59" t="n">
        <v>0.75</v>
      </c>
      <c r="G38" s="58" t="s">
        <v>49</v>
      </c>
      <c r="H38" s="59" t="n">
        <v>0.75</v>
      </c>
    </row>
    <row r="39" customFormat="false" ht="12.75" hidden="false" customHeight="false" outlineLevel="0" collapsed="false">
      <c r="C39" s="51" t="s">
        <v>50</v>
      </c>
      <c r="D39" s="53" t="n">
        <v>1676737</v>
      </c>
      <c r="G39" s="51" t="s">
        <v>50</v>
      </c>
      <c r="H39" s="53" t="n">
        <v>1676737</v>
      </c>
    </row>
    <row r="40" customFormat="false" ht="13.5" hidden="false" customHeight="false" outlineLevel="0" collapsed="false">
      <c r="C40" s="54" t="s">
        <v>51</v>
      </c>
      <c r="D40" s="55" t="n">
        <v>377000</v>
      </c>
      <c r="G40" s="54" t="s">
        <v>51</v>
      </c>
      <c r="H40" s="55" t="n">
        <v>356000</v>
      </c>
    </row>
    <row r="41" customFormat="false" ht="13.5" hidden="false" customHeight="false" outlineLevel="0" collapsed="false">
      <c r="C41" s="45" t="s">
        <v>52</v>
      </c>
      <c r="D41" s="56" t="n">
        <f aca="false">Pricing!$E$22</f>
        <v>24073608.8274404</v>
      </c>
      <c r="G41" s="45" t="s">
        <v>52</v>
      </c>
      <c r="H41" s="56" t="n">
        <f aca="false">Pricing!$E$42</f>
        <v>23262361.2679231</v>
      </c>
    </row>
    <row r="42" customFormat="false" ht="12.75" hidden="false" customHeight="false" outlineLevel="0" collapsed="false">
      <c r="C42" s="8"/>
      <c r="D42" s="7"/>
      <c r="G42" s="8"/>
      <c r="H42" s="7"/>
    </row>
    <row r="43" customFormat="false" ht="12.75" hidden="false" customHeight="false" outlineLevel="0" collapsed="false">
      <c r="B43" s="5" t="s">
        <v>53</v>
      </c>
      <c r="C43" s="8"/>
      <c r="D43" s="7"/>
      <c r="F43" s="5" t="s">
        <v>53</v>
      </c>
      <c r="G43" s="8"/>
      <c r="H43" s="7"/>
    </row>
    <row r="44" customFormat="false" ht="12.75" hidden="false" customHeight="false" outlineLevel="0" collapsed="false">
      <c r="B44" s="5"/>
      <c r="C44" s="45" t="s">
        <v>45</v>
      </c>
      <c r="D44" s="57" t="n">
        <f aca="false">D$19*(1-D38)</f>
        <v>0.1375</v>
      </c>
      <c r="F44" s="5"/>
      <c r="G44" s="45" t="s">
        <v>45</v>
      </c>
      <c r="H44" s="57" t="n">
        <f aca="false">H$19*(1-H38)</f>
        <v>0.082</v>
      </c>
    </row>
    <row r="45" customFormat="false" ht="12.75" hidden="false" customHeight="false" outlineLevel="0" collapsed="false">
      <c r="B45" s="5"/>
      <c r="C45" s="45" t="s">
        <v>46</v>
      </c>
      <c r="D45" s="7" t="n">
        <f aca="false">(D$14*D44)/2000</f>
        <v>330.329175</v>
      </c>
      <c r="F45" s="5"/>
      <c r="G45" s="45" t="s">
        <v>46</v>
      </c>
      <c r="H45" s="7" t="n">
        <f aca="false">(H$14*H44)/2000</f>
        <v>143.817176</v>
      </c>
    </row>
    <row r="46" customFormat="false" ht="12.75" hidden="false" customHeight="false" outlineLevel="0" collapsed="false">
      <c r="B46" s="5" t="s">
        <v>54</v>
      </c>
      <c r="D46" s="7" t="n">
        <f aca="false">(D$20-D45)</f>
        <v>990.987525</v>
      </c>
      <c r="F46" s="5" t="s">
        <v>54</v>
      </c>
      <c r="H46" s="7" t="n">
        <f aca="false">(H$20-H45)</f>
        <v>431.451528</v>
      </c>
    </row>
    <row r="47" customFormat="false" ht="12.75" hidden="false" customHeight="false" outlineLevel="0" collapsed="false">
      <c r="B47" s="5" t="s">
        <v>55</v>
      </c>
      <c r="D47" s="11" t="n">
        <f aca="false">D40/D46</f>
        <v>380.428603276313</v>
      </c>
      <c r="F47" s="12" t="s">
        <v>55</v>
      </c>
      <c r="G47" s="12"/>
      <c r="H47" s="11" t="n">
        <f aca="false">H40/H46</f>
        <v>825.121657698707</v>
      </c>
    </row>
    <row r="50" customFormat="false" ht="12.75" hidden="false" customHeight="false" outlineLevel="0" collapsed="false">
      <c r="B50" s="60" t="s">
        <v>0</v>
      </c>
    </row>
  </sheetData>
  <mergeCells count="1">
    <mergeCell ref="F47:G4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2000-10-04T11:41:42Z</dcterms:created>
  <dc:creator>vwagner</dc:creator>
  <dc:description/>
  <dc:language>en-US</dc:language>
  <cp:lastModifiedBy>vwagner</cp:lastModifiedBy>
  <cp:revision>0</cp:revision>
  <dc:subject/>
  <dc:title/>
</cp:coreProperties>
</file>